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Sheet1"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80" i="77" l="1"/>
  <c r="L179" i="77"/>
  <c r="D175" i="77"/>
  <c r="E175" i="77"/>
  <c r="F175" i="77"/>
  <c r="G175" i="77"/>
  <c r="H175" i="77"/>
  <c r="I175" i="77"/>
  <c r="J175" i="77"/>
  <c r="K175" i="77"/>
  <c r="L175" i="77"/>
  <c r="M175" i="77"/>
  <c r="N175" i="77"/>
  <c r="C175" i="77"/>
  <c r="C169" i="77"/>
  <c r="C168" i="77"/>
  <c r="C170" i="77" s="1"/>
  <c r="C165" i="77"/>
  <c r="C166" i="77" s="1"/>
  <c r="C164" i="77"/>
  <c r="N176" i="77" l="1"/>
  <c r="H176" i="77"/>
  <c r="N6" i="1"/>
  <c r="N22" i="1"/>
  <c r="N177" i="77" l="1"/>
  <c r="N20" i="1"/>
  <c r="C135" i="77"/>
  <c r="I38" i="39" l="1"/>
  <c r="G38" i="39"/>
  <c r="E38" i="39"/>
  <c r="C38" i="39"/>
  <c r="I7" i="39"/>
  <c r="G7" i="39"/>
  <c r="E7" i="39"/>
  <c r="I5" i="39"/>
  <c r="G5" i="39"/>
  <c r="E5" i="39"/>
  <c r="Y6" i="1" l="1"/>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E19" i="71"/>
  <c r="O20" i="71"/>
  <c r="N20" i="71"/>
  <c r="A2" i="53"/>
  <c r="B19" i="72" s="1"/>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E83" i="71"/>
  <c r="E82" i="71" s="1"/>
  <c r="E81" i="71" s="1"/>
  <c r="C83" i="71"/>
  <c r="B83" i="71"/>
  <c r="B82" i="71" s="1"/>
  <c r="F81" i="71"/>
  <c r="B81" i="71"/>
  <c r="D80" i="71"/>
  <c r="F79" i="71"/>
  <c r="F78" i="71" s="1"/>
  <c r="E79" i="71"/>
  <c r="E78" i="71" s="1"/>
  <c r="E77" i="71" s="1"/>
  <c r="C79" i="71"/>
  <c r="D79" i="71" s="1"/>
  <c r="B79" i="71"/>
  <c r="B78" i="71" s="1"/>
  <c r="F77" i="7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s="1"/>
  <c r="O56" i="71"/>
  <c r="C57" i="71" s="1"/>
  <c r="C58" i="71" s="1"/>
  <c r="D58"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C54" i="71" s="1"/>
  <c r="C55" i="71" s="1"/>
  <c r="N52" i="71"/>
  <c r="B53" i="71" s="1"/>
  <c r="D52" i="71"/>
  <c r="Q51" i="71"/>
  <c r="P51" i="71"/>
  <c r="O51" i="71"/>
  <c r="N51" i="71"/>
  <c r="Q50" i="71"/>
  <c r="P50" i="71"/>
  <c r="O50" i="71"/>
  <c r="N50" i="71"/>
  <c r="Q49" i="71"/>
  <c r="P49" i="71"/>
  <c r="E50" i="71" s="1"/>
  <c r="E51" i="71" s="1"/>
  <c r="O49" i="71"/>
  <c r="N49" i="71"/>
  <c r="Q48" i="71"/>
  <c r="F49" i="71"/>
  <c r="F50" i="71" s="1"/>
  <c r="F51" i="71" s="1"/>
  <c r="V51" i="71" s="1"/>
  <c r="P48" i="71"/>
  <c r="E49" i="71" s="1"/>
  <c r="O48" i="71"/>
  <c r="C49" i="71" s="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Q34" i="71"/>
  <c r="AB34" i="71" s="1"/>
  <c r="P34" i="71"/>
  <c r="AA34" i="71"/>
  <c r="O34" i="71"/>
  <c r="Y34" i="71" s="1"/>
  <c r="Z34" i="71" s="1"/>
  <c r="N34" i="71"/>
  <c r="X34" i="71" s="1"/>
  <c r="Q33" i="71"/>
  <c r="P33" i="71"/>
  <c r="AA33" i="71" s="1"/>
  <c r="O33" i="71"/>
  <c r="Y33" i="71" s="1"/>
  <c r="Z33" i="71" s="1"/>
  <c r="N33" i="71"/>
  <c r="X33" i="71" s="1"/>
  <c r="Q32" i="71"/>
  <c r="F33" i="71" s="1"/>
  <c r="P32" i="71"/>
  <c r="O32" i="71"/>
  <c r="N32" i="71"/>
  <c r="B33" i="71" s="1"/>
  <c r="B34" i="71" s="1"/>
  <c r="B35" i="71" s="1"/>
  <c r="S35" i="71" s="1"/>
  <c r="D32" i="71"/>
  <c r="Q31" i="71"/>
  <c r="AB31" i="71" s="1"/>
  <c r="P31" i="71"/>
  <c r="O31" i="71"/>
  <c r="Y31" i="71" s="1"/>
  <c r="Z31" i="71" s="1"/>
  <c r="N31" i="71"/>
  <c r="Q30" i="71"/>
  <c r="P30" i="71"/>
  <c r="O30" i="71"/>
  <c r="Y30" i="71"/>
  <c r="Z30" i="71" s="1"/>
  <c r="N30" i="71"/>
  <c r="Q29" i="71"/>
  <c r="P29" i="71"/>
  <c r="AA29" i="71" s="1"/>
  <c r="O29" i="71"/>
  <c r="Y29" i="71" s="1"/>
  <c r="Z29" i="71" s="1"/>
  <c r="N29" i="71"/>
  <c r="X29" i="71" s="1"/>
  <c r="Q28" i="71"/>
  <c r="F29" i="71" s="1"/>
  <c r="P28" i="71"/>
  <c r="O28" i="71"/>
  <c r="N28" i="71"/>
  <c r="B29" i="71" s="1"/>
  <c r="B30" i="71" s="1"/>
  <c r="B31" i="71" s="1"/>
  <c r="S31" i="71" s="1"/>
  <c r="D28" i="71"/>
  <c r="Q27" i="71"/>
  <c r="P27" i="71"/>
  <c r="O27" i="71"/>
  <c r="Y27" i="71" s="1"/>
  <c r="Z27" i="71" s="1"/>
  <c r="N27" i="71"/>
  <c r="Q26" i="71"/>
  <c r="P26" i="71"/>
  <c r="O26" i="71"/>
  <c r="Y26" i="71"/>
  <c r="Z26" i="71" s="1"/>
  <c r="N26" i="71"/>
  <c r="Q25" i="71"/>
  <c r="P25" i="71"/>
  <c r="AA25" i="71" s="1"/>
  <c r="O25" i="71"/>
  <c r="Y25" i="71" s="1"/>
  <c r="Z25" i="71" s="1"/>
  <c r="N25" i="71"/>
  <c r="X25" i="71" s="1"/>
  <c r="Q24" i="71"/>
  <c r="F25" i="71" s="1"/>
  <c r="P24" i="71"/>
  <c r="O24" i="71"/>
  <c r="N24" i="71"/>
  <c r="D24" i="71"/>
  <c r="O23" i="71"/>
  <c r="C23" i="71" s="1"/>
  <c r="N23" i="71"/>
  <c r="B25" i="71"/>
  <c r="B26" i="71" s="1"/>
  <c r="B27" i="71" s="1"/>
  <c r="S27" i="71" s="1"/>
  <c r="X32" i="71"/>
  <c r="N63" i="71"/>
  <c r="C25" i="71"/>
  <c r="D25" i="71" s="1"/>
  <c r="Y24" i="71"/>
  <c r="Z24" i="71"/>
  <c r="C29" i="71"/>
  <c r="Y28" i="71"/>
  <c r="Z28" i="71" s="1"/>
  <c r="AB28" i="71"/>
  <c r="AA30" i="71"/>
  <c r="C33" i="71"/>
  <c r="D33" i="71" s="1"/>
  <c r="Y32" i="71"/>
  <c r="Z32" i="71" s="1"/>
  <c r="AB32" i="71"/>
  <c r="Y23" i="71"/>
  <c r="Z23" i="71" s="1"/>
  <c r="B23" i="71"/>
  <c r="X20" i="71"/>
  <c r="C34" i="71"/>
  <c r="P23" i="71"/>
  <c r="U51" i="71"/>
  <c r="E58" i="71"/>
  <c r="E59" i="71" s="1"/>
  <c r="U59" i="71" s="1"/>
  <c r="U63" i="71"/>
  <c r="E62" i="71"/>
  <c r="Q23" i="71"/>
  <c r="D53" i="71"/>
  <c r="D57" i="71"/>
  <c r="N62" i="71"/>
  <c r="B61" i="71"/>
  <c r="N61" i="71" s="1"/>
  <c r="T63" i="71"/>
  <c r="D63" i="71"/>
  <c r="Q63" i="71"/>
  <c r="C66" i="71"/>
  <c r="E66" i="71"/>
  <c r="E65" i="71" s="1"/>
  <c r="D67" i="71"/>
  <c r="C70" i="71"/>
  <c r="D70" i="71" s="1"/>
  <c r="E70" i="71"/>
  <c r="E69" i="71" s="1"/>
  <c r="D71" i="71"/>
  <c r="C74" i="71"/>
  <c r="E74" i="71"/>
  <c r="E73" i="71" s="1"/>
  <c r="D75" i="71"/>
  <c r="C78" i="71"/>
  <c r="F23" i="71"/>
  <c r="F22" i="71" s="1"/>
  <c r="F21" i="71" s="1"/>
  <c r="E23" i="71"/>
  <c r="AA21" i="71"/>
  <c r="C59" i="71"/>
  <c r="T59" i="71" s="1"/>
  <c r="C69" i="71"/>
  <c r="D69" i="71" s="1"/>
  <c r="N60" i="71"/>
  <c r="D74" i="71"/>
  <c r="C73" i="71"/>
  <c r="D73" i="71" s="1"/>
  <c r="D66" i="71"/>
  <c r="C65" i="71"/>
  <c r="D65" i="71"/>
  <c r="D54" i="71"/>
  <c r="P62" i="71"/>
  <c r="E61" i="71"/>
  <c r="P61" i="71" s="1"/>
  <c r="C35" i="71"/>
  <c r="T35" i="71" s="1"/>
  <c r="D34" i="71"/>
  <c r="P60" i="71"/>
  <c r="T55" i="71"/>
  <c r="D55" i="71"/>
  <c r="D5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c r="F68" i="35" s="1"/>
  <c r="F18" i="35"/>
  <c r="AA18" i="35" s="1"/>
  <c r="C18" i="35"/>
  <c r="Q21" i="37"/>
  <c r="Z21" i="37" s="1"/>
  <c r="D77" i="37"/>
  <c r="E77" i="37" s="1"/>
  <c r="C21" i="37"/>
  <c r="Q21" i="34"/>
  <c r="Z21" i="34" s="1"/>
  <c r="D84" i="34"/>
  <c r="E84" i="34" s="1"/>
  <c r="F84" i="34" s="1"/>
  <c r="G84" i="34" s="1"/>
  <c r="F21" i="34"/>
  <c r="C21" i="34"/>
  <c r="Q21" i="33"/>
  <c r="Z21" i="33" s="1"/>
  <c r="D83" i="33"/>
  <c r="E83" i="33"/>
  <c r="C21" i="33"/>
  <c r="C21" i="21"/>
  <c r="Q21" i="21"/>
  <c r="Z21" i="21"/>
  <c r="H19" i="21"/>
  <c r="D83" i="21"/>
  <c r="E83" i="21" s="1"/>
  <c r="F83" i="21" s="1"/>
  <c r="G83" i="21" s="1"/>
  <c r="F21" i="21"/>
  <c r="AA21" i="21" s="1"/>
  <c r="D81" i="21"/>
  <c r="G20" i="20"/>
  <c r="B86" i="43"/>
  <c r="C22" i="20"/>
  <c r="B75" i="43"/>
  <c r="B55" i="43"/>
  <c r="B66" i="43"/>
  <c r="C25" i="40"/>
  <c r="C29" i="39"/>
  <c r="S29" i="39"/>
  <c r="S18" i="36"/>
  <c r="U18" i="36"/>
  <c r="H25" i="40"/>
  <c r="U25" i="40" s="1"/>
  <c r="J25" i="40"/>
  <c r="H29" i="39"/>
  <c r="U29" i="39" s="1"/>
  <c r="J29" i="39"/>
  <c r="AC29" i="39" s="1"/>
  <c r="J18" i="36"/>
  <c r="AC18" i="36" s="1"/>
  <c r="H18" i="35"/>
  <c r="AB18" i="35" s="1"/>
  <c r="S18" i="35"/>
  <c r="G68" i="35"/>
  <c r="J18" i="35"/>
  <c r="F77" i="37"/>
  <c r="G77" i="37" s="1"/>
  <c r="H21" i="37"/>
  <c r="F21" i="37"/>
  <c r="H21" i="34"/>
  <c r="AB21" i="34" s="1"/>
  <c r="F83" i="33"/>
  <c r="G83" i="33" s="1"/>
  <c r="H21" i="33"/>
  <c r="U21" i="33" s="1"/>
  <c r="F21" i="33"/>
  <c r="S21" i="33" s="1"/>
  <c r="S21" i="21"/>
  <c r="H1" i="69"/>
  <c r="AC25" i="40"/>
  <c r="W25" i="40"/>
  <c r="AB25" i="40"/>
  <c r="AB29" i="39"/>
  <c r="W29" i="39"/>
  <c r="AB21" i="37"/>
  <c r="U21" i="37"/>
  <c r="U21" i="34"/>
  <c r="AB21" i="33"/>
  <c r="AA21" i="33"/>
  <c r="U18" i="35"/>
  <c r="AC18" i="35"/>
  <c r="W18" i="35"/>
  <c r="J21" i="37"/>
  <c r="AC21" i="37" s="1"/>
  <c r="J21" i="34"/>
  <c r="AC21" i="34" s="1"/>
  <c r="J21" i="33"/>
  <c r="H21" i="21"/>
  <c r="AB21" i="21" s="1"/>
  <c r="F38" i="69"/>
  <c r="E37" i="69"/>
  <c r="F36" i="69"/>
  <c r="F35" i="69"/>
  <c r="F21" i="69"/>
  <c r="F40" i="69" s="1"/>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c r="D64" i="36"/>
  <c r="E64" i="36"/>
  <c r="F64" i="36" s="1"/>
  <c r="G64" i="36" s="1"/>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U14" i="37"/>
  <c r="F29" i="36"/>
  <c r="AA29" i="36" s="1"/>
  <c r="W8" i="36"/>
  <c r="F16" i="36"/>
  <c r="AA16" i="36" s="1"/>
  <c r="W28" i="36"/>
  <c r="S30" i="36"/>
  <c r="AA31" i="36"/>
  <c r="AC31" i="36"/>
  <c r="W31" i="36"/>
  <c r="U31" i="36"/>
  <c r="J33" i="36"/>
  <c r="W33" i="36"/>
  <c r="H22" i="35"/>
  <c r="AB22" i="35"/>
  <c r="AC27" i="35"/>
  <c r="W28" i="35"/>
  <c r="U31" i="35"/>
  <c r="W36" i="35"/>
  <c r="W22" i="35"/>
  <c r="S31" i="35"/>
  <c r="U34" i="35"/>
  <c r="F36" i="34"/>
  <c r="J35" i="34"/>
  <c r="W9" i="34"/>
  <c r="U34" i="34"/>
  <c r="H39" i="33"/>
  <c r="AB39" i="33"/>
  <c r="F26" i="33"/>
  <c r="AA26" i="33"/>
  <c r="U33"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s="1"/>
  <c r="F27" i="39"/>
  <c r="F11" i="21"/>
  <c r="S11" i="2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J40" i="34"/>
  <c r="H38" i="34"/>
  <c r="AB38" i="34"/>
  <c r="J36" i="34"/>
  <c r="W36" i="34"/>
  <c r="H37" i="34"/>
  <c r="U37" i="34"/>
  <c r="H25" i="34"/>
  <c r="AB25" i="34"/>
  <c r="J25" i="34"/>
  <c r="AC25"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s="1"/>
  <c r="J11" i="33"/>
  <c r="W11" i="33" s="1"/>
  <c r="U23" i="40"/>
  <c r="G123" i="21"/>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46" i="33"/>
  <c r="AA14" i="33"/>
  <c r="J36" i="37"/>
  <c r="AC36" i="37" s="1"/>
  <c r="AB11" i="36"/>
  <c r="J10" i="36"/>
  <c r="AC10" i="36" s="1"/>
  <c r="AB26" i="33"/>
  <c r="AB30" i="21"/>
  <c r="AA14" i="37"/>
  <c r="W31" i="34"/>
  <c r="AC13" i="36"/>
  <c r="S11" i="36"/>
  <c r="W11" i="35"/>
  <c r="AC30" i="34"/>
  <c r="S45" i="33"/>
  <c r="AB31" i="33"/>
  <c r="W29" i="33"/>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W26" i="37"/>
  <c r="AC8" i="37"/>
  <c r="W47" i="34"/>
  <c r="AB13" i="34"/>
  <c r="W37" i="34"/>
  <c r="AB37"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H103" i="9"/>
  <c r="D8" i="53" s="1"/>
  <c r="B16" i="53"/>
  <c r="B33" i="72" s="1"/>
  <c r="C7" i="37"/>
  <c r="C7" i="34"/>
  <c r="C7" i="36"/>
  <c r="W35" i="40"/>
  <c r="A118" i="9"/>
  <c r="A4" i="52"/>
  <c r="B41" i="72"/>
  <c r="A12" i="52"/>
  <c r="B56" i="72" s="1"/>
  <c r="G4" i="4"/>
  <c r="I4" i="4"/>
  <c r="A2" i="9"/>
  <c r="F59" i="43"/>
  <c r="H62" i="43"/>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AZ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83" i="3"/>
  <c r="AZ136" i="3"/>
  <c r="AZ152" i="3"/>
  <c r="AZ160" i="3"/>
  <c r="AZ168" i="3"/>
  <c r="AZ184" i="3"/>
  <c r="AZ192" i="3"/>
  <c r="AZ200" i="3"/>
  <c r="AZ85"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57" i="3"/>
  <c r="AZ261" i="3"/>
  <c r="BA379" i="3"/>
  <c r="AZ379" i="3" s="1"/>
  <c r="BL380" i="3"/>
  <c r="G381" i="3"/>
  <c r="BA383" i="3"/>
  <c r="AZ383" i="3" s="1"/>
  <c r="BL384" i="3"/>
  <c r="G385" i="3"/>
  <c r="BA387" i="3"/>
  <c r="AZ387" i="3" s="1"/>
  <c r="BL388" i="3"/>
  <c r="G389" i="3"/>
  <c r="BA391" i="3"/>
  <c r="AZ391" i="3" s="1"/>
  <c r="BL392" i="3"/>
  <c r="G393"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2" i="3"/>
  <c r="AZ356" i="3"/>
  <c r="AZ364" i="3"/>
  <c r="AZ368" i="3"/>
  <c r="BA15" i="3"/>
  <c r="AZ15" i="3" s="1"/>
  <c r="BB5" i="3"/>
  <c r="BR5" i="3"/>
  <c r="G28" i="6"/>
  <c r="AZ384" i="3"/>
  <c r="AZ388" i="3"/>
  <c r="AZ392" i="3"/>
  <c r="AZ396" i="3"/>
  <c r="AZ394" i="3"/>
  <c r="E8" i="6"/>
  <c r="F27" i="6" s="1"/>
  <c r="G509" i="3"/>
  <c r="BL493" i="3"/>
  <c r="AZ493" i="3" s="1"/>
  <c r="AZ376" i="3"/>
  <c r="AZ382" i="3"/>
  <c r="U36" i="40"/>
  <c r="F36" i="43"/>
  <c r="F81" i="43"/>
  <c r="H83" i="43" s="1"/>
  <c r="H113" i="43"/>
  <c r="F48" i="43"/>
  <c r="H52" i="43" s="1"/>
  <c r="F70" i="43"/>
  <c r="H73" i="43" s="1"/>
  <c r="M11" i="43"/>
  <c r="D17" i="43"/>
  <c r="F39" i="43"/>
  <c r="I17" i="43"/>
  <c r="F35" i="43"/>
  <c r="J17" i="43"/>
  <c r="F6" i="1"/>
  <c r="G6" i="1" s="1"/>
  <c r="S14" i="35"/>
  <c r="U43" i="21"/>
  <c r="U35" i="21"/>
  <c r="AC35" i="21"/>
  <c r="U10" i="21"/>
  <c r="G8" i="1"/>
  <c r="G9" i="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4" i="3"/>
  <c r="C40" i="11"/>
  <c r="AZ215" i="3"/>
  <c r="AZ227" i="3"/>
  <c r="AZ232" i="3"/>
  <c r="AZ243" i="3"/>
  <c r="AZ248" i="3"/>
  <c r="AZ259" i="3"/>
  <c r="AZ280" i="3"/>
  <c r="AZ296" i="3"/>
  <c r="AZ117" i="3"/>
  <c r="AZ133" i="3"/>
  <c r="AZ21" i="3"/>
  <c r="AZ42" i="3"/>
  <c r="AZ53" i="3"/>
  <c r="AZ58" i="3"/>
  <c r="AZ69"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D93" i="9"/>
  <c r="E15" i="6"/>
  <c r="E60" i="40" s="1"/>
  <c r="K6" i="1"/>
  <c r="E13" i="6"/>
  <c r="E58" i="40" s="1"/>
  <c r="G29" i="6"/>
  <c r="AC26" i="33"/>
  <c r="W26" i="33"/>
  <c r="W27" i="34"/>
  <c r="AC27" i="34"/>
  <c r="AB34" i="36"/>
  <c r="U34" i="36"/>
  <c r="AB33" i="36"/>
  <c r="U33" i="36"/>
  <c r="AC12" i="39"/>
  <c r="W12" i="39"/>
  <c r="AZ428" i="3"/>
  <c r="AZ433" i="3"/>
  <c r="AZ465" i="3"/>
  <c r="AA32" i="36"/>
  <c r="S32" i="36"/>
  <c r="AZ408" i="3"/>
  <c r="AZ457" i="3"/>
  <c r="AZ473" i="3"/>
  <c r="AZ490" i="3"/>
  <c r="AA39" i="34"/>
  <c r="F28" i="6"/>
  <c r="BL14" i="3"/>
  <c r="AZ266" i="3"/>
  <c r="U30" i="33"/>
  <c r="AC13" i="34"/>
  <c r="AA47" i="34"/>
  <c r="W28" i="37"/>
  <c r="F12" i="33"/>
  <c r="S12" i="33" s="1"/>
  <c r="H12" i="39"/>
  <c r="AB12" i="39" s="1"/>
  <c r="F39" i="40"/>
  <c r="AA39" i="40" s="1"/>
  <c r="BA14" i="3"/>
  <c r="AZ14" i="3"/>
  <c r="AZ213" i="3"/>
  <c r="AZ234" i="3"/>
  <c r="AZ250" i="3"/>
  <c r="AZ281" i="3"/>
  <c r="AZ297" i="3"/>
  <c r="AZ157" i="3"/>
  <c r="AZ173" i="3"/>
  <c r="AZ189" i="3"/>
  <c r="AZ19" i="3"/>
  <c r="S12" i="1"/>
  <c r="AR12" i="1" s="1"/>
  <c r="R12" i="1"/>
  <c r="B12" i="1"/>
  <c r="E12" i="1" s="1"/>
  <c r="S10" i="1"/>
  <c r="AQ10" i="1" s="1"/>
  <c r="R10" i="1"/>
  <c r="B10" i="1"/>
  <c r="E10" i="1"/>
  <c r="AZ111" i="3"/>
  <c r="K12" i="1"/>
  <c r="M12" i="1" s="1"/>
  <c r="S13" i="1"/>
  <c r="AR13" i="1" s="1"/>
  <c r="R13" i="1"/>
  <c r="S11" i="1"/>
  <c r="AQ11" i="1" s="1"/>
  <c r="R11" i="1"/>
  <c r="S9" i="1"/>
  <c r="AR9" i="1" s="1"/>
  <c r="R9" i="1"/>
  <c r="J51" i="67"/>
  <c r="C42" i="1"/>
  <c r="C24" i="12" s="1"/>
  <c r="H100" i="43"/>
  <c r="C30" i="66"/>
  <c r="E26" i="66" s="1"/>
  <c r="B41" i="1"/>
  <c r="F48" i="9" s="1"/>
  <c r="O52" i="9" s="1"/>
  <c r="S22" i="31"/>
  <c r="J100" i="43"/>
  <c r="AB37" i="40"/>
  <c r="S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H21" i="39"/>
  <c r="AB21" i="39" s="1"/>
  <c r="W19" i="39"/>
  <c r="U19" i="39"/>
  <c r="S17" i="39"/>
  <c r="S15" i="39"/>
  <c r="AB15" i="39"/>
  <c r="AA12" i="39"/>
  <c r="S9" i="39"/>
  <c r="U14" i="39"/>
  <c r="AC13" i="39"/>
  <c r="U13" i="36"/>
  <c r="AC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W23" i="33" s="1"/>
  <c r="F85" i="33"/>
  <c r="H23" i="33"/>
  <c r="U23" i="33" s="1"/>
  <c r="F81" i="33"/>
  <c r="F19" i="33"/>
  <c r="S19" i="33" s="1"/>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G30" i="6"/>
  <c r="G31" i="6" s="1"/>
  <c r="J56" i="9"/>
  <c r="J57" i="9" s="1"/>
  <c r="J59" i="9" s="1"/>
  <c r="J61" i="9" s="1"/>
  <c r="A24" i="51"/>
  <c r="B18" i="72" s="1"/>
  <c r="U29" i="34"/>
  <c r="E14" i="6"/>
  <c r="E64" i="39" s="1"/>
  <c r="E5" i="6"/>
  <c r="D9" i="11" s="1"/>
  <c r="C9" i="11" s="1"/>
  <c r="E32" i="6"/>
  <c r="L19" i="6"/>
  <c r="G1" i="68"/>
  <c r="K1" i="12"/>
  <c r="E28" i="6"/>
  <c r="K14" i="1" s="1"/>
  <c r="M14" i="1" s="1"/>
  <c r="O14" i="1" s="1"/>
  <c r="AR10" i="1"/>
  <c r="T10" i="1"/>
  <c r="E19" i="69"/>
  <c r="E19" i="68"/>
  <c r="E19" i="11"/>
  <c r="E1" i="73"/>
  <c r="G22" i="69"/>
  <c r="G22" i="68"/>
  <c r="G26" i="12"/>
  <c r="G22" i="11"/>
  <c r="C100" i="43"/>
  <c r="E11" i="43"/>
  <c r="E10" i="43"/>
  <c r="E9" i="43"/>
  <c r="E8" i="43"/>
  <c r="C7" i="43" s="1"/>
  <c r="E81" i="43"/>
  <c r="B79" i="43" s="1"/>
  <c r="E48" i="43"/>
  <c r="B46" i="43" s="1"/>
  <c r="E70" i="43"/>
  <c r="B68" i="43" s="1"/>
  <c r="F100" i="43"/>
  <c r="H17" i="43"/>
  <c r="H85" i="43"/>
  <c r="H84" i="43"/>
  <c r="H53"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L27" i="6" s="1"/>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AC17" i="39"/>
  <c r="AA45" i="39"/>
  <c r="AB39" i="39"/>
  <c r="W34" i="39"/>
  <c r="U38"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AA33" i="21" s="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E63" i="39"/>
  <c r="T11" i="1"/>
  <c r="D19" i="12"/>
  <c r="C19" i="12" s="1"/>
  <c r="AQ9" i="1"/>
  <c r="AR11" i="1"/>
  <c r="T9" i="1"/>
  <c r="T13" i="1"/>
  <c r="S7" i="1"/>
  <c r="AQ7" i="1" s="1"/>
  <c r="E7" i="70"/>
  <c r="S39" i="40"/>
  <c r="AA12" i="33"/>
  <c r="J32" i="39"/>
  <c r="H32" i="39"/>
  <c r="U32" i="39" s="1"/>
  <c r="AA32" i="39"/>
  <c r="S32" i="39"/>
  <c r="AA21" i="39"/>
  <c r="S21" i="39"/>
  <c r="S26" i="35"/>
  <c r="U9" i="35"/>
  <c r="AA9" i="35"/>
  <c r="S9" i="35"/>
  <c r="AC26" i="35"/>
  <c r="W26" i="35"/>
  <c r="AB26" i="35"/>
  <c r="AC17" i="37"/>
  <c r="J19" i="37"/>
  <c r="W19" i="37" s="1"/>
  <c r="G75" i="37"/>
  <c r="S19" i="37"/>
  <c r="AA23" i="37"/>
  <c r="J23" i="37"/>
  <c r="G79" i="37"/>
  <c r="J10" i="37"/>
  <c r="I60" i="37"/>
  <c r="G63" i="37"/>
  <c r="H11" i="37"/>
  <c r="AB11" i="37" s="1"/>
  <c r="AB10" i="37"/>
  <c r="U10" i="37"/>
  <c r="H11" i="34"/>
  <c r="AB11" i="34" s="1"/>
  <c r="AB10" i="34"/>
  <c r="U10" i="34"/>
  <c r="J10" i="34"/>
  <c r="I67" i="34"/>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W25" i="33" s="1"/>
  <c r="AB23" i="33"/>
  <c r="F23" i="33"/>
  <c r="S23" i="33" s="1"/>
  <c r="G85" i="33"/>
  <c r="AC23" i="33"/>
  <c r="AA19" i="33"/>
  <c r="H19" i="33"/>
  <c r="AB19" i="33" s="1"/>
  <c r="G81" i="33"/>
  <c r="G79" i="33"/>
  <c r="H17" i="33"/>
  <c r="U17" i="33" s="1"/>
  <c r="F17" i="33"/>
  <c r="AA17" i="33" s="1"/>
  <c r="W17" i="33"/>
  <c r="U10" i="33"/>
  <c r="AB10" i="33"/>
  <c r="AC10" i="33"/>
  <c r="AC37" i="21"/>
  <c r="S37" i="21"/>
  <c r="AB15" i="21"/>
  <c r="J23" i="21"/>
  <c r="AC23" i="21" s="1"/>
  <c r="F85" i="21"/>
  <c r="G85" i="21" s="1"/>
  <c r="H23" i="21"/>
  <c r="U23" i="21" s="1"/>
  <c r="S13" i="21"/>
  <c r="D6" i="52"/>
  <c r="T8" i="1"/>
  <c r="R22" i="31"/>
  <c r="AP7" i="1"/>
  <c r="AC33" i="21"/>
  <c r="S33" i="21"/>
  <c r="W32" i="21"/>
  <c r="AA32" i="21"/>
  <c r="S32" i="21"/>
  <c r="W9" i="21"/>
  <c r="AC9" i="21"/>
  <c r="AB32" i="21"/>
  <c r="U32" i="21"/>
  <c r="AA10" i="21"/>
  <c r="A18" i="62"/>
  <c r="B64" i="72" s="1"/>
  <c r="AC32" i="39"/>
  <c r="W32" i="39"/>
  <c r="AC19" i="37"/>
  <c r="W23" i="37"/>
  <c r="AC23" i="37"/>
  <c r="H63" i="37"/>
  <c r="I63" i="37" s="1"/>
  <c r="J63" i="37" s="1"/>
  <c r="K63" i="37" s="1"/>
  <c r="L63" i="37" s="1"/>
  <c r="M63" i="37" s="1"/>
  <c r="J11" i="37"/>
  <c r="W11" i="37" s="1"/>
  <c r="W10" i="37"/>
  <c r="AC10" i="37"/>
  <c r="AC10" i="34"/>
  <c r="W10" i="34"/>
  <c r="J11" i="34"/>
  <c r="W11" i="34" s="1"/>
  <c r="AC36" i="33"/>
  <c r="W36" i="33"/>
  <c r="AC27" i="33"/>
  <c r="AC25" i="33"/>
  <c r="AA23" i="33"/>
  <c r="U19" i="33"/>
  <c r="AB17" i="33"/>
  <c r="AB23" i="21"/>
  <c r="W23" i="21"/>
  <c r="AC11" i="37"/>
  <c r="AC11" i="34"/>
  <c r="R7" i="1"/>
  <c r="F34" i="11"/>
  <c r="C36" i="11" s="1"/>
  <c r="F11" i="12"/>
  <c r="R8" i="1"/>
  <c r="AE7" i="1"/>
  <c r="AE8" i="1"/>
  <c r="AG6" i="1"/>
  <c r="H109" i="9"/>
  <c r="M49" i="9" s="1"/>
  <c r="L68" i="9" s="1"/>
  <c r="M68" i="9" s="1"/>
  <c r="H110" i="9"/>
  <c r="D18" i="53" s="1"/>
  <c r="B35" i="72" s="1"/>
  <c r="D16" i="53"/>
  <c r="B34" i="72" s="1"/>
  <c r="H112" i="9"/>
  <c r="D21" i="53" s="1"/>
  <c r="B39" i="72" s="1"/>
  <c r="H111" i="9"/>
  <c r="D126" i="9" s="1"/>
  <c r="I14" i="74" s="1"/>
  <c r="B8" i="74" s="1"/>
  <c r="D19" i="53"/>
  <c r="B38" i="72" s="1"/>
  <c r="D20" i="53"/>
  <c r="B40" i="72" s="1"/>
  <c r="AD3" i="71"/>
  <c r="J1" i="73"/>
  <c r="C13" i="12"/>
  <c r="H77"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68" i="39"/>
  <c r="D70" i="39" s="1"/>
  <c r="E46" i="36"/>
  <c r="F46" i="36" s="1"/>
  <c r="G46" i="36" s="1"/>
  <c r="H46" i="36" s="1"/>
  <c r="I46" i="36" s="1"/>
  <c r="AB17" i="71"/>
  <c r="X15" i="71"/>
  <c r="X14" i="71"/>
  <c r="AA15" i="71"/>
  <c r="AA14" i="71"/>
  <c r="X18" i="71"/>
  <c r="Y14" i="71"/>
  <c r="Z14" i="71" s="1"/>
  <c r="AB15" i="71"/>
  <c r="AB14" i="71"/>
  <c r="C94" i="9"/>
  <c r="C92" i="9"/>
  <c r="F16" i="71"/>
  <c r="F15" i="71"/>
  <c r="F14" i="71" s="1"/>
  <c r="F13" i="71" s="1"/>
  <c r="F12" i="71" s="1"/>
  <c r="Y15" i="71"/>
  <c r="Z15" i="71" s="1"/>
  <c r="X3" i="71"/>
  <c r="G20" i="43"/>
  <c r="E41" i="43" s="1"/>
  <c r="C41" i="43" s="1"/>
  <c r="F34" i="68"/>
  <c r="M26" i="15"/>
  <c r="B11" i="76"/>
  <c r="D2" i="36"/>
  <c r="F7" i="73"/>
  <c r="D2" i="33"/>
  <c r="F43" i="15"/>
  <c r="M9" i="15"/>
  <c r="B13" i="76"/>
  <c r="F8" i="15"/>
  <c r="AO7" i="1"/>
  <c r="F26" i="15"/>
  <c r="F13" i="67"/>
  <c r="F9" i="67"/>
  <c r="M23" i="15"/>
  <c r="L47" i="15"/>
  <c r="C76" i="15"/>
  <c r="F36" i="15"/>
  <c r="D9" i="68"/>
  <c r="M24" i="67"/>
  <c r="AO13" i="1"/>
  <c r="AO12" i="1"/>
  <c r="D2" i="34"/>
  <c r="F41" i="67"/>
  <c r="M22" i="67"/>
  <c r="B10" i="76"/>
  <c r="M27" i="67"/>
  <c r="F42" i="15"/>
  <c r="M28" i="15"/>
  <c r="M26" i="67"/>
  <c r="F3" i="73"/>
  <c r="AO10" i="1"/>
  <c r="M24" i="15"/>
  <c r="F6" i="15"/>
  <c r="F7" i="67"/>
  <c r="M23" i="67"/>
  <c r="F35" i="67"/>
  <c r="D7" i="73"/>
  <c r="F8" i="67"/>
  <c r="F20" i="31"/>
  <c r="F26" i="67"/>
  <c r="M8" i="15"/>
  <c r="L48" i="67"/>
  <c r="F40" i="15"/>
  <c r="D6" i="73"/>
  <c r="B9" i="76"/>
  <c r="F6" i="67"/>
  <c r="E2" i="68"/>
  <c r="M27" i="15"/>
  <c r="F38" i="67"/>
  <c r="L47" i="67"/>
  <c r="F16" i="15"/>
  <c r="E11" i="76"/>
  <c r="M29" i="15"/>
  <c r="B8" i="76"/>
  <c r="F37" i="67"/>
  <c r="L48" i="15"/>
  <c r="E13" i="76"/>
  <c r="M28" i="67"/>
  <c r="F4" i="73"/>
  <c r="AO11" i="1"/>
  <c r="D3" i="73"/>
  <c r="F7" i="15"/>
  <c r="J15" i="67"/>
  <c r="J15" i="15"/>
  <c r="F42" i="67"/>
  <c r="F16" i="67"/>
  <c r="M21" i="67"/>
  <c r="E7" i="76"/>
  <c r="F6" i="73"/>
  <c r="E9" i="76"/>
  <c r="B7" i="76"/>
  <c r="F36" i="67"/>
  <c r="B12" i="76"/>
  <c r="AO9" i="1"/>
  <c r="F9" i="15"/>
  <c r="D5" i="73"/>
  <c r="M9" i="67"/>
  <c r="F43" i="67"/>
  <c r="M6" i="67"/>
  <c r="C76" i="67"/>
  <c r="D4" i="73"/>
  <c r="F38" i="15"/>
  <c r="E8" i="76"/>
  <c r="M22" i="15"/>
  <c r="M8" i="67"/>
  <c r="D2" i="37"/>
  <c r="F40" i="67"/>
  <c r="E2" i="69"/>
  <c r="E10" i="76"/>
  <c r="M29" i="67"/>
  <c r="F13" i="15"/>
  <c r="D2" i="35"/>
  <c r="F5" i="73"/>
  <c r="AO8" i="1"/>
  <c r="F37" i="15"/>
  <c r="E12" i="76"/>
  <c r="D2" i="21"/>
  <c r="M6" i="15"/>
  <c r="C5" i="11" l="1"/>
  <c r="AB26" i="37"/>
  <c r="U26" i="37"/>
  <c r="W45" i="21"/>
  <c r="AC45" i="21"/>
  <c r="H49" i="43"/>
  <c r="H48" i="43"/>
  <c r="H54" i="43"/>
  <c r="H76" i="43"/>
  <c r="C77" i="9"/>
  <c r="C74" i="9" s="1"/>
  <c r="D17" i="53"/>
  <c r="B36" i="72" s="1"/>
  <c r="D124" i="9"/>
  <c r="C23" i="12"/>
  <c r="AB36" i="33"/>
  <c r="U11" i="34"/>
  <c r="U11" i="37"/>
  <c r="AB32" i="39"/>
  <c r="AB9" i="21"/>
  <c r="AA23" i="21"/>
  <c r="U33" i="21"/>
  <c r="S17" i="37"/>
  <c r="F30" i="11"/>
  <c r="AC37" i="33"/>
  <c r="AA11" i="34"/>
  <c r="AB35" i="37"/>
  <c r="S20" i="36"/>
  <c r="S23" i="39"/>
  <c r="AB23" i="39"/>
  <c r="E56" i="39"/>
  <c r="E66" i="39" s="1"/>
  <c r="H72" i="43"/>
  <c r="H55" i="43"/>
  <c r="H78" i="43"/>
  <c r="H88" i="43"/>
  <c r="H81" i="43"/>
  <c r="AQ12" i="1"/>
  <c r="E65" i="39"/>
  <c r="E16" i="6"/>
  <c r="S27" i="36"/>
  <c r="S30" i="40"/>
  <c r="U35" i="40"/>
  <c r="AC34" i="33"/>
  <c r="H82" i="43"/>
  <c r="H75" i="43"/>
  <c r="AZ380" i="3"/>
  <c r="AZ511" i="3"/>
  <c r="AZ515" i="3"/>
  <c r="AZ519" i="3"/>
  <c r="AZ565" i="3"/>
  <c r="AZ569" i="3"/>
  <c r="AZ573" i="3"/>
  <c r="AZ577" i="3"/>
  <c r="AZ508" i="3"/>
  <c r="AZ585" i="3"/>
  <c r="J9" i="36"/>
  <c r="H9" i="36"/>
  <c r="F9" i="36"/>
  <c r="J23" i="36"/>
  <c r="H23" i="36"/>
  <c r="F23" i="36"/>
  <c r="G17" i="43"/>
  <c r="C16" i="43" s="1"/>
  <c r="C5" i="43" s="1"/>
  <c r="E12" i="6"/>
  <c r="F29" i="6"/>
  <c r="F30" i="6" s="1"/>
  <c r="F31" i="6" s="1"/>
  <c r="AZ361" i="3"/>
  <c r="AZ315" i="3"/>
  <c r="AZ390" i="3"/>
  <c r="AZ347" i="3"/>
  <c r="AZ344" i="3"/>
  <c r="AZ313" i="3"/>
  <c r="AZ378" i="3"/>
  <c r="AZ327" i="3"/>
  <c r="AZ497" i="3"/>
  <c r="AZ501" i="3"/>
  <c r="AZ525" i="3"/>
  <c r="AZ533" i="3"/>
  <c r="AZ541" i="3"/>
  <c r="AZ555" i="3"/>
  <c r="AZ583" i="3"/>
  <c r="AZ510" i="3"/>
  <c r="AZ540" i="3"/>
  <c r="AZ558" i="3"/>
  <c r="U13" i="33"/>
  <c r="AB45" i="33"/>
  <c r="AA14" i="34"/>
  <c r="AB46" i="34"/>
  <c r="W11" i="36"/>
  <c r="AB11" i="35"/>
  <c r="AA13" i="35"/>
  <c r="BL586" i="3"/>
  <c r="AZ586" i="3" s="1"/>
  <c r="J9" i="33"/>
  <c r="F9" i="33"/>
  <c r="F34" i="35"/>
  <c r="J12" i="33"/>
  <c r="H12" i="33"/>
  <c r="AB12" i="33" s="1"/>
  <c r="F25" i="37"/>
  <c r="G578" i="3"/>
  <c r="G562" i="3"/>
  <c r="G526" i="3"/>
  <c r="BA550"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AZ444" i="3"/>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AZ451" i="3"/>
  <c r="AZ456" i="3"/>
  <c r="AZ458" i="3"/>
  <c r="AZ462" i="3"/>
  <c r="AZ466" i="3"/>
  <c r="AZ469" i="3"/>
  <c r="AZ472" i="3"/>
  <c r="C22" i="71"/>
  <c r="D23" i="71"/>
  <c r="U23" i="71" s="1"/>
  <c r="T23" i="71"/>
  <c r="AZ22" i="3"/>
  <c r="W18" i="36"/>
  <c r="AA21" i="37"/>
  <c r="S21" i="37"/>
  <c r="AA25" i="40"/>
  <c r="S25" i="40"/>
  <c r="D35" i="71"/>
  <c r="E22" i="71"/>
  <c r="E21" i="71" s="1"/>
  <c r="V23" i="71"/>
  <c r="C77" i="71"/>
  <c r="D77" i="71" s="1"/>
  <c r="D78" i="71"/>
  <c r="AA23" i="71"/>
  <c r="C26" i="71"/>
  <c r="X26" i="71"/>
  <c r="AA3" i="71"/>
  <c r="G489" i="3"/>
  <c r="BL489" i="3"/>
  <c r="BL491" i="3"/>
  <c r="AZ491" i="3" s="1"/>
  <c r="BA492" i="3"/>
  <c r="AZ492" i="3" s="1"/>
  <c r="G313" i="3"/>
  <c r="BA315" i="3"/>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BA262" i="3"/>
  <c r="AZ262" i="3" s="1"/>
  <c r="BA263" i="3"/>
  <c r="AZ263" i="3" s="1"/>
  <c r="BL265" i="3"/>
  <c r="AZ265" i="3" s="1"/>
  <c r="BA267" i="3"/>
  <c r="AZ267" i="3" s="1"/>
  <c r="BA268" i="3"/>
  <c r="AZ268" i="3" s="1"/>
  <c r="BA269" i="3"/>
  <c r="AZ269" i="3" s="1"/>
  <c r="BL271" i="3"/>
  <c r="AZ271" i="3" s="1"/>
  <c r="BA272" i="3"/>
  <c r="AZ272" i="3" s="1"/>
  <c r="BA273" i="3"/>
  <c r="AZ273" i="3" s="1"/>
  <c r="BL275" i="3"/>
  <c r="AZ275" i="3" s="1"/>
  <c r="G277" i="3"/>
  <c r="BL277" i="3"/>
  <c r="AZ277" i="3" s="1"/>
  <c r="G279" i="3"/>
  <c r="G280" i="3"/>
  <c r="G281" i="3"/>
  <c r="G282" i="3"/>
  <c r="BL282" i="3"/>
  <c r="AZ282" i="3" s="1"/>
  <c r="BA284" i="3"/>
  <c r="AZ284" i="3" s="1"/>
  <c r="BL286" i="3"/>
  <c r="AZ286" i="3" s="1"/>
  <c r="BL288" i="3"/>
  <c r="AZ288" i="3" s="1"/>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5" i="3" s="1"/>
  <c r="B3" i="3" s="1"/>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AZ54" i="3"/>
  <c r="K108" i="43"/>
  <c r="K100" i="43"/>
  <c r="AC21" i="33"/>
  <c r="W21" i="33"/>
  <c r="AA21" i="34"/>
  <c r="S21" i="34"/>
  <c r="C30" i="71"/>
  <c r="D29" i="71"/>
  <c r="Y22" i="71"/>
  <c r="Z22" i="71" s="1"/>
  <c r="Y21" i="71"/>
  <c r="Z21" i="71" s="1"/>
  <c r="X23" i="71"/>
  <c r="X22" i="71"/>
  <c r="AA24" i="71"/>
  <c r="E25" i="71"/>
  <c r="E26" i="71" s="1"/>
  <c r="E27" i="71" s="1"/>
  <c r="U27" i="71" s="1"/>
  <c r="AB27" i="71"/>
  <c r="AB21" i="71"/>
  <c r="X28" i="71"/>
  <c r="X27" i="71"/>
  <c r="E29" i="71"/>
  <c r="E30" i="71" s="1"/>
  <c r="E31" i="71" s="1"/>
  <c r="U31" i="71" s="1"/>
  <c r="AA28" i="71"/>
  <c r="E33" i="71"/>
  <c r="E34" i="71" s="1"/>
  <c r="E35" i="71" s="1"/>
  <c r="U35" i="71" s="1"/>
  <c r="AA32" i="71"/>
  <c r="AA31" i="71"/>
  <c r="C42" i="71"/>
  <c r="D42" i="71" s="1"/>
  <c r="D41" i="71"/>
  <c r="D83" i="71"/>
  <c r="C82" i="71"/>
  <c r="E18" i="71"/>
  <c r="E17" i="71" s="1"/>
  <c r="E16" i="71" s="1"/>
  <c r="E15" i="71" s="1"/>
  <c r="V19" i="7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I10" i="66"/>
  <c r="AB23" i="71"/>
  <c r="AB25" i="71"/>
  <c r="AB24" i="71"/>
  <c r="AA26" i="71"/>
  <c r="AA27" i="71"/>
  <c r="AB29" i="71"/>
  <c r="X30" i="71"/>
  <c r="X31" i="71"/>
  <c r="AB33" i="71"/>
  <c r="C46" i="71"/>
  <c r="D45" i="71"/>
  <c r="C50" i="71"/>
  <c r="D49" i="71"/>
  <c r="O63" i="71"/>
  <c r="C62" i="71"/>
  <c r="V63" i="71"/>
  <c r="F62" i="71"/>
  <c r="AI12" i="43"/>
  <c r="AI10" i="43"/>
  <c r="X21" i="71"/>
  <c r="AA20" i="71"/>
  <c r="AA22" i="71"/>
  <c r="Y20" i="71"/>
  <c r="Z20" i="71" s="1"/>
  <c r="B22" i="71"/>
  <c r="B21" i="71" s="1"/>
  <c r="F26" i="71"/>
  <c r="F27" i="71" s="1"/>
  <c r="V27" i="71" s="1"/>
  <c r="X24" i="71"/>
  <c r="AB26" i="71"/>
  <c r="F30" i="71"/>
  <c r="F31" i="71" s="1"/>
  <c r="V31" i="71" s="1"/>
  <c r="AB30" i="71"/>
  <c r="F34" i="71"/>
  <c r="F35" i="71" s="1"/>
  <c r="V35" i="71" s="1"/>
  <c r="B38" i="71"/>
  <c r="B39" i="71" s="1"/>
  <c r="S39" i="71" s="1"/>
  <c r="B42" i="71"/>
  <c r="B43" i="71" s="1"/>
  <c r="S43" i="71" s="1"/>
  <c r="B54" i="71"/>
  <c r="B55" i="71" s="1"/>
  <c r="S55" i="71" s="1"/>
  <c r="E54" i="71"/>
  <c r="E55" i="71" s="1"/>
  <c r="U55" i="71" s="1"/>
  <c r="W27" i="39"/>
  <c r="U21" i="39"/>
  <c r="U17" i="39"/>
  <c r="AC31" i="39"/>
  <c r="AC21" i="39"/>
  <c r="U9" i="39"/>
  <c r="S19" i="39"/>
  <c r="AC15" i="39"/>
  <c r="AC38" i="39"/>
  <c r="S38" i="39"/>
  <c r="F81" i="39"/>
  <c r="AB8" i="39"/>
  <c r="P61" i="15"/>
  <c r="C9" i="68"/>
  <c r="M18" i="15"/>
  <c r="M18" i="67"/>
  <c r="F54" i="9"/>
  <c r="F30" i="69"/>
  <c r="C30" i="69" s="1"/>
  <c r="F31" i="12"/>
  <c r="C31" i="12" s="1"/>
  <c r="D68" i="9"/>
  <c r="F28" i="15"/>
  <c r="C28" i="15" s="1"/>
  <c r="F32" i="15"/>
  <c r="F60" i="15" s="1"/>
  <c r="F32" i="67"/>
  <c r="F60" i="67" s="1"/>
  <c r="F52" i="9"/>
  <c r="F28" i="67"/>
  <c r="C28" i="67" s="1"/>
  <c r="F30" i="68"/>
  <c r="F53" i="9"/>
  <c r="C40" i="69"/>
  <c r="C21" i="69"/>
  <c r="D22" i="67"/>
  <c r="AR7" i="1"/>
  <c r="O10" i="1"/>
  <c r="P10" i="1" s="1"/>
  <c r="C36" i="69"/>
  <c r="T12" i="1"/>
  <c r="E57" i="40"/>
  <c r="E62" i="39"/>
  <c r="AR8" i="1"/>
  <c r="E59" i="40"/>
  <c r="D9" i="69"/>
  <c r="C9" i="69" s="1"/>
  <c r="O11" i="1"/>
  <c r="P11" i="1" s="1"/>
  <c r="C34" i="69"/>
  <c r="C35" i="69" s="1"/>
  <c r="T7" i="1"/>
  <c r="P6" i="1"/>
  <c r="B113" i="43"/>
  <c r="K101" i="43"/>
  <c r="N101" i="43"/>
  <c r="G101" i="43"/>
  <c r="C101" i="43"/>
  <c r="J101" i="43"/>
  <c r="N104" i="46"/>
  <c r="L101" i="43"/>
  <c r="H101" i="43"/>
  <c r="M101" i="43"/>
  <c r="E101" i="43"/>
  <c r="AF11" i="43"/>
  <c r="AF13" i="43" s="1"/>
  <c r="AD11" i="43"/>
  <c r="Z7" i="43"/>
  <c r="AI11" i="43"/>
  <c r="AI13" i="43" s="1"/>
  <c r="AG11" i="43"/>
  <c r="AA11" i="43"/>
  <c r="AA13" i="43" s="1"/>
  <c r="Y11" i="43"/>
  <c r="Y13" i="43" s="1"/>
  <c r="F22" i="43"/>
  <c r="F101" i="43"/>
  <c r="E22" i="43"/>
  <c r="H22" i="43"/>
  <c r="D101" i="43"/>
  <c r="I101" i="43"/>
  <c r="G22" i="43"/>
  <c r="AJ11" i="43"/>
  <c r="AJ13" i="43" s="1"/>
  <c r="AH11" i="43"/>
  <c r="AB11" i="43"/>
  <c r="AB13" i="43" s="1"/>
  <c r="Z11" i="43"/>
  <c r="AE11" i="43"/>
  <c r="AE13" i="43" s="1"/>
  <c r="AC11" i="43"/>
  <c r="J22" i="43"/>
  <c r="E14" i="71"/>
  <c r="E13" i="71" s="1"/>
  <c r="E12" i="71" s="1"/>
  <c r="E11" i="71" s="1"/>
  <c r="V15" i="71"/>
  <c r="D5" i="43"/>
  <c r="C38" i="43" s="1"/>
  <c r="F48" i="69"/>
  <c r="C48" i="11"/>
  <c r="C30" i="11"/>
  <c r="U45" i="21"/>
  <c r="AB45" i="21"/>
  <c r="M7" i="1"/>
  <c r="Q16" i="1"/>
  <c r="H16" i="1"/>
  <c r="C20" i="43"/>
  <c r="E68" i="39"/>
  <c r="D12" i="52"/>
  <c r="D127" i="9"/>
  <c r="D13" i="52" s="1"/>
  <c r="L67" i="9"/>
  <c r="M67" i="9" s="1"/>
  <c r="L63" i="9"/>
  <c r="M63" i="9" s="1"/>
  <c r="M69" i="9" s="1"/>
  <c r="N69" i="9" s="1"/>
  <c r="L64" i="9"/>
  <c r="M64" i="9" s="1"/>
  <c r="L66" i="9"/>
  <c r="M66" i="9" s="1"/>
  <c r="L65" i="9"/>
  <c r="M65" i="9" s="1"/>
  <c r="S17" i="33"/>
  <c r="P14" i="1"/>
  <c r="O12" i="1"/>
  <c r="P12" i="1" s="1"/>
  <c r="E29" i="6"/>
  <c r="AZ521" i="3"/>
  <c r="E56" i="40"/>
  <c r="AB27" i="36"/>
  <c r="U12" i="39"/>
  <c r="AA34" i="33"/>
  <c r="AA28" i="34"/>
  <c r="S28" i="34"/>
  <c r="S39" i="37"/>
  <c r="AA39" i="37"/>
  <c r="AA34" i="21"/>
  <c r="S34" i="21"/>
  <c r="F12" i="21"/>
  <c r="J12" i="21"/>
  <c r="H12" i="21"/>
  <c r="AB8" i="33"/>
  <c r="U8" i="33"/>
  <c r="AA9" i="33"/>
  <c r="S9" i="33"/>
  <c r="U12" i="33"/>
  <c r="K5" i="4"/>
  <c r="B47" i="48" s="1"/>
  <c r="AC28" i="21"/>
  <c r="U31" i="34"/>
  <c r="AB17" i="34"/>
  <c r="AA41" i="33"/>
  <c r="S41" i="33"/>
  <c r="U23" i="34"/>
  <c r="AB23" i="34"/>
  <c r="AB33" i="35"/>
  <c r="U33" i="35"/>
  <c r="W34" i="36"/>
  <c r="AC34" i="36"/>
  <c r="W11" i="40"/>
  <c r="AC11" i="40"/>
  <c r="BL587" i="3"/>
  <c r="AZ587" i="3" s="1"/>
  <c r="AC38" i="34"/>
  <c r="AB42" i="34"/>
  <c r="W31" i="40"/>
  <c r="H39" i="37"/>
  <c r="U35" i="33"/>
  <c r="S34" i="34"/>
  <c r="W34" i="35"/>
  <c r="H23" i="35"/>
  <c r="J23" i="35"/>
  <c r="F38" i="40"/>
  <c r="J38" i="40"/>
  <c r="H38" i="40"/>
  <c r="BL550" i="3"/>
  <c r="AZ398" i="3"/>
  <c r="AZ405" i="3"/>
  <c r="AZ407" i="3"/>
  <c r="AZ410" i="3"/>
  <c r="AZ415" i="3"/>
  <c r="AZ420" i="3"/>
  <c r="AZ426" i="3"/>
  <c r="AZ431" i="3"/>
  <c r="AZ436" i="3"/>
  <c r="AZ448" i="3"/>
  <c r="AZ452" i="3"/>
  <c r="AZ461" i="3"/>
  <c r="AZ463" i="3"/>
  <c r="AZ468" i="3"/>
  <c r="AZ470" i="3"/>
  <c r="J12" i="36"/>
  <c r="H12" i="36"/>
  <c r="J24" i="36"/>
  <c r="H24" i="36"/>
  <c r="J39" i="40"/>
  <c r="H39" i="40"/>
  <c r="BA551" i="3"/>
  <c r="AZ483" i="3"/>
  <c r="AZ489" i="3"/>
  <c r="AZ316" i="3"/>
  <c r="AZ397" i="3"/>
  <c r="AZ217" i="3"/>
  <c r="AZ220" i="3"/>
  <c r="AZ228" i="3"/>
  <c r="AZ244" i="3"/>
  <c r="AZ264" i="3"/>
  <c r="AZ270" i="3"/>
  <c r="AZ301" i="3"/>
  <c r="AZ122" i="3"/>
  <c r="AZ125" i="3"/>
  <c r="AZ153" i="3"/>
  <c r="AZ169" i="3"/>
  <c r="AZ185" i="3"/>
  <c r="AZ201" i="3"/>
  <c r="AZ207" i="3"/>
  <c r="AZ25" i="3"/>
  <c r="AZ30" i="3"/>
  <c r="AZ36" i="3"/>
  <c r="AZ40" i="3"/>
  <c r="AZ46" i="3"/>
  <c r="AZ49" i="3"/>
  <c r="AZ62" i="3"/>
  <c r="AZ65" i="3"/>
  <c r="AZ70" i="3"/>
  <c r="AZ90" i="3"/>
  <c r="AZ92" i="3"/>
  <c r="AZ96" i="3"/>
  <c r="AZ112" i="3"/>
  <c r="F3" i="35"/>
  <c r="AB20" i="71"/>
  <c r="AB22" i="71"/>
  <c r="M100" i="43"/>
  <c r="I100" i="43"/>
  <c r="E100" i="43"/>
  <c r="D100" i="43"/>
  <c r="C40" i="68"/>
  <c r="C21" i="68"/>
  <c r="D37" i="71"/>
  <c r="C38" i="71"/>
  <c r="X5" i="71"/>
  <c r="AB5" i="71"/>
  <c r="AE10" i="43"/>
  <c r="Z12" i="43"/>
  <c r="Z10" i="43"/>
  <c r="AD12" i="43"/>
  <c r="AD10" i="43"/>
  <c r="AH12" i="43"/>
  <c r="AH10" i="43"/>
  <c r="Y16" i="71"/>
  <c r="Z16" i="71" s="1"/>
  <c r="AB16" i="71"/>
  <c r="AA16" i="71"/>
  <c r="AB13" i="71"/>
  <c r="X6" i="71"/>
  <c r="AA7" i="71"/>
  <c r="X12" i="71"/>
  <c r="AA12" i="71"/>
  <c r="S23" i="71"/>
  <c r="Y5" i="71"/>
  <c r="Z5" i="71" s="1"/>
  <c r="AA5" i="71"/>
  <c r="AC12" i="43"/>
  <c r="AC10" i="43"/>
  <c r="AG12" i="43"/>
  <c r="AG13" i="43" s="1"/>
  <c r="AG10" i="43"/>
  <c r="X19" i="71"/>
  <c r="Y19" i="71"/>
  <c r="Z19" i="71" s="1"/>
  <c r="AA17" i="71"/>
  <c r="X16" i="71"/>
  <c r="X13" i="71"/>
  <c r="AA13" i="71"/>
  <c r="Y13" i="71"/>
  <c r="Z13" i="71" s="1"/>
  <c r="Y9" i="71"/>
  <c r="Z9" i="71" s="1"/>
  <c r="Y12" i="71"/>
  <c r="Z12" i="71" s="1"/>
  <c r="AB12" i="71"/>
  <c r="AA19" i="71"/>
  <c r="AB19" i="71"/>
  <c r="B19" i="71"/>
  <c r="C19" i="71"/>
  <c r="Y18" i="71"/>
  <c r="Z18" i="71" s="1"/>
  <c r="Y17" i="71"/>
  <c r="Z17" i="71" s="1"/>
  <c r="AA18" i="71"/>
  <c r="AB18" i="71"/>
  <c r="X17" i="71"/>
  <c r="AB10" i="71"/>
  <c r="AA6" i="71"/>
  <c r="X7" i="71"/>
  <c r="AB7" i="71"/>
  <c r="AB8" i="71"/>
  <c r="Y7" i="71"/>
  <c r="Z7" i="71" s="1"/>
  <c r="Y8" i="71"/>
  <c r="Z8" i="71" s="1"/>
  <c r="X10" i="71"/>
  <c r="AA10" i="71"/>
  <c r="AA8" i="71"/>
  <c r="AA9" i="71"/>
  <c r="X8" i="71"/>
  <c r="X9" i="71"/>
  <c r="AB6" i="71"/>
  <c r="AB9" i="71"/>
  <c r="Y6" i="71"/>
  <c r="Z6" i="71"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Y11" i="71"/>
  <c r="Z11" i="71" s="1"/>
  <c r="Y10" i="71"/>
  <c r="AA11" i="71"/>
  <c r="AB3" i="71"/>
  <c r="C39" i="43"/>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36" i="68"/>
  <c r="C14" i="67"/>
  <c r="C17" i="67"/>
  <c r="G1" i="73"/>
  <c r="T11" i="43" l="1"/>
  <c r="V11" i="43" s="1"/>
  <c r="T15" i="43"/>
  <c r="V15" i="43" s="1"/>
  <c r="T8" i="43"/>
  <c r="V8" i="43" s="1"/>
  <c r="T14" i="43"/>
  <c r="V14" i="43" s="1"/>
  <c r="C51" i="71"/>
  <c r="D50" i="71"/>
  <c r="C47" i="71"/>
  <c r="D46" i="71"/>
  <c r="I21" i="66"/>
  <c r="D1" i="66"/>
  <c r="E10" i="66" s="1"/>
  <c r="C81" i="71"/>
  <c r="D81" i="71" s="1"/>
  <c r="D82" i="71"/>
  <c r="D30" i="71"/>
  <c r="C31" i="71"/>
  <c r="C21" i="71"/>
  <c r="D21" i="71" s="1"/>
  <c r="D22" i="71"/>
  <c r="AA34" i="35"/>
  <c r="S34" i="35"/>
  <c r="AC9" i="33"/>
  <c r="W9" i="33"/>
  <c r="AB23" i="36"/>
  <c r="U23" i="36"/>
  <c r="AA9" i="36"/>
  <c r="S9" i="36"/>
  <c r="W9" i="36"/>
  <c r="AC9" i="36"/>
  <c r="AH13" i="43"/>
  <c r="AD13" i="43"/>
  <c r="Z13" i="43"/>
  <c r="C48" i="69"/>
  <c r="Q62" i="71"/>
  <c r="F61" i="71"/>
  <c r="C61" i="71"/>
  <c r="D62" i="71"/>
  <c r="O62" i="71"/>
  <c r="D26" i="71"/>
  <c r="C27" i="71"/>
  <c r="AZ446" i="3"/>
  <c r="AZ422" i="3"/>
  <c r="AA25" i="37"/>
  <c r="S25" i="37"/>
  <c r="W12" i="33"/>
  <c r="AC12" i="33"/>
  <c r="AA23" i="36"/>
  <c r="S23" i="36"/>
  <c r="AC23" i="36"/>
  <c r="W23" i="36"/>
  <c r="AB9" i="36"/>
  <c r="U9" i="36"/>
  <c r="H14" i="74"/>
  <c r="B7" i="74" s="1"/>
  <c r="D10" i="52"/>
  <c r="D125" i="9"/>
  <c r="D11" i="52" s="1"/>
  <c r="G81" i="39"/>
  <c r="H81" i="39" s="1"/>
  <c r="I81" i="39" s="1"/>
  <c r="J81" i="39" s="1"/>
  <c r="K81" i="39" s="1"/>
  <c r="L81" i="39" s="1"/>
  <c r="M81" i="39" s="1"/>
  <c r="F48" i="68"/>
  <c r="C30" i="68"/>
  <c r="C48" i="68"/>
  <c r="J10" i="39"/>
  <c r="AC10" i="39" s="1"/>
  <c r="C38" i="69"/>
  <c r="H10" i="40"/>
  <c r="AB10" i="40" s="1"/>
  <c r="AC13" i="43"/>
  <c r="H10" i="39"/>
  <c r="U10" i="39" s="1"/>
  <c r="J10" i="40"/>
  <c r="W10" i="40" s="1"/>
  <c r="I109" i="43"/>
  <c r="I102" i="43"/>
  <c r="I106" i="43"/>
  <c r="I103" i="43"/>
  <c r="I104" i="43"/>
  <c r="I107" i="43"/>
  <c r="I105" i="43"/>
  <c r="F104" i="43"/>
  <c r="F107" i="43"/>
  <c r="F106" i="43"/>
  <c r="F105" i="43"/>
  <c r="F109" i="43"/>
  <c r="F102" i="43"/>
  <c r="F103" i="43"/>
  <c r="M109" i="43"/>
  <c r="M102" i="43"/>
  <c r="M106" i="43"/>
  <c r="M103" i="43"/>
  <c r="M104" i="43"/>
  <c r="M107" i="43"/>
  <c r="M105" i="43"/>
  <c r="L102" i="43"/>
  <c r="L105" i="43"/>
  <c r="L104" i="43"/>
  <c r="L109" i="43"/>
  <c r="L106" i="43"/>
  <c r="L107" i="43"/>
  <c r="L103" i="43"/>
  <c r="J105" i="43"/>
  <c r="J103" i="43"/>
  <c r="J109" i="43"/>
  <c r="J104" i="43"/>
  <c r="J107" i="43"/>
  <c r="J102" i="43"/>
  <c r="J106" i="43"/>
  <c r="G103" i="43"/>
  <c r="G106" i="43"/>
  <c r="G109" i="43"/>
  <c r="G105" i="43"/>
  <c r="G102" i="43"/>
  <c r="G107" i="43"/>
  <c r="G104" i="43"/>
  <c r="K103" i="43"/>
  <c r="K107" i="43"/>
  <c r="K104" i="43"/>
  <c r="K105" i="43"/>
  <c r="K109" i="43"/>
  <c r="K102" i="43"/>
  <c r="K106" i="43"/>
  <c r="D109" i="43"/>
  <c r="D103" i="43"/>
  <c r="D104" i="43"/>
  <c r="D107" i="43"/>
  <c r="D105" i="43"/>
  <c r="D106" i="43"/>
  <c r="D102" i="43"/>
  <c r="D22" i="43"/>
  <c r="E102" i="43"/>
  <c r="E106" i="43"/>
  <c r="E103" i="43"/>
  <c r="E109" i="43"/>
  <c r="E104" i="43"/>
  <c r="E107" i="43"/>
  <c r="E105" i="43"/>
  <c r="H102" i="43"/>
  <c r="H103" i="43"/>
  <c r="H104" i="43"/>
  <c r="H107" i="43"/>
  <c r="H106" i="43"/>
  <c r="H105" i="43"/>
  <c r="H109" i="43"/>
  <c r="C105" i="43"/>
  <c r="C104" i="43"/>
  <c r="C106" i="43"/>
  <c r="C107" i="43"/>
  <c r="C103" i="43"/>
  <c r="C102" i="43"/>
  <c r="C109" i="43"/>
  <c r="N102" i="43"/>
  <c r="N103" i="43"/>
  <c r="N106" i="43"/>
  <c r="N104" i="43"/>
  <c r="N105" i="43"/>
  <c r="N107" i="43"/>
  <c r="N109"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T16" i="43"/>
  <c r="V16" i="43" s="1"/>
  <c r="C34" i="43"/>
  <c r="C37" i="43"/>
  <c r="E37" i="43" s="1"/>
  <c r="T9" i="43"/>
  <c r="V9" i="43" s="1"/>
  <c r="C35" i="43"/>
  <c r="E35" i="43" s="1"/>
  <c r="T13" i="43"/>
  <c r="V13" i="43" s="1"/>
  <c r="C33" i="43"/>
  <c r="G33" i="43" s="1"/>
  <c r="I33" i="43" s="1"/>
  <c r="T10" i="43"/>
  <c r="V10" i="43" s="1"/>
  <c r="C36" i="43"/>
  <c r="T12" i="43"/>
  <c r="V12" i="43" s="1"/>
  <c r="F7" i="36"/>
  <c r="S7" i="36" s="1"/>
  <c r="J7" i="37"/>
  <c r="H7" i="36"/>
  <c r="AB7" i="36" s="1"/>
  <c r="T36" i="36" s="1"/>
  <c r="G36" i="36" s="1"/>
  <c r="H7" i="34"/>
  <c r="F7" i="34"/>
  <c r="AA7" i="34" s="1"/>
  <c r="R49" i="34" s="1"/>
  <c r="B18" i="71"/>
  <c r="B17" i="71" s="1"/>
  <c r="B16" i="71" s="1"/>
  <c r="B15" i="71" s="1"/>
  <c r="S19" i="71"/>
  <c r="AZ551" i="3"/>
  <c r="BA5" i="3"/>
  <c r="E27" i="6" s="1"/>
  <c r="W39" i="40"/>
  <c r="AC39" i="40"/>
  <c r="AC24" i="36"/>
  <c r="W24" i="36"/>
  <c r="W12" i="36"/>
  <c r="AC12" i="36"/>
  <c r="AZ550" i="3"/>
  <c r="BL5" i="3"/>
  <c r="AC38" i="40"/>
  <c r="W38" i="40"/>
  <c r="AC23" i="35"/>
  <c r="W23" i="35"/>
  <c r="AC12" i="21"/>
  <c r="W12" i="2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O7" i="1"/>
  <c r="O16" i="1" s="1"/>
  <c r="M16" i="1"/>
  <c r="C18" i="71"/>
  <c r="T19" i="71"/>
  <c r="D19" i="71"/>
  <c r="U19" i="71" s="1"/>
  <c r="D38" i="71"/>
  <c r="C39" i="71"/>
  <c r="U39" i="40"/>
  <c r="AB39" i="40"/>
  <c r="AB24" i="36"/>
  <c r="U24" i="36"/>
  <c r="U12" i="36"/>
  <c r="AB12" i="36"/>
  <c r="AB38" i="40"/>
  <c r="U38" i="40"/>
  <c r="AA38" i="40"/>
  <c r="S38" i="40"/>
  <c r="U23" i="35"/>
  <c r="AB23" i="35"/>
  <c r="AB39" i="37"/>
  <c r="U39" i="37"/>
  <c r="AB12" i="21"/>
  <c r="U12" i="21"/>
  <c r="S12" i="21"/>
  <c r="AA12" i="21"/>
  <c r="K15" i="1"/>
  <c r="K16" i="1" s="1"/>
  <c r="E30" i="6"/>
  <c r="F68" i="39"/>
  <c r="E70" i="39"/>
  <c r="E521" i="3"/>
  <c r="F27" i="69"/>
  <c r="F28" i="12"/>
  <c r="C29" i="12" s="1"/>
  <c r="D28" i="12" s="1"/>
  <c r="F27" i="11"/>
  <c r="E10" i="71"/>
  <c r="E9" i="71" s="1"/>
  <c r="E8" i="71" s="1"/>
  <c r="E7" i="71" s="1"/>
  <c r="V11" i="71"/>
  <c r="F59" i="67"/>
  <c r="H7" i="37"/>
  <c r="AB7" i="37" s="1"/>
  <c r="T42" i="37" s="1"/>
  <c r="G42" i="37" s="1"/>
  <c r="B40" i="1"/>
  <c r="W10" i="39"/>
  <c r="U10" i="40"/>
  <c r="S10" i="39"/>
  <c r="AA10" i="39"/>
  <c r="H7" i="33"/>
  <c r="J7" i="33"/>
  <c r="D65" i="40"/>
  <c r="E63" i="40"/>
  <c r="F48" i="35"/>
  <c r="AA7" i="36"/>
  <c r="R36" i="36" s="1"/>
  <c r="AC7" i="37"/>
  <c r="V42" i="37" s="1"/>
  <c r="I42" i="37" s="1"/>
  <c r="W7" i="37"/>
  <c r="U7" i="36"/>
  <c r="AB7" i="34"/>
  <c r="T49" i="34" s="1"/>
  <c r="G49" i="34" s="1"/>
  <c r="U7" i="34"/>
  <c r="S7" i="34"/>
  <c r="AB10" i="39"/>
  <c r="AC10" i="40"/>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Q61" i="71" l="1"/>
  <c r="Q60" i="71"/>
  <c r="T31" i="71"/>
  <c r="D31" i="71"/>
  <c r="E33" i="43"/>
  <c r="AZ5" i="3"/>
  <c r="E3" i="6" s="1"/>
  <c r="T27" i="71"/>
  <c r="D27" i="71"/>
  <c r="D61" i="71"/>
  <c r="O60" i="71"/>
  <c r="O61" i="71"/>
  <c r="T47" i="71"/>
  <c r="D47" i="71"/>
  <c r="T51" i="71"/>
  <c r="D51" i="71"/>
  <c r="G37" i="43"/>
  <c r="I37" i="43" s="1"/>
  <c r="G35" i="43"/>
  <c r="I35" i="43" s="1"/>
  <c r="AC6" i="3"/>
  <c r="H6" i="3"/>
  <c r="E6" i="3" s="1"/>
  <c r="C115" i="43"/>
  <c r="D113" i="43" s="1"/>
  <c r="S4" i="43"/>
  <c r="T4" i="43" s="1"/>
  <c r="V4" i="43" s="1"/>
  <c r="S6" i="43"/>
  <c r="T6" i="43" s="1"/>
  <c r="V6" i="43" s="1"/>
  <c r="S2" i="43"/>
  <c r="T2" i="43" s="1"/>
  <c r="V2" i="43" s="1"/>
  <c r="C26" i="43" s="1"/>
  <c r="C23" i="43"/>
  <c r="C21" i="43" s="1"/>
  <c r="C29" i="43" s="1"/>
  <c r="S7" i="43"/>
  <c r="T7" i="43" s="1"/>
  <c r="V7" i="43" s="1"/>
  <c r="S5" i="43"/>
  <c r="T5" i="43" s="1"/>
  <c r="V5" i="43" s="1"/>
  <c r="S3" i="43"/>
  <c r="T3" i="43" s="1"/>
  <c r="V3" i="43" s="1"/>
  <c r="U7" i="37"/>
  <c r="E36" i="43"/>
  <c r="G36" i="43"/>
  <c r="I36" i="43" s="1"/>
  <c r="AY6" i="3"/>
  <c r="E6" i="71"/>
  <c r="E5" i="71" s="1"/>
  <c r="V7" i="71"/>
  <c r="F45" i="69"/>
  <c r="C29" i="69"/>
  <c r="D27" i="69" s="1"/>
  <c r="C47" i="69"/>
  <c r="D45" i="69" s="1"/>
  <c r="T39" i="71"/>
  <c r="D39" i="71"/>
  <c r="C17" i="71"/>
  <c r="D18" i="71"/>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9" i="6"/>
  <c r="S6" i="1" s="1"/>
  <c r="K26" i="6"/>
  <c r="M26" i="6" s="1"/>
  <c r="I26" i="6" s="1"/>
  <c r="S26" i="6" s="1"/>
  <c r="C47" i="11"/>
  <c r="D45" i="11" s="1"/>
  <c r="C29" i="11"/>
  <c r="D27" i="11" s="1"/>
  <c r="F45" i="68"/>
  <c r="C47" i="68"/>
  <c r="D45" i="68" s="1"/>
  <c r="C29" i="68"/>
  <c r="D27" i="68" s="1"/>
  <c r="F70" i="39"/>
  <c r="G68" i="39"/>
  <c r="N16" i="1"/>
  <c r="L16" i="1"/>
  <c r="C34" i="11"/>
  <c r="P7" i="1"/>
  <c r="P16" i="1" s="1"/>
  <c r="C11" i="12" s="1"/>
  <c r="B14" i="71"/>
  <c r="B13" i="71" s="1"/>
  <c r="B12" i="71" s="1"/>
  <c r="B11" i="71" s="1"/>
  <c r="S15"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AQ6" i="1"/>
  <c r="S16" i="1"/>
  <c r="T6" i="1"/>
  <c r="AR6" i="1"/>
  <c r="E29" i="43"/>
  <c r="C30" i="43"/>
  <c r="E30" i="43" s="1"/>
  <c r="C27" i="43" s="1"/>
  <c r="B10" i="71"/>
  <c r="B9" i="71" s="1"/>
  <c r="B8" i="71" s="1"/>
  <c r="B7" i="71" s="1"/>
  <c r="S11" i="71"/>
  <c r="C15" i="12"/>
  <c r="C12" i="12"/>
  <c r="C38" i="11"/>
  <c r="C35" i="11"/>
  <c r="F50" i="69"/>
  <c r="F50" i="11"/>
  <c r="F50" i="68"/>
  <c r="C16" i="71"/>
  <c r="D17" i="71"/>
  <c r="D3" i="21"/>
  <c r="D19" i="11"/>
  <c r="C19" i="11" s="1"/>
  <c r="C17" i="4"/>
  <c r="B4" i="52" s="1"/>
  <c r="B43" i="72" s="1"/>
  <c r="L18" i="9"/>
  <c r="D3" i="37"/>
  <c r="D3" i="33"/>
  <c r="E6" i="6"/>
  <c r="D14" i="12"/>
  <c r="D3" i="34"/>
  <c r="D37" i="11"/>
  <c r="C37" i="11" s="1"/>
  <c r="M18" i="9"/>
  <c r="B118" i="9" s="1"/>
  <c r="B14" i="74" s="1"/>
  <c r="B1" i="74" s="1"/>
  <c r="G70" i="39"/>
  <c r="H68" i="39"/>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C34" i="68"/>
  <c r="B6" i="76"/>
  <c r="C14" i="15"/>
  <c r="C15" i="15" l="1"/>
  <c r="C18" i="15"/>
  <c r="C35" i="68"/>
  <c r="C38" i="68"/>
  <c r="T16" i="1"/>
  <c r="E2" i="76"/>
  <c r="M27" i="6"/>
  <c r="I19" i="6"/>
  <c r="H19" i="6" s="1"/>
  <c r="H27" i="6" s="1"/>
  <c r="C8" i="74"/>
  <c r="C7" i="74"/>
  <c r="D10" i="11"/>
  <c r="C10" i="11" s="1"/>
  <c r="D20" i="12"/>
  <c r="C20" i="12" s="1"/>
  <c r="D10" i="69"/>
  <c r="C15" i="71"/>
  <c r="D16" i="7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70" i="39"/>
  <c r="I68" i="39"/>
  <c r="D17" i="12"/>
  <c r="C17" i="12" s="1"/>
  <c r="C14" i="12"/>
  <c r="C16" i="12" s="1"/>
  <c r="C20" i="11"/>
  <c r="C25" i="11" s="1"/>
  <c r="C22" i="11" s="1"/>
  <c r="C33" i="1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D10" i="68"/>
  <c r="C19" i="15" l="1"/>
  <c r="C20" i="15" s="1"/>
  <c r="C26" i="15" s="1"/>
  <c r="C28" i="11"/>
  <c r="C27" i="11" s="1"/>
  <c r="C31" i="11" s="1"/>
  <c r="D16" i="6"/>
  <c r="B3" i="76"/>
  <c r="C39" i="11"/>
  <c r="C42" i="11"/>
  <c r="R26" i="6"/>
  <c r="D8" i="74"/>
  <c r="D7" i="74"/>
  <c r="R24" i="6"/>
  <c r="R22" i="6"/>
  <c r="R25" i="6"/>
  <c r="C10" i="68"/>
  <c r="D19" i="68"/>
  <c r="S19" i="6"/>
  <c r="S27" i="6" s="1"/>
  <c r="I27" i="6"/>
  <c r="I70" i="39"/>
  <c r="J68" i="39"/>
  <c r="R23" i="6"/>
  <c r="A7" i="51"/>
  <c r="B7" i="72" s="1"/>
  <c r="C4" i="52"/>
  <c r="B45" i="72" s="1"/>
  <c r="A10" i="51"/>
  <c r="B9" i="72" s="1"/>
  <c r="D27" i="6"/>
  <c r="D31" i="6" s="1"/>
  <c r="R19" i="6"/>
  <c r="R21" i="6"/>
  <c r="C14" i="71"/>
  <c r="T15" i="71"/>
  <c r="D15" i="71"/>
  <c r="U15" i="71" s="1"/>
  <c r="C10" i="69"/>
  <c r="C8" i="69" s="1"/>
  <c r="C5" i="69" s="1"/>
  <c r="D19" i="6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B29" i="1" l="1"/>
  <c r="C18" i="12" s="1"/>
  <c r="C21" i="12" s="1"/>
  <c r="C22" i="12" s="1"/>
  <c r="C8" i="68"/>
  <c r="C23" i="15"/>
  <c r="C29" i="15" s="1"/>
  <c r="R27" i="6"/>
  <c r="R6" i="1"/>
  <c r="C19" i="69"/>
  <c r="C24" i="69" s="1"/>
  <c r="D37" i="69"/>
  <c r="C37" i="69" s="1"/>
  <c r="C33" i="69" s="1"/>
  <c r="C13" i="71"/>
  <c r="D14" i="71"/>
  <c r="I6" i="6"/>
  <c r="C11" i="39" s="1"/>
  <c r="I5" i="6"/>
  <c r="C46" i="11"/>
  <c r="C45" i="11" s="1"/>
  <c r="C43" i="11"/>
  <c r="C41" i="11" s="1"/>
  <c r="C23" i="69"/>
  <c r="J70" i="39"/>
  <c r="K68" i="39"/>
  <c r="C19" i="68"/>
  <c r="D37" i="68"/>
  <c r="C37" i="68" s="1"/>
  <c r="C33" i="68"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27" i="12" l="1"/>
  <c r="C25" i="12" s="1"/>
  <c r="C30" i="12"/>
  <c r="C28" i="12" s="1"/>
  <c r="F11" i="39"/>
  <c r="J11" i="39"/>
  <c r="H11" i="39"/>
  <c r="C57" i="15"/>
  <c r="Q49" i="15"/>
  <c r="J14" i="15"/>
  <c r="C36" i="15"/>
  <c r="C13" i="15"/>
  <c r="J19" i="15"/>
  <c r="J20" i="15"/>
  <c r="F63" i="15"/>
  <c r="C62" i="15" s="1"/>
  <c r="C34" i="15"/>
  <c r="C31" i="15" s="1"/>
  <c r="R16" i="1"/>
  <c r="C49" i="11"/>
  <c r="C51" i="11" s="1"/>
  <c r="C52" i="11" s="1"/>
  <c r="B2" i="11" s="1"/>
  <c r="B3" i="11" s="1"/>
  <c r="C20" i="69"/>
  <c r="C28" i="69" s="1"/>
  <c r="C27" i="69" s="1"/>
  <c r="C39" i="68"/>
  <c r="C42" i="68"/>
  <c r="K70" i="39"/>
  <c r="L68" i="39"/>
  <c r="C39" i="69"/>
  <c r="C43" i="69" s="1"/>
  <c r="C42" i="69"/>
  <c r="C24" i="68"/>
  <c r="C12" i="71"/>
  <c r="D13"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2" i="12" l="1"/>
  <c r="B2" i="12" s="1"/>
  <c r="B3" i="12" s="1"/>
  <c r="U11" i="39"/>
  <c r="AB11" i="39"/>
  <c r="J17" i="15"/>
  <c r="Q70" i="15"/>
  <c r="C75" i="15"/>
  <c r="C56" i="15"/>
  <c r="C65" i="15" s="1"/>
  <c r="C37" i="15"/>
  <c r="C30" i="15" s="1"/>
  <c r="C39" i="15" s="1"/>
  <c r="J13" i="15"/>
  <c r="J23" i="15" s="1"/>
  <c r="J22" i="15"/>
  <c r="C61" i="15"/>
  <c r="C59" i="15" s="1"/>
  <c r="C64" i="15"/>
  <c r="W11" i="39"/>
  <c r="AC11" i="39"/>
  <c r="AA11" i="39"/>
  <c r="S11" i="39"/>
  <c r="L57" i="15"/>
  <c r="L60" i="15" s="1"/>
  <c r="L46" i="15" s="1"/>
  <c r="C41" i="69"/>
  <c r="C56" i="11"/>
  <c r="C57" i="11" s="1"/>
  <c r="C25" i="69"/>
  <c r="C22" i="69" s="1"/>
  <c r="C31" i="69" s="1"/>
  <c r="C46" i="69"/>
  <c r="C45" i="69" s="1"/>
  <c r="D12" i="71"/>
  <c r="C11" i="71"/>
  <c r="M68" i="39"/>
  <c r="L70"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6" i="15" l="1"/>
  <c r="C80" i="15"/>
  <c r="C79" i="15" s="1"/>
  <c r="Q69" i="15"/>
  <c r="Q68" i="15" s="1"/>
  <c r="C58" i="15"/>
  <c r="C67" i="15" s="1"/>
  <c r="C68" i="15" s="1"/>
  <c r="C71" i="15" s="1"/>
  <c r="C40" i="15"/>
  <c r="B2" i="15" s="1"/>
  <c r="Q67" i="15"/>
  <c r="J16" i="15"/>
  <c r="J25" i="15" s="1"/>
  <c r="Q57" i="15"/>
  <c r="C49" i="69"/>
  <c r="C51" i="69" s="1"/>
  <c r="C52" i="69" s="1"/>
  <c r="B2" i="69" s="1"/>
  <c r="B3" i="69" s="1"/>
  <c r="C49" i="68"/>
  <c r="C51" i="68" s="1"/>
  <c r="N68" i="39"/>
  <c r="M70" i="39"/>
  <c r="C10" i="71"/>
  <c r="T11" i="71"/>
  <c r="D11" i="71"/>
  <c r="U11" i="71" s="1"/>
  <c r="R39" i="35"/>
  <c r="E38" i="35"/>
  <c r="M63" i="40"/>
  <c r="L65" i="40"/>
  <c r="D19" i="9"/>
  <c r="AO6" i="1"/>
  <c r="Q56" i="15" l="1"/>
  <c r="C46" i="15"/>
  <c r="C83" i="15"/>
  <c r="C82" i="15" s="1"/>
  <c r="Q65" i="15"/>
  <c r="Q75" i="15" s="1"/>
  <c r="C43" i="15"/>
  <c r="Q47" i="15"/>
  <c r="Q53" i="15" s="1"/>
  <c r="Q62" i="15"/>
  <c r="D102" i="9"/>
  <c r="D21" i="9"/>
  <c r="B6" i="70"/>
  <c r="B2" i="70" s="1"/>
  <c r="B3" i="70" s="1"/>
  <c r="B3" i="15"/>
  <c r="C57" i="69"/>
  <c r="C56" i="69" s="1"/>
  <c r="D10" i="71"/>
  <c r="C9" i="71"/>
  <c r="N70" i="39"/>
  <c r="O68" i="39"/>
  <c r="O70" i="39" s="1"/>
  <c r="F7" i="39" s="1"/>
  <c r="C39" i="35"/>
  <c r="B2" i="35" s="1"/>
  <c r="B3" i="35" s="1"/>
  <c r="C38" i="35"/>
  <c r="N63" i="40"/>
  <c r="M65" i="40"/>
  <c r="E43" i="35"/>
  <c r="F43" i="35" s="1"/>
  <c r="E42" i="35"/>
  <c r="F42" i="35" s="1"/>
  <c r="I43" i="35"/>
  <c r="J43" i="35" s="1"/>
  <c r="D20" i="9"/>
  <c r="D103" i="9" l="1"/>
  <c r="S7" i="39"/>
  <c r="AA7" i="39"/>
  <c r="R47" i="39" s="1"/>
  <c r="D9" i="71"/>
  <c r="C8" i="71"/>
  <c r="H7" i="39"/>
  <c r="J7" i="39"/>
  <c r="O63" i="40"/>
  <c r="O65" i="40" s="1"/>
  <c r="N65" i="40"/>
  <c r="AC7" i="39" l="1"/>
  <c r="V47" i="39" s="1"/>
  <c r="I47" i="39" s="1"/>
  <c r="W7" i="39"/>
  <c r="D8" i="71"/>
  <c r="C7" i="71"/>
  <c r="E47" i="39"/>
  <c r="AB7" i="39"/>
  <c r="T47" i="39" s="1"/>
  <c r="G47" i="39" s="1"/>
  <c r="U7" i="39"/>
  <c r="J7" i="40"/>
  <c r="F7" i="40"/>
  <c r="H7" i="40"/>
  <c r="R48" i="39" l="1"/>
  <c r="C48" i="39" s="1"/>
  <c r="E51" i="39"/>
  <c r="F51" i="39" s="1"/>
  <c r="E52" i="39"/>
  <c r="F52" i="39" s="1"/>
  <c r="C6" i="71"/>
  <c r="T7" i="71"/>
  <c r="D7" i="71"/>
  <c r="U7" i="71" s="1"/>
  <c r="G52" i="39"/>
  <c r="H52" i="39" s="1"/>
  <c r="G51" i="39"/>
  <c r="H51" i="39" s="1"/>
  <c r="I52" i="39"/>
  <c r="J52" i="39" s="1"/>
  <c r="I51" i="39"/>
  <c r="J51" i="39" s="1"/>
  <c r="U7" i="40"/>
  <c r="AB7" i="40"/>
  <c r="T42" i="40" s="1"/>
  <c r="G42" i="40" s="1"/>
  <c r="AA7" i="40"/>
  <c r="R42" i="40" s="1"/>
  <c r="S7" i="40"/>
  <c r="AC7" i="40"/>
  <c r="V42" i="40" s="1"/>
  <c r="I42" i="40" s="1"/>
  <c r="W7" i="40"/>
  <c r="C47" i="39" l="1"/>
  <c r="B56" i="39"/>
  <c r="F56" i="39" s="1"/>
  <c r="B64" i="39"/>
  <c r="F64" i="39" s="1"/>
  <c r="B65" i="39"/>
  <c r="F65" i="39" s="1"/>
  <c r="B61" i="39"/>
  <c r="F61" i="39" s="1"/>
  <c r="B60" i="39"/>
  <c r="F60" i="39" s="1"/>
  <c r="B57" i="39"/>
  <c r="F57" i="39" s="1"/>
  <c r="B58" i="39"/>
  <c r="F58" i="39" s="1"/>
  <c r="B63" i="39"/>
  <c r="F63" i="39" s="1"/>
  <c r="B59" i="39"/>
  <c r="F59" i="39" s="1"/>
  <c r="B62" i="39"/>
  <c r="F62" i="39" s="1"/>
  <c r="D6" i="71"/>
  <c r="C5" i="71"/>
  <c r="I46" i="40"/>
  <c r="J46" i="40" s="1"/>
  <c r="R43" i="40"/>
  <c r="E42" i="40"/>
  <c r="G47" i="40"/>
  <c r="H47" i="40" s="1"/>
  <c r="G46" i="40"/>
  <c r="H46" i="40" s="1"/>
  <c r="F66" i="39" l="1"/>
  <c r="B2" i="39" s="1"/>
  <c r="D5" i="71"/>
  <c r="M20" i="43" s="1"/>
  <c r="C42" i="40"/>
  <c r="C43" i="40"/>
  <c r="E47" i="40"/>
  <c r="F47" i="40" s="1"/>
  <c r="E46" i="40"/>
  <c r="F46" i="40" s="1"/>
  <c r="I47" i="40"/>
  <c r="J47" i="40" s="1"/>
  <c r="B3" i="39" l="1"/>
  <c r="C6" i="68"/>
  <c r="F34"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s="1"/>
  <c r="C25" i="68" s="1"/>
  <c r="C23" i="68" l="1"/>
  <c r="C22" i="68" s="1"/>
  <c r="C28" i="68"/>
  <c r="C27" i="68" s="1"/>
  <c r="C31" i="68" l="1"/>
  <c r="C52" i="68" s="1"/>
  <c r="B2" i="68" s="1"/>
  <c r="C19" i="9"/>
  <c r="B3" i="68"/>
  <c r="C57" i="68" l="1"/>
  <c r="C56" i="68" s="1"/>
  <c r="D22" i="9"/>
  <c r="G19" i="9"/>
  <c r="C102" i="9"/>
  <c r="C21" i="9"/>
  <c r="C20" i="9"/>
  <c r="I34" i="1" l="1"/>
  <c r="AI30" i="1" s="1"/>
  <c r="F35" i="9"/>
  <c r="G20" i="9"/>
  <c r="C103" i="9"/>
  <c r="G21" i="9"/>
  <c r="C32" i="9" l="1"/>
  <c r="D35" i="9"/>
  <c r="C35" i="9" l="1"/>
  <c r="C34" i="9" s="1"/>
  <c r="H118" i="9"/>
  <c r="H101" i="9" s="1"/>
  <c r="D34" i="9"/>
  <c r="I118" i="9" l="1"/>
  <c r="C105" i="9" s="1"/>
  <c r="C104" i="9"/>
  <c r="D14" i="74"/>
  <c r="B5" i="74" s="1"/>
  <c r="C5" i="74" s="1"/>
  <c r="D45" i="9"/>
  <c r="C93" i="9" s="1"/>
  <c r="C86" i="9" s="1"/>
  <c r="H107" i="9"/>
  <c r="H4" i="52"/>
  <c r="H119" i="9"/>
  <c r="H5" i="52" s="1"/>
  <c r="F118" i="9"/>
  <c r="G118" i="9" s="1"/>
  <c r="G4" i="52" s="1"/>
  <c r="B52" i="72" s="1"/>
  <c r="D5" i="74"/>
  <c r="M48" i="9"/>
  <c r="D5" i="53"/>
  <c r="D52" i="9" l="1"/>
  <c r="D53" i="9"/>
  <c r="C85" i="9"/>
  <c r="C64" i="9"/>
  <c r="C63" i="9" s="1"/>
  <c r="C67" i="9" s="1"/>
  <c r="C68" i="9" s="1"/>
  <c r="D54" i="9" s="1"/>
  <c r="C72" i="9"/>
  <c r="D55" i="9"/>
  <c r="M53" i="9" s="1"/>
  <c r="C78" i="9"/>
  <c r="C73" i="9" s="1"/>
  <c r="E14" i="74"/>
  <c r="I4" i="52"/>
  <c r="F14" i="74"/>
  <c r="H102" i="9"/>
  <c r="D7" i="53" s="1"/>
  <c r="B21" i="72" s="1"/>
  <c r="D122" i="9"/>
  <c r="H108" i="9"/>
  <c r="D15" i="53" s="1"/>
  <c r="B31" i="72" s="1"/>
  <c r="D13" i="53"/>
  <c r="C95" i="9"/>
  <c r="C96" i="9" s="1"/>
  <c r="E96" i="9" s="1"/>
  <c r="E97" i="9" s="1"/>
  <c r="F119" i="9"/>
  <c r="F5" i="52" s="1"/>
  <c r="B53" i="72" s="1"/>
  <c r="F4" i="52"/>
  <c r="B51" i="72" s="1"/>
  <c r="D59" i="9"/>
  <c r="M55" i="9" s="1"/>
  <c r="D6" i="53"/>
  <c r="B22" i="72" s="1"/>
  <c r="B20" i="72"/>
  <c r="C79" i="9" l="1"/>
  <c r="C80" i="9" s="1"/>
  <c r="E80" i="9" s="1"/>
  <c r="E81" i="9" s="1"/>
  <c r="B30" i="72"/>
  <c r="D14" i="53"/>
  <c r="B32" i="72" s="1"/>
  <c r="G14" i="74"/>
  <c r="B6" i="74" s="1"/>
  <c r="D123" i="9"/>
  <c r="D9" i="52" s="1"/>
  <c r="D8" i="52"/>
  <c r="C97" i="9"/>
  <c r="D58" i="9" s="1"/>
  <c r="D56" i="9" s="1"/>
  <c r="M54" i="9" s="1"/>
  <c r="N57" i="9" s="1"/>
  <c r="C81" i="9" l="1"/>
  <c r="D6" i="74"/>
  <c r="C6" i="74"/>
  <c r="N59" i="9"/>
  <c r="P57" i="9"/>
  <c r="N58" i="9"/>
  <c r="N60" i="9" l="1"/>
  <c r="N61" i="9"/>
  <c r="D118" i="9"/>
  <c r="E118" i="9" s="1"/>
  <c r="E4" i="52" s="1"/>
  <c r="B48" i="72" s="1"/>
  <c r="D119" i="9" l="1"/>
  <c r="D5" i="52" s="1"/>
  <c r="B49" i="72" s="1"/>
  <c r="D4" i="52"/>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<sst xmlns="http://schemas.openxmlformats.org/spreadsheetml/2006/main" count="7436" uniqueCount="3163">
  <si>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</si>
  <si>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</si>
  <si>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</si>
  <si>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</si>
  <si>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</si>
  <si>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</si>
  <si>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</si>
  <si>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</si>
  <si>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</si>
  <si>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</si>
  <si>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</si>
  <si>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</si>
  <si>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</si>
  <si>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</si>
  <si>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</si>
  <si>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</si>
  <si>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</si>
  <si>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</si>
  <si>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</si>
  <si>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</si>
  <si>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</si>
  <si>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</si>
  <si>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</si>
  <si>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</si>
  <si>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</si>
  <si>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</si>
  <si>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</si>
  <si>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</si>
  <si>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</si>
  <si>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</si>
  <si>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</si>
  <si>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</si>
  <si>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</si>
  <si>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</si>
  <si>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</si>
  <si>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</si>
  <si>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</si>
  <si>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</si>
  <si>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</si>
  <si>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</si>
  <si>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</si>
  <si>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</si>
  <si>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</si>
  <si>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</si>
  <si>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</si>
  <si>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</si>
  <si>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</si>
  <si>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</si>
  <si>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</si>
  <si>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</si>
  <si>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</si>
  <si>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</si>
  <si>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</si>
  <si>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</si>
  <si>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</si>
  <si>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</si>
  <si>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</si>
  <si>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</si>
  <si>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</si>
  <si>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</si>
  <si>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</si>
  <si>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</si>
  <si>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</si>
  <si>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</si>
  <si>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</si>
  <si>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</si>
  <si>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</si>
  <si>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</si>
  <si>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</si>
  <si>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</si>
  <si>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</si>
  <si>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</si>
  <si>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</si>
  <si>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</si>
  <si>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</si>
  <si>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</si>
  <si>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</si>
  <si>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</si>
  <si>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</si>
  <si>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</si>
  <si>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</si>
  <si>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</si>
  <si>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</si>
  <si>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</si>
  <si>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</si>
  <si>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</si>
  <si>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</si>
  <si>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</si>
  <si>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</si>
  <si>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</si>
  <si>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</si>
  <si>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</si>
  <si>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</si>
  <si>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</si>
  <si>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</si>
  <si>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</si>
  <si>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</si>
  <si>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</si>
  <si>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</si>
  <si>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</si>
  <si>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</si>
  <si>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</si>
  <si>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</si>
  <si>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</si>
  <si>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</si>
  <si>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</si>
  <si>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</si>
  <si>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</si>
  <si>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</si>
  <si>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</si>
  <si>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</si>
  <si>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</si>
  <si>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</si>
  <si>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</si>
  <si>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</si>
  <si>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</si>
  <si>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</si>
  <si>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</si>
  <si>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</si>
  <si>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</si>
  <si>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</si>
  <si>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</si>
  <si>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</si>
  <si>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</si>
  <si>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</si>
  <si>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</si>
  <si>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</si>
  <si>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</si>
  <si>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</si>
  <si>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</si>
  <si>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</si>
  <si>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</si>
  <si>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</si>
  <si>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</si>
  <si>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</si>
  <si>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</si>
  <si>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</si>
  <si>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</si>
  <si>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</si>
  <si>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</si>
  <si>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</si>
  <si>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</si>
  <si>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</si>
  <si>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</si>
  <si>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</si>
  <si>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</si>
  <si>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</si>
  <si>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</si>
  <si>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</si>
  <si>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</si>
  <si>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</si>
  <si>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</si>
  <si>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</si>
  <si>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</si>
  <si>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</si>
  <si>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</si>
  <si>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</si>
  <si>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</si>
  <si>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</si>
  <si>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</si>
  <si>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</si>
  <si>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</si>
  <si>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</si>
  <si>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</si>
  <si>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</si>
  <si>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</si>
  <si>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</si>
  <si>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</si>
  <si>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</si>
  <si>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</si>
  <si>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</si>
  <si>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</si>
  <si>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</si>
  <si>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</si>
  <si>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</si>
  <si>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</si>
  <si>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</si>
  <si>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</si>
  <si>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</si>
  <si>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</si>
  <si>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</si>
  <si>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</si>
  <si>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</si>
  <si>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</si>
  <si>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</si>
  <si>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</si>
  <si>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</si>
  <si>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</si>
  <si>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</si>
  <si>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</si>
  <si>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</si>
  <si>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</si>
  <si>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</si>
  <si>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</si>
  <si>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</si>
  <si>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</si>
  <si>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</si>
  <si>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</si>
  <si>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</si>
  <si>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</si>
  <si>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</si>
  <si>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</si>
  <si>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</si>
  <si>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</si>
  <si>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</si>
  <si>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</si>
  <si>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</si>
  <si>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</si>
  <si>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</si>
  <si>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</si>
  <si>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</si>
  <si>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</si>
  <si>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</si>
  <si>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</si>
  <si>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</si>
  <si>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</si>
  <si>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</si>
  <si>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</si>
  <si>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</si>
  <si>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</si>
  <si>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</si>
  <si>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</si>
  <si>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</si>
  <si>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</si>
  <si>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</si>
  <si>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</si>
  <si>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</si>
  <si>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</si>
  <si>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</si>
  <si>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</si>
  <si>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</si>
  <si>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</si>
  <si>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</si>
  <si>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</si>
  <si>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</si>
  <si>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</si>
  <si>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</si>
  <si>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</si>
  <si>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</si>
  <si>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</si>
  <si>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</si>
  <si>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</si>
  <si>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</si>
  <si>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</si>
  <si>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</si>
  <si>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</si>
  <si>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</si>
  <si>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</si>
  <si>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</si>
  <si>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</si>
  <si>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</si>
  <si>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</si>
  <si>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</si>
  <si>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</si>
  <si>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</si>
  <si>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</si>
  <si>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</si>
  <si>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</si>
  <si>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</si>
  <si>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</si>
  <si>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</si>
  <si>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</si>
  <si>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</si>
  <si>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</si>
  <si>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</si>
  <si>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</si>
  <si>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</si>
  <si>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</si>
  <si>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</si>
  <si>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</si>
  <si>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</si>
  <si>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</si>
  <si>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</si>
  <si>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</si>
  <si>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</si>
  <si>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</si>
  <si>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</si>
  <si>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</si>
  <si>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</si>
  <si>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</si>
  <si>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</si>
  <si>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</si>
  <si>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</si>
  <si>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</si>
  <si>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</si>
  <si>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</si>
  <si>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</si>
  <si>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</si>
  <si>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</si>
  <si>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</si>
  <si>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</si>
  <si>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</si>
  <si>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</si>
  <si>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</si>
  <si>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</si>
  <si>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</si>
  <si>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</si>
  <si>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</si>
  <si>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</si>
  <si>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</si>
  <si>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</si>
  <si>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</si>
  <si>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</si>
  <si>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</si>
  <si>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</si>
  <si>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</si>
  <si>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</si>
  <si>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</si>
  <si>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</si>
  <si>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</si>
  <si>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</si>
  <si>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</si>
  <si>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</si>
  <si>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</si>
  <si>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</si>
  <si>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</si>
  <si>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</si>
  <si>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</si>
  <si>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</si>
  <si>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</si>
  <si>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</si>
  <si>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</si>
  <si>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</si>
  <si>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</si>
  <si>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</si>
  <si>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</si>
  <si>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</si>
  <si>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</si>
  <si>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</si>
  <si>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</si>
  <si>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</si>
  <si>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</si>
  <si>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</si>
  <si>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</si>
  <si>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</si>
  <si>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</si>
  <si>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</si>
  <si>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</si>
  <si>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</si>
  <si>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</si>
  <si>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</si>
  <si>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</si>
  <si>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</si>
  <si>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</si>
  <si>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</si>
  <si>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</si>
  <si>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</si>
  <si>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</si>
  <si>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</si>
  <si>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</si>
  <si>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</si>
  <si>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</si>
  <si>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</si>
  <si>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</si>
  <si>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</si>
  <si>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</si>
  <si>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</si>
  <si>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</si>
  <si>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</si>
  <si>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</si>
  <si>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</si>
  <si>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</si>
  <si>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</si>
  <si>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</si>
  <si>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</si>
  <si>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</si>
  <si>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</si>
  <si>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</si>
  <si>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</si>
  <si>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</si>
  <si>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</si>
  <si>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</si>
  <si>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</si>
  <si>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</si>
  <si>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</si>
  <si>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</si>
  <si>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</si>
  <si>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</si>
  <si>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</si>
  <si>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</si>
  <si>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</si>
  <si>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</si>
  <si>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</si>
  <si>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</si>
  <si>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</si>
  <si>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</si>
  <si>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</si>
  <si>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</si>
  <si>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</si>
  <si>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</si>
  <si>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</si>
  <si>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</si>
  <si>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</si>
  <si>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</si>
  <si>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</si>
  <si>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</si>
  <si>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</si>
  <si>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</si>
  <si>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</si>
  <si>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</si>
  <si>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</si>
  <si>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</si>
  <si>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</si>
  <si>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</si>
  <si>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</si>
  <si>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</si>
  <si>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</si>
  <si>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</si>
  <si>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</si>
  <si>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</si>
  <si>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</si>
  <si>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</si>
  <si>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</si>
  <si>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</si>
  <si>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</si>
  <si>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</si>
  <si>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</si>
  <si>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</si>
  <si>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</si>
  <si>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</si>
  <si>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</si>
  <si>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</si>
  <si>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</si>
  <si>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</si>
  <si>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</si>
  <si>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</si>
  <si>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</si>
  <si>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</si>
  <si>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</si>
  <si>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</si>
  <si>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</si>
  <si>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</si>
  <si>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</si>
  <si>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</si>
  <si>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</si>
  <si>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</si>
  <si>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</si>
  <si>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</si>
  <si>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</si>
  <si>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</si>
  <si>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</si>
  <si>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</si>
  <si>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</si>
  <si>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</si>
  <si>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</si>
  <si>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</si>
  <si>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</si>
  <si>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</si>
  <si>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</si>
  <si>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</si>
  <si>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</si>
  <si>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</si>
  <si>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</si>
  <si>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</si>
  <si>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</si>
  <si>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</si>
  <si>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</si>
  <si>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</si>
  <si>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</si>
  <si>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</si>
  <si>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</si>
  <si>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</si>
  <si>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</si>
  <si>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</si>
  <si>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</si>
  <si>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</si>
  <si>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</si>
  <si>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</si>
  <si>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</si>
  <si>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</si>
  <si>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</si>
  <si>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</si>
  <si>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</si>
  <si>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</si>
  <si>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</si>
  <si>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</si>
  <si>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</si>
  <si>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</si>
  <si>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</si>
  <si>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</si>
  <si>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</si>
  <si>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</si>
  <si>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</si>
  <si>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</si>
  <si>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</si>
  <si>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</si>
  <si>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</si>
  <si>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</si>
  <si>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</si>
  <si>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</si>
  <si>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</si>
  <si>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</si>
  <si>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</si>
  <si>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</si>
  <si>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</si>
  <si>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</si>
  <si>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</si>
  <si>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</si>
  <si>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</si>
  <si>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</si>
  <si>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</si>
  <si>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</si>
  <si>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</si>
  <si>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</si>
  <si>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</si>
  <si>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</si>
  <si>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</si>
  <si>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</si>
  <si>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</si>
  <si>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</si>
  <si>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</si>
  <si>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</si>
  <si>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</si>
  <si>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</si>
  <si>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</si>
  <si>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</si>
  <si>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</si>
  <si>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</si>
  <si>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</si>
  <si>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</si>
  <si>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</si>
  <si>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</si>
  <si>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</si>
  <si>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</si>
  <si>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</si>
  <si>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</si>
  <si>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</si>
  <si>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</si>
  <si>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</si>
  <si>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</si>
  <si>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</si>
  <si>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</si>
  <si>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</si>
  <si>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</si>
  <si>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</si>
  <si>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</si>
  <si>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</si>
  <si>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</si>
  <si>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</si>
  <si>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</si>
  <si>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</si>
  <si>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</si>
  <si>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</si>
  <si>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</si>
  <si>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</si>
  <si>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</si>
  <si>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</si>
  <si>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</si>
  <si>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</si>
  <si>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</si>
  <si>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</si>
  <si>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</si>
  <si>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</si>
  <si>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</si>
  <si>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</si>
  <si>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</si>
  <si>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</si>
  <si>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</si>
  <si>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</si>
  <si>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</si>
  <si>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</si>
  <si>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</si>
  <si>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</si>
  <si>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</si>
  <si>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</si>
  <si>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</si>
  <si>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</si>
  <si>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</si>
  <si>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</si>
  <si>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</si>
  <si>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</si>
  <si>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</si>
  <si>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</si>
  <si>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</si>
  <si>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</si>
  <si>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</si>
  <si>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</si>
  <si>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</si>
  <si>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</si>
  <si>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</si>
  <si>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</si>
  <si>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</si>
  <si>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</si>
  <si>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</si>
  <si>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</si>
  <si>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</si>
  <si>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</si>
  <si>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</si>
  <si>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</si>
  <si>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</si>
  <si>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</si>
  <si>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</si>
  <si>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</si>
  <si>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</si>
  <si>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</si>
  <si>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</si>
  <si>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</si>
  <si>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</si>
  <si>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</si>
  <si>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</si>
  <si>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</si>
  <si>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</si>
  <si>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</si>
  <si>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</si>
  <si>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</si>
  <si>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</si>
  <si>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</si>
  <si>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</si>
  <si>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</si>
  <si>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</si>
  <si>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</si>
  <si>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</si>
  <si>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</si>
  <si>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</si>
  <si>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</si>
  <si>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</si>
  <si>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</si>
  <si>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</si>
  <si>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</si>
  <si>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</si>
  <si>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</si>
  <si>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</si>
  <si>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</si>
  <si>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</si>
  <si>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</si>
  <si>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</si>
  <si>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</si>
  <si>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</si>
  <si>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</si>
  <si>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</si>
  <si>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</si>
  <si>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</si>
  <si>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</si>
  <si>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</si>
  <si>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</si>
  <si>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</si>
  <si>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</si>
  <si>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</si>
  <si>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</si>
  <si>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</si>
  <si>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</si>
  <si>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</si>
  <si>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</si>
  <si>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</si>
  <si>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</si>
  <si>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</si>
  <si>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</si>
  <si>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</si>
  <si>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</si>
  <si>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</si>
  <si>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</si>
  <si>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</si>
  <si>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</si>
  <si>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</si>
  <si>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</si>
  <si>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</si>
  <si>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</si>
  <si>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</si>
  <si>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</si>
  <si>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</si>
  <si>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</si>
  <si>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</si>
  <si>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</si>
  <si>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</si>
  <si>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</si>
  <si>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</si>
  <si>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</si>
  <si>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</si>
  <si>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</si>
  <si>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</si>
  <si>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</si>
  <si>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</si>
  <si>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</si>
  <si>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</si>
  <si>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</si>
  <si>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</si>
  <si>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</si>
  <si>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</si>
  <si>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</si>
  <si>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</si>
  <si>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</si>
  <si>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</si>
  <si>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</si>
  <si>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</si>
  <si>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</si>
  <si>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</si>
  <si>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</si>
  <si>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</si>
  <si>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</si>
  <si>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</si>
  <si>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</si>
  <si>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</si>
  <si>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</si>
  <si>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</si>
  <si>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</si>
  <si>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</si>
  <si>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</si>
  <si>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</si>
  <si>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</si>
  <si>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</si>
  <si>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</si>
  <si>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</si>
  <si>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</si>
  <si>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</si>
  <si>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</si>
  <si>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</si>
  <si>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</si>
  <si>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</si>
  <si>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</si>
  <si>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</si>
  <si>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</si>
  <si>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</si>
  <si>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</si>
  <si>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</si>
  <si>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</si>
  <si>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</si>
  <si>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</si>
  <si>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</si>
  <si>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</si>
  <si>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</si>
  <si>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</si>
  <si>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</si>
  <si>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</si>
  <si>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</si>
  <si>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</si>
  <si>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</si>
  <si>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</si>
  <si>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</si>
  <si>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</si>
  <si>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</si>
  <si>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</si>
  <si>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</si>
  <si>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</si>
  <si>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</si>
  <si>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</si>
  <si>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</si>
  <si>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</si>
  <si>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</si>
  <si>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</si>
  <si>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</si>
  <si>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</si>
  <si>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</si>
  <si>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</si>
  <si>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</si>
  <si>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</si>
  <si>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</si>
  <si>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</si>
  <si>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</si>
  <si>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</si>
  <si>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</si>
  <si>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</si>
  <si>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</si>
  <si>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</si>
  <si>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</si>
  <si>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</si>
  <si>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</si>
  <si>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</si>
  <si>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</si>
  <si>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</si>
  <si>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</si>
  <si>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</si>
  <si>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</si>
  <si>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</si>
  <si>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</si>
  <si>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</si>
  <si>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</si>
  <si>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</si>
  <si>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</si>
  <si>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</si>
  <si>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</si>
  <si>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</si>
  <si>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</si>
  <si>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</si>
  <si>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</si>
  <si>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</si>
  <si>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</si>
  <si>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</si>
  <si>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</si>
  <si>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</si>
  <si>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</si>
  <si>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</si>
  <si>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</si>
  <si>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</si>
  <si>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</si>
  <si>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</si>
  <si>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</si>
  <si>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</si>
  <si>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</si>
  <si>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</si>
  <si>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</si>
  <si>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</si>
  <si>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</si>
  <si>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</si>
  <si>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</si>
  <si>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</si>
  <si>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</si>
  <si>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</si>
  <si>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</si>
  <si>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</si>
  <si>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</si>
  <si>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</si>
  <si>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</si>
  <si>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</si>
  <si>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</si>
  <si>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</si>
  <si>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</si>
  <si>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</si>
  <si>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</si>
  <si>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</si>
  <si>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</si>
  <si>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</si>
  <si>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</si>
  <si>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</si>
  <si>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</si>
  <si>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</si>
  <si>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</si>
  <si>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</si>
  <si>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</si>
  <si>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</si>
  <si>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</si>
  <si>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</si>
  <si>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</si>
  <si>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</si>
  <si>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</si>
  <si>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</si>
  <si>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</si>
  <si>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</si>
  <si>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</si>
  <si>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</si>
  <si>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</si>
  <si>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</si>
  <si>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</si>
  <si>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</si>
  <si>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</si>
  <si>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</si>
  <si>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</si>
  <si>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</si>
  <si>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</si>
  <si>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</si>
  <si>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</si>
  <si>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</si>
  <si>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</si>
  <si>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</si>
  <si>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</si>
  <si>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</si>
  <si>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</si>
  <si>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</si>
  <si>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</si>
  <si>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</si>
  <si>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</si>
  <si>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</si>
  <si>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</si>
  <si>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</si>
  <si>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</si>
  <si>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</si>
  <si>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</si>
  <si>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</si>
  <si>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</si>
  <si>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</si>
  <si>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</si>
  <si>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</si>
  <si>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</si>
  <si>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</si>
  <si>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</si>
  <si>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</si>
  <si>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</si>
  <si>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</si>
  <si>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</si>
  <si>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</si>
  <si>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</si>
  <si>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</si>
  <si>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</si>
  <si>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</si>
  <si>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</si>
  <si>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</si>
  <si>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</si>
  <si>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</si>
  <si>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</si>
  <si>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</si>
  <si>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</si>
  <si>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</si>
  <si>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</si>
  <si>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</si>
  <si>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</si>
  <si>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</si>
  <si>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</si>
  <si>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</si>
  <si>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</si>
  <si>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</si>
  <si>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</si>
  <si>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</si>
  <si>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</si>
  <si>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</si>
  <si>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</si>
  <si>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</si>
  <si>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</si>
  <si>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</si>
  <si>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</si>
  <si>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</si>
  <si>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</si>
  <si>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</si>
  <si>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</si>
  <si>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</si>
  <si>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</si>
  <si>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</si>
  <si>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</si>
  <si>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</si>
  <si>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</si>
  <si>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</si>
  <si>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</si>
  <si>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</si>
  <si>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</si>
  <si>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</si>
  <si>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</si>
  <si>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</si>
  <si>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</si>
  <si>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</si>
  <si>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</si>
  <si>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</si>
  <si>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</si>
  <si>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</si>
  <si>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</si>
  <si>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</si>
  <si>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</si>
  <si>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</si>
  <si>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</si>
  <si>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</si>
  <si>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</si>
  <si>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</si>
  <si>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</si>
  <si>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</si>
  <si>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</si>
  <si>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</si>
  <si>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</si>
  <si>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</si>
  <si>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</si>
  <si>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</si>
  <si>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</si>
  <si>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</si>
  <si>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</si>
  <si>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</si>
  <si>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</si>
  <si>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</si>
  <si>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</si>
  <si>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</si>
  <si>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</si>
  <si>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</si>
  <si>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</si>
  <si>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</si>
  <si>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</si>
  <si>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</si>
  <si>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</si>
  <si>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</si>
  <si>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</si>
  <si>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</si>
  <si>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</si>
  <si>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</si>
  <si>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</si>
  <si>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</si>
  <si>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</si>
  <si>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</si>
  <si>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</si>
  <si>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</si>
  <si>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</si>
  <si>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</si>
  <si>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</si>
  <si>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</si>
  <si>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</si>
  <si>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</si>
  <si>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</si>
  <si>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</si>
  <si>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</si>
  <si>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</si>
  <si>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</si>
  <si>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</si>
  <si>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</si>
  <si>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</si>
  <si>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</si>
  <si>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</si>
  <si>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</si>
  <si>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</si>
  <si>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</si>
  <si>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</si>
  <si>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</si>
  <si>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</si>
  <si>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</si>
  <si>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</si>
  <si>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</si>
  <si>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</si>
  <si>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</si>
  <si>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</si>
  <si>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</si>
  <si>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</si>
  <si>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</si>
  <si>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</si>
  <si>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</si>
  <si>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</si>
  <si>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</si>
  <si>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</si>
  <si>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</si>
  <si>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</si>
  <si>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</si>
  <si>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</si>
  <si>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</si>
  <si>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</si>
  <si>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</si>
  <si>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</si>
  <si>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</si>
  <si>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</si>
  <si>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</si>
  <si>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</si>
  <si>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</si>
  <si>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</si>
  <si>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</si>
  <si>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</si>
  <si>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</si>
  <si>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</si>
  <si>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</si>
  <si>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</si>
  <si>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</si>
  <si>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</si>
  <si>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</si>
  <si>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</si>
  <si>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</si>
  <si>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</si>
  <si>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</si>
  <si>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</si>
  <si>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</si>
  <si>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</si>
  <si>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</si>
  <si>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</si>
  <si>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</si>
  <si>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</si>
  <si>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</si>
  <si>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</si>
  <si>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</si>
  <si>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</si>
  <si>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</si>
  <si>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</si>
  <si>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</si>
  <si>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</si>
  <si>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</si>
  <si>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</si>
  <si>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</si>
  <si>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</si>
  <si>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</si>
  <si>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</si>
  <si>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</si>
  <si>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</si>
  <si>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</si>
  <si>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</si>
  <si>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</si>
  <si>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</si>
  <si>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</si>
  <si>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</si>
  <si>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</si>
  <si>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</si>
  <si>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</si>
  <si>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</si>
  <si>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</si>
  <si>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</si>
  <si>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</si>
  <si>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</si>
  <si>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</si>
  <si>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</si>
  <si>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</si>
  <si>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</si>
  <si>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</si>
  <si>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</si>
  <si>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</si>
  <si>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</si>
  <si>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</si>
  <si>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</si>
  <si>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</si>
  <si>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</si>
  <si>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</si>
  <si>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</si>
  <si>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</si>
  <si>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</si>
  <si>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</si>
  <si>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</si>
  <si>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</si>
  <si>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</si>
  <si>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</si>
  <si>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</si>
  <si>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</si>
  <si>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</si>
  <si>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</si>
  <si>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</si>
  <si>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</si>
  <si>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</si>
  <si>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</si>
  <si>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</si>
  <si>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</si>
  <si>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</si>
  <si>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</si>
  <si>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</si>
  <si>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</si>
  <si>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</si>
  <si>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</si>
  <si>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</si>
  <si>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</si>
  <si>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</si>
  <si>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</si>
  <si>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</si>
  <si>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</si>
  <si>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</si>
  <si>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</si>
  <si>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</si>
  <si>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</si>
  <si>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</si>
  <si>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</si>
  <si>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</si>
  <si>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</si>
  <si>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</si>
  <si>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</si>
  <si>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</si>
  <si>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</si>
  <si>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</si>
  <si>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</si>
  <si>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</si>
  <si>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</si>
  <si>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</si>
  <si>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</si>
  <si>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</si>
  <si>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</si>
  <si>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</si>
  <si>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</si>
  <si>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</si>
  <si>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</si>
  <si>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</si>
  <si>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</si>
  <si>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</si>
  <si>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</si>
  <si>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</si>
  <si>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</si>
  <si>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</si>
  <si>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</si>
  <si>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</si>
  <si>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</si>
  <si>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</si>
  <si>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</si>
  <si>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</si>
  <si>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</si>
  <si>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</si>
  <si>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</si>
  <si>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</si>
  <si>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</si>
  <si>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</si>
  <si>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</si>
  <si>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</si>
  <si>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</si>
  <si>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</si>
  <si>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</si>
  <si>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</si>
  <si>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</si>
  <si>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</si>
  <si>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</si>
  <si>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</si>
  <si>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</si>
  <si>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</si>
  <si>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</si>
  <si>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</si>
  <si>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</si>
  <si>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</si>
  <si>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</si>
  <si>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</si>
  <si>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</si>
  <si>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</si>
  <si>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</si>
  <si>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</si>
  <si>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</si>
  <si>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</si>
  <si>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</si>
  <si>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</si>
  <si>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</si>
  <si>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</si>
  <si>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</si>
  <si>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</si>
  <si>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</si>
  <si>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</si>
  <si>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</si>
  <si>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</si>
  <si>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</si>
  <si>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</si>
  <si>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</si>
  <si>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</si>
  <si>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</si>
  <si>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</si>
  <si>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</si>
  <si>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</si>
  <si>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</si>
  <si>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</si>
  <si>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</si>
  <si>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</si>
  <si>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</si>
  <si>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</si>
  <si>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</si>
  <si>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</si>
  <si>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</si>
  <si>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</si>
  <si>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</si>
  <si>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</si>
  <si>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</si>
  <si>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</si>
  <si>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</si>
  <si>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</si>
  <si>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</si>
  <si>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</si>
  <si>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</si>
  <si>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</si>
  <si>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</si>
  <si>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</si>
  <si>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</si>
  <si>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</si>
  <si>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</si>
  <si>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</si>
  <si>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</si>
  <si>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</si>
  <si>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</si>
  <si>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</si>
  <si>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</si>
  <si>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</si>
  <si>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</si>
  <si>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</si>
  <si>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</si>
  <si>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</si>
  <si>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</si>
  <si>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</si>
  <si>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</si>
  <si>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</si>
  <si>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</si>
  <si>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</si>
  <si>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</si>
  <si>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</si>
  <si>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</si>
  <si>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</si>
  <si>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</si>
  <si>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</si>
  <si>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</si>
  <si>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</si>
  <si>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</si>
  <si>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</si>
  <si>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</si>
  <si>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</si>
  <si>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</si>
  <si>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</si>
  <si>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</si>
  <si>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</si>
  <si>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</si>
  <si>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</si>
  <si>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</si>
  <si>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</si>
  <si>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</si>
  <si>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</si>
  <si>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</si>
  <si>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</si>
  <si>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</si>
  <si>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</si>
  <si>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</si>
  <si>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</si>
  <si>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</si>
  <si>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</si>
  <si>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</si>
  <si>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</si>
  <si>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</si>
  <si>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</si>
  <si>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</si>
  <si>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</si>
  <si>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</si>
  <si>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</si>
  <si>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</si>
  <si>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</si>
  <si>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</si>
  <si>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</si>
  <si>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</si>
  <si>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</si>
  <si>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</si>
  <si>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</si>
  <si>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</si>
  <si>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</si>
  <si>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</si>
  <si>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</si>
  <si>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</si>
  <si>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</si>
  <si>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</si>
  <si>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</si>
  <si>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</si>
  <si>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</si>
  <si>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</si>
  <si>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</si>
  <si>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</si>
  <si>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</si>
  <si>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</si>
  <si>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</si>
  <si>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</si>
  <si>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</si>
  <si>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</si>
  <si>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</si>
  <si>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</si>
  <si>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</si>
  <si>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</si>
  <si>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</si>
  <si>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</si>
  <si>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</si>
  <si>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</si>
  <si>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</si>
  <si>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</si>
  <si>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</si>
  <si>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</si>
  <si>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</si>
  <si>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</si>
  <si>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</si>
  <si>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</si>
  <si>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</si>
  <si>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</si>
  <si>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</si>
  <si>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</si>
  <si>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</si>
  <si>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</si>
  <si>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</si>
  <si>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</si>
  <si>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</si>
  <si>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</si>
  <si>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</si>
  <si>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</si>
  <si>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</si>
  <si>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</si>
  <si>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</si>
  <si>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</si>
  <si>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</si>
  <si>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</si>
  <si>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</si>
  <si>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</si>
  <si>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</si>
  <si>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</si>
  <si>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</si>
  <si>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</si>
  <si>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</si>
  <si>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</si>
  <si>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</si>
  <si>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</si>
  <si>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</si>
  <si>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</si>
  <si>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</si>
  <si>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</si>
  <si>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</si>
  <si>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</si>
  <si>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</si>
  <si>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</si>
  <si>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</si>
  <si>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</si>
  <si>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</si>
  <si>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</si>
  <si>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</si>
  <si>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</si>
  <si>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</si>
  <si>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</si>
  <si>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</si>
  <si>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</si>
  <si>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</si>
  <si>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</si>
  <si>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</si>
  <si>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</si>
  <si>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</si>
  <si>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</si>
  <si>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</si>
  <si>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</si>
  <si>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</si>
  <si>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</si>
  <si>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</si>
  <si>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</si>
  <si>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</si>
  <si>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</si>
  <si>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</si>
  <si>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</si>
  <si>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</si>
  <si>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</si>
  <si>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</si>
  <si>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</si>
  <si>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</si>
  <si>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</si>
  <si>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</si>
  <si>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</si>
  <si>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</si>
  <si>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</si>
  <si>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</si>
  <si>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</si>
  <si>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</si>
  <si>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</si>
  <si>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</si>
  <si>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</si>
  <si>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</si>
  <si>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</si>
  <si>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</si>
  <si>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</si>
  <si>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</si>
  <si>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</si>
  <si>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</si>
  <si>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</si>
  <si>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</si>
  <si>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</si>
  <si>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</si>
  <si>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</si>
  <si>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</si>
  <si>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</si>
  <si>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</si>
  <si>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</si>
  <si>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</si>
  <si>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</si>
  <si>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</si>
  <si>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</si>
  <si>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</si>
  <si>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</si>
  <si>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</si>
  <si>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</si>
  <si>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</si>
  <si>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</si>
  <si>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</si>
  <si>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</si>
  <si>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</si>
  <si>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</si>
  <si>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</si>
  <si>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</si>
  <si>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</si>
  <si>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</si>
  <si>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</si>
  <si>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</si>
  <si>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</si>
  <si>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</si>
  <si>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</si>
  <si>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</si>
  <si>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</si>
  <si>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</si>
  <si>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</si>
  <si>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</si>
  <si>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</si>
  <si>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</si>
  <si>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</si>
  <si>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</si>
  <si>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</si>
  <si>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</si>
  <si>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</si>
  <si>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</si>
  <si>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</si>
  <si>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</si>
  <si>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</si>
  <si>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</si>
  <si>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</si>
  <si>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</si>
  <si>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</si>
  <si>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</si>
  <si>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</si>
  <si>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</si>
  <si>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</si>
  <si>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</si>
  <si>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</si>
  <si>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</si>
  <si>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</si>
  <si>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</si>
  <si>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</si>
  <si>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</si>
  <si>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</si>
  <si>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</si>
  <si>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</si>
  <si>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</si>
  <si>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</si>
  <si>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</si>
  <si>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</si>
  <si>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</si>
  <si>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</si>
  <si>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</si>
  <si>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</si>
  <si>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</si>
  <si>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</si>
  <si>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</si>
  <si>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</si>
  <si>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</si>
  <si>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</si>
  <si>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</si>
  <si>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</si>
  <si>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</si>
  <si>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</si>
  <si>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</si>
  <si>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</si>
  <si>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</si>
  <si>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</si>
  <si>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</si>
  <si>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</si>
  <si>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</si>
  <si>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</si>
  <si>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</si>
  <si>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</si>
  <si>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</si>
  <si>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</si>
  <si>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</si>
  <si>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</si>
  <si>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</si>
  <si>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</si>
  <si>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</si>
  <si>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</si>
  <si>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</si>
  <si>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</si>
  <si>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</si>
  <si>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</si>
  <si>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</si>
  <si>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</si>
  <si>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</si>
  <si>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</si>
  <si>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</si>
  <si>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</si>
  <si>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</si>
  <si>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</si>
  <si>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</si>
  <si>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</si>
  <si>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</si>
  <si>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</si>
  <si>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</si>
  <si>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</si>
  <si>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</si>
  <si>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</si>
  <si>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</si>
  <si>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</si>
  <si>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</si>
  <si>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</si>
  <si>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</si>
  <si>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</si>
  <si>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</si>
  <si>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</si>
  <si>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</si>
  <si>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</si>
  <si>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</si>
  <si>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</si>
  <si>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</si>
  <si>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</si>
  <si>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</si>
  <si>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</si>
  <si>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</si>
  <si>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</si>
  <si>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</si>
  <si>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</si>
  <si>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</si>
  <si>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</si>
  <si>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</si>
  <si>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</si>
  <si>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</si>
  <si>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</si>
  <si>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</si>
  <si>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</si>
  <si>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</si>
  <si>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</si>
  <si>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</si>
  <si>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</si>
  <si>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</si>
  <si>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</si>
  <si>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</si>
  <si>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</si>
  <si>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</si>
  <si>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</si>
  <si>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</si>
  <si>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</si>
  <si>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</si>
  <si>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</si>
  <si>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</si>
  <si>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</si>
  <si>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</si>
  <si>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</si>
  <si>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</si>
  <si>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</si>
  <si>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</si>
  <si>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</si>
  <si>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</si>
  <si>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</si>
  <si>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</si>
  <si>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</si>
  <si>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</si>
  <si>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</si>
  <si>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</si>
  <si>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</si>
  <si>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</si>
  <si>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</si>
  <si>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</si>
  <si>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</si>
  <si>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</si>
  <si>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</si>
  <si>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</si>
  <si>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</si>
  <si>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</si>
  <si>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</si>
  <si>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</si>
  <si>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</si>
  <si>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</si>
  <si>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</si>
  <si>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</si>
  <si>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</si>
  <si>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</si>
  <si>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</si>
  <si>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</si>
  <si>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</si>
  <si>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</si>
  <si>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</si>
  <si>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</si>
  <si>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</si>
  <si>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</si>
  <si>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</si>
  <si>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</si>
  <si>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</si>
  <si>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</si>
  <si>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</si>
  <si>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</si>
  <si>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</si>
  <si>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</si>
  <si>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</si>
  <si>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</si>
  <si>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</si>
  <si>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</si>
  <si>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</si>
  <si>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</si>
  <si>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</si>
  <si>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</si>
  <si>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</si>
  <si>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</si>
  <si>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</si>
  <si>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</si>
  <si>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</si>
  <si>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</si>
  <si>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</si>
  <si>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</si>
  <si>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</si>
  <si>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</si>
  <si>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</si>
  <si>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</si>
  <si>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</si>
  <si>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</si>
  <si>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</si>
  <si>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</si>
  <si>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</si>
  <si>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</si>
  <si>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</si>
  <si>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</si>
  <si>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</si>
  <si>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</si>
  <si>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</si>
  <si>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</si>
  <si>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</si>
  <si>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</si>
  <si>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</si>
  <si>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</si>
  <si>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</si>
  <si>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</si>
  <si>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</si>
  <si>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</si>
  <si>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</si>
  <si>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</si>
  <si>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</si>
  <si>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</si>
  <si>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</si>
  <si>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</si>
  <si>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</si>
  <si>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</si>
  <si>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</si>
  <si>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</si>
  <si>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</si>
  <si>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</si>
  <si>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</si>
  <si>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</si>
  <si>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</si>
  <si>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</si>
  <si>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</si>
  <si>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</si>
  <si>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</si>
  <si>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</si>
  <si>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</si>
  <si>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</si>
  <si>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</si>
  <si>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</si>
  <si>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</si>
  <si>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</si>
  <si>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</si>
  <si>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</si>
  <si>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</si>
  <si>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</si>
  <si>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</si>
  <si>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</si>
  <si>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</si>
  <si>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</si>
  <si>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</si>
  <si>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</si>
  <si>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</si>
  <si>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</si>
  <si>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</si>
  <si>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</si>
  <si>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</si>
  <si>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</si>
  <si>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</si>
  <si>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</si>
  <si>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</si>
  <si>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</si>
  <si>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</si>
  <si>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</si>
  <si>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</si>
  <si>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</si>
  <si>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</si>
  <si>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</si>
  <si>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</si>
  <si>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</si>
  <si>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</si>
  <si>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</si>
  <si>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</si>
  <si>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</si>
  <si>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</si>
  <si>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</si>
  <si>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</si>
  <si>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</si>
  <si>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</si>
  <si>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</si>
  <si>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</si>
  <si>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</si>
  <si>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</si>
  <si>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</si>
  <si>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</si>
  <si>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</si>
  <si>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</si>
  <si>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</si>
  <si>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</si>
  <si>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</si>
  <si>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</si>
  <si>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</si>
  <si>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</si>
  <si>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</si>
  <si>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</si>
  <si>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</si>
  <si>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</si>
  <si>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</si>
  <si>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</si>
  <si>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</si>
  <si>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</si>
  <si>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</si>
  <si>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</si>
  <si>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</si>
  <si>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</si>
  <si>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</si>
  <si>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</si>
  <si>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</si>
  <si>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</si>
  <si>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</si>
  <si>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</si>
  <si>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</si>
  <si>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</si>
  <si>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</si>
  <si>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</si>
  <si>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</si>
  <si>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</si>
  <si>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</si>
  <si>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</si>
  <si>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</si>
  <si>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</si>
  <si>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</si>
  <si>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</si>
  <si>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</si>
  <si>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</si>
  <si>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</si>
  <si>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</si>
  <si>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</si>
  <si>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</si>
  <si>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</si>
  <si>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</si>
  <si>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</si>
  <si>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</si>
  <si>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</si>
  <si>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</si>
  <si>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</si>
  <si>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</si>
  <si>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</si>
  <si>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</si>
  <si>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</si>
  <si>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</si>
  <si>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</si>
  <si>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</si>
  <si>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</si>
  <si>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</si>
  <si>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</si>
  <si>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</si>
  <si>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</si>
  <si>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</si>
  <si>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</si>
  <si>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</si>
  <si>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</si>
  <si>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</si>
  <si>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</si>
  <si>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</si>
  <si>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</si>
  <si>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</si>
  <si>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</si>
  <si>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</si>
  <si>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</si>
  <si>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</si>
  <si>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</si>
  <si>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</si>
  <si>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</si>
  <si>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</si>
  <si>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</si>
  <si>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</si>
  <si>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</si>
  <si>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</si>
  <si>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</si>
  <si>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</si>
  <si>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</si>
  <si>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</si>
  <si>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</si>
  <si>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</si>
  <si>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</si>
  <si>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</si>
  <si>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</si>
  <si>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</si>
  <si>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</si>
  <si>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</si>
  <si>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</si>
  <si>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</si>
  <si>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</si>
  <si>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</si>
  <si>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</si>
  <si>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</si>
  <si>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</si>
  <si>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</si>
  <si>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</si>
  <si>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</si>
  <si>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</si>
  <si>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</si>
  <si>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</si>
  <si>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</si>
  <si>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</si>
  <si>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</si>
  <si>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</si>
  <si>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</si>
  <si>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</si>
  <si>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</si>
  <si>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</si>
  <si>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</si>
  <si>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</si>
  <si>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</si>
  <si>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</si>
  <si>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</si>
  <si>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</si>
  <si>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</si>
  <si>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</si>
  <si>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</si>
  <si>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</si>
  <si>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</si>
  <si>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</si>
  <si>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</si>
  <si>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</si>
  <si>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</si>
  <si>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</si>
  <si>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</si>
  <si>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</si>
  <si>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</si>
  <si>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</si>
  <si>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</si>
  <si>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</si>
  <si>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</si>
  <si>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</si>
  <si>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</si>
  <si>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</si>
  <si>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</si>
  <si>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</si>
  <si>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</si>
  <si>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</si>
  <si>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</si>
  <si>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</si>
  <si>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</si>
  <si>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</si>
  <si>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</si>
  <si>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</si>
  <si>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</si>
  <si>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</si>
  <si>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</si>
  <si>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</si>
  <si>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</si>
  <si>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</si>
  <si>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</si>
  <si>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</si>
  <si>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</si>
  <si>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</si>
  <si>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</si>
  <si>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</si>
  <si>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</si>
  <si>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</si>
  <si>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</si>
  <si>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</si>
  <si>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</si>
  <si>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</si>
  <si>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</si>
  <si>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</si>
  <si>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</si>
  <si>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</si>
  <si>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</si>
  <si>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</si>
  <si>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</si>
  <si>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</si>
  <si>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</si>
  <si>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</si>
  <si>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</si>
  <si>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</si>
  <si>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</si>
  <si>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</si>
  <si>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</si>
  <si>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</si>
  <si>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</si>
  <si>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</si>
  <si>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</si>
  <si>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</si>
  <si>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</si>
  <si>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</si>
  <si>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</si>
  <si>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</si>
  <si>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</si>
  <si>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</si>
  <si>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</si>
  <si>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</si>
  <si>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</si>
  <si>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</si>
  <si>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</si>
  <si>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</si>
  <si>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</si>
  <si>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</si>
  <si>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</si>
  <si>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</si>
  <si>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</si>
  <si>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</si>
  <si>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</si>
  <si>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</si>
  <si>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</si>
  <si>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</si>
  <si>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</si>
  <si>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</si>
  <si>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</si>
  <si>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</si>
  <si>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</si>
  <si>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</si>
  <si>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</si>
  <si>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</si>
  <si>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</si>
  <si>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</si>
  <si>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</si>
  <si>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</si>
  <si>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</si>
  <si>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</si>
  <si>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</si>
  <si>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</si>
  <si>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</si>
  <si>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</si>
  <si>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</si>
  <si>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</si>
  <si>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</si>
  <si>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</si>
  <si>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</si>
  <si>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</si>
  <si>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</si>
  <si>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</si>
  <si>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</si>
  <si>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</si>
  <si>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</si>
  <si>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</si>
  <si>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</si>
  <si>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</si>
  <si>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</si>
  <si>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</si>
  <si>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</si>
  <si>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</si>
  <si>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</si>
  <si>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</si>
  <si>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</si>
  <si>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</si>
  <si>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</si>
  <si>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</si>
  <si>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</si>
  <si>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</si>
  <si>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</si>
  <si>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</si>
  <si>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</si>
  <si>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</si>
  <si>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</si>
  <si>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</si>
  <si>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</si>
  <si>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</si>
  <si>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</si>
  <si>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</si>
  <si>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</si>
  <si>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</si>
  <si>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</si>
  <si>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</si>
  <si>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</si>
  <si>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</si>
  <si>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</si>
  <si>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</si>
  <si>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</si>
  <si>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</si>
  <si>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</si>
  <si>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</si>
  <si>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</si>
  <si>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</si>
  <si>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</si>
  <si>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</si>
  <si>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</si>
  <si>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</si>
  <si>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</si>
  <si>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</si>
  <si>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</si>
  <si>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</si>
  <si>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</si>
  <si>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</si>
  <si>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</si>
  <si>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</si>
  <si>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</si>
  <si>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</si>
  <si>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</si>
  <si>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</si>
  <si>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</si>
  <si>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</si>
  <si>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</si>
  <si>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</si>
  <si>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</si>
  <si>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</si>
  <si>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</si>
  <si>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</si>
  <si>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</si>
  <si>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</si>
  <si>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</si>
  <si>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</si>
  <si>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</si>
  <si>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</si>
  <si>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</si>
  <si>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</si>
  <si>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</si>
  <si>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</si>
  <si>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</si>
  <si>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</si>
  <si>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</si>
  <si>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</si>
  <si>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</si>
  <si>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</si>
  <si>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</si>
  <si>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</si>
  <si>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</si>
  <si>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</si>
  <si>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</si>
  <si>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</si>
  <si>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</si>
  <si>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</si>
  <si>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</si>
  <si>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</si>
  <si>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</si>
  <si>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</si>
  <si>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</si>
  <si>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</si>
  <si>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</si>
  <si>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</si>
  <si>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</si>
  <si>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</si>
  <si>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</si>
  <si>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</si>
  <si>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</si>
  <si>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</si>
  <si>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</si>
  <si>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</si>
  <si>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</si>
  <si>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</si>
  <si>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</si>
  <si>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</si>
  <si>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</si>
  <si>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</si>
  <si>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</si>
  <si>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</si>
  <si>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</si>
  <si>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</si>
  <si>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</si>
  <si>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</si>
  <si>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</si>
  <si>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</si>
  <si>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</si>
  <si>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</si>
  <si>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</si>
  <si>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</si>
  <si>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</si>
  <si>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</si>
  <si>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</si>
  <si>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</si>
  <si>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</si>
  <si>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</si>
  <si>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</si>
  <si>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</si>
  <si>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</si>
  <si>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</si>
  <si>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</si>
  <si>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</si>
  <si>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</si>
  <si>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</si>
  <si>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</si>
  <si>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</si>
  <si>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</si>
  <si>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</si>
  <si>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</si>
  <si>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</si>
  <si>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</si>
  <si>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</si>
  <si>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</si>
  <si>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</si>
  <si>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</si>
  <si>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</si>
  <si>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</si>
  <si>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</si>
  <si>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</si>
  <si>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</si>
  <si>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</si>
  <si>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</si>
  <si>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</si>
  <si>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</si>
  <si>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</si>
  <si>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</si>
  <si>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</si>
  <si>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</si>
  <si>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</si>
  <si>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</si>
  <si>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</si>
  <si>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</si>
  <si>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</si>
  <si>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</si>
  <si>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</si>
  <si>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</si>
  <si>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</si>
  <si>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</si>
  <si>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</si>
  <si>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</si>
  <si>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</si>
  <si>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</si>
  <si>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</si>
  <si>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</si>
  <si>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</si>
  <si>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</si>
  <si>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</si>
  <si>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</si>
  <si>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</si>
  <si>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</si>
  <si>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</si>
  <si>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</si>
  <si>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</si>
  <si>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</si>
  <si>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</si>
  <si>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</si>
  <si>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</si>
  <si>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</si>
  <si>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</si>
  <si>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</si>
  <si>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</si>
  <si>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</si>
  <si>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</si>
  <si>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</si>
  <si>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</si>
  <si>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</si>
  <si>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</si>
  <si>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</si>
  <si>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</si>
  <si>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</si>
  <si>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</si>
  <si>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</si>
  <si>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</si>
  <si>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</si>
  <si>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</si>
  <si>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</si>
  <si>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</si>
  <si>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</si>
  <si>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</si>
  <si>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</si>
  <si>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</si>
  <si>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</si>
  <si>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</si>
  <si>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</si>
  <si>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</si>
  <si>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</si>
  <si>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</si>
  <si>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</si>
  <si>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</si>
  <si>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</si>
  <si>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</si>
  <si>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</si>
  <si>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</si>
  <si>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</si>
  <si>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</si>
  <si>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</si>
  <si>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</si>
  <si>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</si>
  <si>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</si>
  <si>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</si>
  <si>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</si>
  <si>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</si>
  <si>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</si>
  <si>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</si>
  <si>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</si>
  <si>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</si>
  <si>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</si>
  <si>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</si>
  <si>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</si>
  <si>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</si>
  <si>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</si>
  <si>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</si>
  <si>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</si>
  <si>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</si>
  <si>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</si>
  <si>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</si>
  <si>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</si>
  <si>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</si>
  <si>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</si>
  <si>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</si>
  <si>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</si>
  <si>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</si>
  <si>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</si>
  <si>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</si>
  <si>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</si>
  <si>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</si>
  <si>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</si>
  <si>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</si>
  <si>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</si>
  <si>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</si>
  <si>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</si>
  <si>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</si>
  <si>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</si>
  <si>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</si>
  <si>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</si>
  <si>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</si>
  <si>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</si>
  <si>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</si>
  <si>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</si>
  <si>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</si>
  <si>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</si>
  <si>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</si>
  <si>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</si>
  <si>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</si>
  <si>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</si>
  <si>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</si>
  <si>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</si>
  <si>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</si>
  <si>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</si>
  <si>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</si>
  <si>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</si>
  <si>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</si>
  <si>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</si>
  <si>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</si>
  <si>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</si>
  <si>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</si>
  <si>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</si>
  <si>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</si>
  <si>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</si>
  <si>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</si>
  <si>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</si>
  <si>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</si>
  <si>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</si>
  <si>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</si>
  <si>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</si>
  <si>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</si>
  <si>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</si>
  <si>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</si>
  <si>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</si>
  <si>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</si>
  <si>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</si>
  <si>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</si>
  <si>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</si>
  <si>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</si>
  <si>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</si>
  <si>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</si>
  <si>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</si>
  <si>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</si>
  <si>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</si>
  <si>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</si>
  <si>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</si>
  <si>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</si>
  <si>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</si>
  <si>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</si>
  <si>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</si>
  <si>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</si>
  <si>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</si>
  <si>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</si>
  <si>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</si>
  <si>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</si>
  <si>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</si>
  <si>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</si>
  <si>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</si>
  <si>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</si>
  <si>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</si>
  <si>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</si>
  <si>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</si>
  <si>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</si>
  <si>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</si>
  <si>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</si>
  <si>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</si>
  <si>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</si>
  <si>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</si>
  <si>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</si>
  <si>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</si>
  <si>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</si>
  <si>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</si>
  <si>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</si>
  <si>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</si>
  <si>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</si>
  <si>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</si>
  <si>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</si>
  <si>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</si>
  <si>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</si>
  <si>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</si>
  <si>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</si>
  <si>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</si>
  <si>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</si>
  <si>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</si>
  <si>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</si>
  <si>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</si>
  <si>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</si>
  <si>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</si>
  <si>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</si>
  <si>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</si>
  <si>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</si>
  <si>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</si>
  <si>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</si>
  <si>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</si>
  <si>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</si>
  <si>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</si>
  <si>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</si>
  <si>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</si>
  <si>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</si>
  <si>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</si>
  <si>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</si>
  <si>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</si>
  <si>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</si>
  <si>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</si>
  <si>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</si>
  <si>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</si>
  <si>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</si>
  <si>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</si>
  <si>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</si>
  <si>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</si>
  <si>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</si>
  <si>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</si>
  <si>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</si>
  <si>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</si>
  <si>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</si>
  <si>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</si>
  <si>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</si>
  <si>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</si>
  <si>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</si>
  <si>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</si>
  <si>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</si>
  <si>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</si>
  <si>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</si>
  <si>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</si>
  <si>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</si>
  <si>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</si>
  <si>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</si>
  <si>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</si>
  <si>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</si>
  <si>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</si>
  <si>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</si>
  <si>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</si>
  <si>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</si>
  <si>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</si>
  <si>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</si>
  <si>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</si>
  <si>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</si>
  <si>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</si>
  <si>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</si>
  <si>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</si>
  <si>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</si>
  <si>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</si>
  <si>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</si>
  <si>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</si>
  <si>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</si>
  <si>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</si>
  <si>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</si>
  <si>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</si>
  <si>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</si>
  <si>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</si>
  <si>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</si>
  <si>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</si>
  <si>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</si>
  <si>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</si>
  <si>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</si>
  <si>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</si>
  <si>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</si>
  <si>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</si>
  <si>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</si>
  <si>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</si>
  <si>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</si>
  <si>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</si>
  <si>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</si>
  <si>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</si>
  <si>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</si>
  <si>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</si>
  <si>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</si>
  <si>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</si>
  <si>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</si>
  <si>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</si>
  <si>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</si>
  <si>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</si>
  <si>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</si>
  <si>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</si>
  <si>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</si>
  <si>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</si>
  <si>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</si>
  <si>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</si>
  <si>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</si>
  <si>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</si>
  <si>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</si>
  <si>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</si>
  <si>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</si>
  <si>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</si>
  <si>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</si>
  <si>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</si>
  <si>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</si>
  <si>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</si>
  <si>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</si>
  <si>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</si>
  <si>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</si>
  <si>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</si>
  <si>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</si>
  <si>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</si>
  <si>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</si>
  <si>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</si>
  <si>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</si>
  <si>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</si>
  <si>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</si>
  <si>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</si>
  <si>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</si>
  <si>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</si>
  <si>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</si>
  <si>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</si>
  <si>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</si>
  <si>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</si>
  <si>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</si>
  <si>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</si>
  <si>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</si>
  <si>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</si>
  <si>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</si>
  <si>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</si>
  <si>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</si>
  <si>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</si>
  <si>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</si>
  <si>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</si>
  <si>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</si>
  <si>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</si>
  <si>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</si>
  <si>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</si>
  <si>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</si>
  <si>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</si>
  <si>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</si>
  <si>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</si>
  <si>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</si>
  <si>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</si>
  <si>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</si>
  <si>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</si>
  <si>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</si>
  <si>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</si>
  <si>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</si>
  <si>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</si>
  <si>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</si>
  <si>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</si>
  <si>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</si>
  <si>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</si>
  <si>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</si>
  <si>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</si>
  <si>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</si>
  <si>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</si>
  <si>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</si>
  <si>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</si>
  <si>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</si>
  <si>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</si>
  <si>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</si>
  <si>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</si>
  <si>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</si>
  <si>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</si>
  <si>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</si>
  <si>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</si>
  <si>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</si>
  <si>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</si>
  <si>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</si>
  <si>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</si>
  <si>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</si>
  <si>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</si>
  <si>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</si>
  <si>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</si>
  <si>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</si>
  <si>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</si>
  <si>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</si>
  <si>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</si>
  <si>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</si>
  <si>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</si>
  <si>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</si>
  <si>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</si>
  <si>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</si>
  <si>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</si>
  <si>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</si>
  <si>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</si>
  <si>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</si>
  <si>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</si>
  <si>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</si>
  <si>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</si>
  <si>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</si>
  <si>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</si>
  <si>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</si>
  <si>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</si>
  <si>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</si>
  <si>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</si>
  <si>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</si>
  <si>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</si>
  <si>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</si>
  <si>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</si>
  <si>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</si>
  <si>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</si>
  <si>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</si>
  <si>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</si>
  <si>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</si>
  <si>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</si>
  <si>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</si>
  <si>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</si>
  <si>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</si>
  <si>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</si>
  <si>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</si>
  <si>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</si>
  <si>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</si>
  <si>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</si>
  <si>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</si>
  <si>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</si>
  <si>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</si>
  <si>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</si>
  <si>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</si>
  <si>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</si>
  <si>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</si>
  <si>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</si>
  <si>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</si>
  <si>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</si>
  <si>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</si>
  <si>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</si>
  <si>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</si>
  <si>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</si>
  <si>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</si>
  <si>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</si>
  <si>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</si>
  <si>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</si>
  <si>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</si>
  <si>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</si>
  <si>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</si>
  <si>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</si>
  <si>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</si>
  <si>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</si>
  <si>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</si>
  <si>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</si>
  <si>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</si>
  <si>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</si>
  <si>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</si>
  <si>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</si>
  <si>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</si>
  <si>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</si>
  <si>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</si>
  <si>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</si>
  <si>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</si>
  <si>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</si>
  <si>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</si>
  <si>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</si>
  <si>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</si>
  <si>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</si>
  <si>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</si>
  <si>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</si>
  <si>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</si>
  <si>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</si>
  <si>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</si>
  <si>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</si>
  <si>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</si>
  <si>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</si>
  <si>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</si>
  <si>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</si>
  <si>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</si>
  <si>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</si>
  <si>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</si>
  <si>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</si>
  <si>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</si>
  <si>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</si>
  <si>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</si>
  <si>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</si>
  <si>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</si>
  <si>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</si>
  <si>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</si>
  <si>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</si>
  <si>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</si>
  <si>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</si>
  <si>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</si>
  <si>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</si>
  <si>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</si>
  <si>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</si>
  <si>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</si>
  <si>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</si>
  <si>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</si>
  <si>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</si>
  <si>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</si>
  <si>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</si>
  <si>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</si>
  <si>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</si>
  <si>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</si>
  <si>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</si>
  <si>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</si>
  <si>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</si>
  <si>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</si>
  <si>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</si>
  <si>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</si>
  <si>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</si>
  <si>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</si>
  <si>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</si>
  <si>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</si>
  <si>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</si>
  <si>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</si>
  <si>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</si>
  <si>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</si>
  <si>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</si>
  <si>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</si>
  <si>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</si>
  <si>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</si>
  <si>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</si>
  <si>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</si>
  <si>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</si>
  <si>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</si>
  <si>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</si>
  <si>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</si>
  <si>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</si>
  <si>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</si>
  <si>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</si>
  <si>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</si>
  <si>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</si>
  <si>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</si>
  <si>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</si>
  <si>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</si>
  <si>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</si>
  <si>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</si>
  <si>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</si>
  <si>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</si>
  <si>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</si>
  <si>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</si>
  <si>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</si>
  <si>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</si>
  <si>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</si>
  <si>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</si>
  <si>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</si>
  <si>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</si>
  <si>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</si>
  <si>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</si>
  <si>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</si>
  <si>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</si>
  <si>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</si>
  <si>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</si>
  <si>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</si>
  <si>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</si>
  <si>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</si>
  <si>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</si>
  <si>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</si>
  <si>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</si>
  <si>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</si>
  <si>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</si>
  <si>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</si>
  <si>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</si>
  <si>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</si>
  <si>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</si>
  <si>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</si>
  <si>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</si>
  <si>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</si>
  <si>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</si>
  <si>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</si>
  <si>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</si>
  <si>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</si>
  <si>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</si>
  <si>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</si>
  <si>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</si>
  <si>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</si>
  <si>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</si>
  <si>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</si>
  <si>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</si>
  <si>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</si>
  <si>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</si>
  <si>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</si>
  <si>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</si>
  <si>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</si>
  <si>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</si>
  <si>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</si>
  <si>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</si>
  <si>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</si>
  <si>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</si>
  <si>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</si>
  <si>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</si>
  <si>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</si>
  <si>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</si>
  <si>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</si>
  <si>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</si>
  <si>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</si>
  <si>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</si>
  <si>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</si>
  <si>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</si>
  <si>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</si>
  <si>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</si>
  <si>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</si>
  <si>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</si>
  <si>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</si>
  <si>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</si>
  <si>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</si>
  <si>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</si>
  <si>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</si>
  <si>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</si>
  <si>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</si>
  <si>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</si>
  <si>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</si>
  <si>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</si>
  <si>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</si>
  <si>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</si>
  <si>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</si>
  <si>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</si>
  <si>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</si>
  <si>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</si>
  <si>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</si>
  <si>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</si>
  <si>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</si>
  <si>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</si>
  <si>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</si>
  <si>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</si>
  <si>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</si>
  <si>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</si>
  <si>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</si>
  <si>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</si>
  <si>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</si>
  <si>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</si>
  <si>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</si>
  <si>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</si>
  <si>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</si>
  <si>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</si>
  <si>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</si>
  <si>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</si>
  <si>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</si>
  <si>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</si>
  <si>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</si>
  <si>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</si>
  <si>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</si>
  <si>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</si>
  <si>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</si>
  <si>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</si>
  <si>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</si>
  <si>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</si>
  <si>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</si>
  <si>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</si>
  <si>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</si>
  <si>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</si>
  <si>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</si>
  <si>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</si>
  <si>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</si>
  <si>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</si>
  <si>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</si>
  <si>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</si>
  <si>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</si>
  <si>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</si>
  <si>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</si>
  <si>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</si>
  <si>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</si>
  <si>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</si>
  <si>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</si>
  <si>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</si>
  <si>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</si>
  <si>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</si>
  <si>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</si>
  <si>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</si>
  <si>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</si>
  <si>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</si>
  <si>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</si>
  <si>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</si>
  <si>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</si>
  <si>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</si>
  <si>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</si>
  <si>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</si>
  <si>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</si>
  <si>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</si>
  <si>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</si>
  <si>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</si>
  <si>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</si>
  <si>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</si>
  <si>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</si>
  <si>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</si>
  <si>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</si>
  <si>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</si>
  <si>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</si>
  <si>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</si>
  <si>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</si>
  <si>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</si>
  <si>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</si>
  <si>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</si>
  <si>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</si>
  <si>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</si>
  <si>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</si>
  <si>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</si>
  <si>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</si>
  <si>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</si>
  <si>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</si>
  <si>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</si>
  <si>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</si>
  <si>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</si>
  <si>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</si>
  <si>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</si>
  <si>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</si>
  <si>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</si>
  <si>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</si>
  <si>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</si>
  <si>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</si>
  <si>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</si>
  <si>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</si>
  <si>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</si>
  <si>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</si>
  <si>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</si>
  <si>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</si>
  <si>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</si>
  <si>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</si>
  <si>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</si>
  <si>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</si>
  <si>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</si>
  <si>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</si>
  <si>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</si>
  <si>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</si>
  <si>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</si>
  <si>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</si>
  <si>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</si>
  <si>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</si>
  <si>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</si>
  <si>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</si>
  <si>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</si>
  <si>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</si>
  <si>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</si>
  <si>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</si>
  <si>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</si>
  <si>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</si>
  <si>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</si>
  <si>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</si>
  <si>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</si>
  <si>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</si>
  <si>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</si>
  <si>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</si>
  <si>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</si>
  <si>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</si>
  <si>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</si>
  <si>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</si>
  <si>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</si>
  <si>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</si>
  <si>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</si>
  <si>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</si>
  <si>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</si>
  <si>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</si>
  <si>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</si>
  <si>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</si>
  <si>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</si>
  <si>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</si>
  <si>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</si>
  <si>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</si>
  <si>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</si>
  <si>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</si>
  <si>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</si>
  <si>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</si>
  <si>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</si>
  <si>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</si>
  <si>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</si>
  <si>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</si>
  <si>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</si>
  <si>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</si>
  <si>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</si>
  <si>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</si>
  <si>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</si>
  <si>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</si>
  <si>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</si>
  <si>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</si>
  <si>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</si>
  <si>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</si>
  <si>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</si>
  <si>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</si>
  <si>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</si>
  <si>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</si>
  <si>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</si>
  <si>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</si>
  <si>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</si>
  <si>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</si>
  <si>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</si>
  <si>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</si>
  <si>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</si>
  <si>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</si>
  <si>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</si>
  <si>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</si>
  <si>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</si>
  <si>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</si>
  <si>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</si>
  <si>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</si>
  <si>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</si>
  <si>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</si>
  <si>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</si>
  <si>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</si>
  <si>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</si>
  <si>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</si>
  <si>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</si>
  <si>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</si>
  <si>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</si>
  <si>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</si>
  <si>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</si>
  <si>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</si>
  <si>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</si>
  <si>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</si>
  <si>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</si>
  <si>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</si>
  <si>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</si>
  <si>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</si>
  <si>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</si>
  <si>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</si>
  <si>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</si>
  <si>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</si>
  <si>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</si>
  <si>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</si>
  <si>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</si>
  <si>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</si>
  <si>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</si>
  <si>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</si>
  <si>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</si>
  <si>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</si>
  <si>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</si>
  <si>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</si>
  <si>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</si>
  <si>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</si>
  <si>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</si>
  <si>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</si>
  <si>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</si>
  <si>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</si>
  <si>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</si>
  <si>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</si>
  <si>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</si>
  <si>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</si>
  <si>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</si>
  <si>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</si>
  <si>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</si>
  <si>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</si>
  <si>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</si>
  <si>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</si>
  <si>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</si>
  <si>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</si>
  <si>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</si>
  <si>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</si>
  <si>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</si>
  <si>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</si>
  <si>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</si>
  <si>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</si>
  <si>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</si>
  <si>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</si>
  <si>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</si>
  <si>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</si>
  <si>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</si>
  <si>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</si>
  <si>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</si>
  <si>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</si>
  <si>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</si>
  <si>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</si>
  <si>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</si>
  <si>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</si>
  <si>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</si>
  <si>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</si>
  <si>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</si>
  <si>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</si>
  <si>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</si>
  <si>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</si>
  <si>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</si>
  <si>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</si>
  <si>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</si>
  <si>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</si>
  <si>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</si>
  <si>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</si>
  <si>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</si>
  <si>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</si>
  <si>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</si>
  <si>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</si>
  <si>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</si>
  <si>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</si>
  <si>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</si>
  <si>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</si>
  <si>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</si>
  <si>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</si>
  <si>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</si>
  <si>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</si>
  <si>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</si>
  <si>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</si>
  <si>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</si>
  <si>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</si>
  <si>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</si>
  <si>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</si>
  <si>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</si>
  <si>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</si>
  <si>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</si>
  <si>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</si>
  <si>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</si>
  <si>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</si>
  <si>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</si>
  <si>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</si>
  <si>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</si>
  <si>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</si>
  <si>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</si>
  <si>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</si>
  <si>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</si>
  <si>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</si>
  <si>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</si>
  <si>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</si>
  <si>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</si>
  <si>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</si>
  <si>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</si>
  <si>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</si>
  <si>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</si>
  <si>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</si>
  <si>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</si>
  <si>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</si>
  <si>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</si>
  <si>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</si>
  <si>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</si>
  <si>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</si>
  <si>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</si>
  <si>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</si>
  <si>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</si>
  <si>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</si>
  <si>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</si>
  <si>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</si>
  <si>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</si>
  <si>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</si>
  <si>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</si>
  <si>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</si>
  <si>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</si>
  <si>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</si>
  <si>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</si>
  <si>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</si>
  <si>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</si>
  <si>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</si>
  <si>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</si>
  <si>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</si>
  <si>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</si>
  <si>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</si>
  <si>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</si>
  <si>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</si>
  <si>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</si>
  <si>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</si>
  <si>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</si>
  <si>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</si>
  <si>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</si>
  <si>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</si>
  <si>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</si>
  <si>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</si>
  <si>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</si>
  <si>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</si>
  <si>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</si>
  <si>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</si>
  <si>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</si>
  <si>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</si>
  <si>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</si>
  <si>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</si>
  <si>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</si>
  <si>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</si>
  <si>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</si>
  <si>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</si>
  <si>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</si>
  <si>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</si>
  <si>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核定资产</t>
  </si>
  <si>
    <t>房地产市场价值</t>
  </si>
  <si>
    <t>其他：</t>
  </si>
  <si>
    <t>企业</t>
  </si>
  <si>
    <t>出让</t>
  </si>
  <si>
    <t>是</t>
  </si>
  <si>
    <t>地上</t>
  </si>
  <si>
    <t>商业</t>
    <phoneticPr fontId="7" type="noConversion"/>
  </si>
  <si>
    <t>成新度</t>
  </si>
  <si>
    <t>利息：取LPR加浮动点数</t>
  </si>
  <si>
    <t>未包含在土地购买价格中</t>
  </si>
  <si>
    <t>已包含在土地取得成本中</t>
  </si>
  <si>
    <t>押一</t>
  </si>
  <si>
    <t>按租金收入计税</t>
  </si>
  <si>
    <t>钢混</t>
  </si>
  <si>
    <t>非生产用房</t>
  </si>
  <si>
    <t>收益法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</si>
  <si>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</si>
  <si>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</si>
  <si>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</si>
  <si>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</si>
  <si>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</si>
  <si>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</si>
  <si>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</si>
  <si>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</si>
  <si>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</si>
  <si>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</si>
  <si>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</si>
  <si>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</si>
  <si>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</si>
  <si>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兴隆铺路北、铁东路东</t>
  </si>
  <si>
    <t>郑州市</t>
  </si>
  <si>
    <t>商业/办公用地</t>
  </si>
  <si>
    <t>/</t>
  </si>
  <si>
    <t>挂牌</t>
  </si>
  <si>
    <t>2021-06-22</t>
  </si>
  <si>
    <t>河南民信置业有限公司</t>
  </si>
  <si>
    <t>民安路南、齐礼阎东路(齐礼阎路)西</t>
  </si>
  <si>
    <t/>
  </si>
  <si>
    <t>2021-03-03</t>
  </si>
  <si>
    <t>郑州建海金苑置业有限公司</t>
  </si>
  <si>
    <t>丰庆路西、博卉路南</t>
  </si>
  <si>
    <t>2020-05-20</t>
  </si>
  <si>
    <t>郑州美盛置业有限公司</t>
  </si>
  <si>
    <t>百花路与樱园路交叉口西北侧</t>
  </si>
  <si>
    <t>小于0.6</t>
  </si>
  <si>
    <t>2019-10-12</t>
  </si>
  <si>
    <t>荥阳市城乡建设投资开发有限公司</t>
  </si>
  <si>
    <t>百花路与樱园路交叉口西南侧</t>
  </si>
  <si>
    <t>2019-10-11</t>
  </si>
  <si>
    <t>百花路与樱园北路交叉口东南侧</t>
  </si>
  <si>
    <t>2019-08-26</t>
  </si>
  <si>
    <t>郑州盛德房地产开发有限公司</t>
  </si>
  <si>
    <t>2019-07-04</t>
  </si>
  <si>
    <t>河南省尚建置业有限公司</t>
  </si>
  <si>
    <t>二里岗南街北、未来路西</t>
  </si>
  <si>
    <t>2019-01-16</t>
  </si>
  <si>
    <t>河南博鼎实业有限公司</t>
  </si>
  <si>
    <t>未来路西、凤凰路北</t>
  </si>
  <si>
    <t>拍卖</t>
  </si>
  <si>
    <t>2018-12-26</t>
  </si>
  <si>
    <t>书院街南、紫荆山路西</t>
  </si>
  <si>
    <t>2018-12-14</t>
  </si>
  <si>
    <t>郑州商都商业发展有限公司</t>
  </si>
  <si>
    <t>中原路南、文化宫路东</t>
  </si>
  <si>
    <t>2018-11-23</t>
  </si>
  <si>
    <t>郑州帝景置业有限公司</t>
  </si>
  <si>
    <t>2018-10-22</t>
  </si>
  <si>
    <t>河南安特瑞置业有限公司</t>
  </si>
  <si>
    <t>冉屯北路东、农业路北</t>
  </si>
  <si>
    <t>2018-09-11</t>
  </si>
  <si>
    <t>河南鑫利置业有限公司</t>
  </si>
  <si>
    <t>正常</t>
    <phoneticPr fontId="31" type="noConversion"/>
  </si>
  <si>
    <t>正常</t>
    <phoneticPr fontId="31" type="noConversion"/>
  </si>
  <si>
    <t>成本法</t>
  </si>
  <si>
    <t>总价</t>
  </si>
  <si>
    <t>商业</t>
    <phoneticPr fontId="31" type="noConversion"/>
  </si>
  <si>
    <t>商业办公</t>
    <phoneticPr fontId="31" type="noConversion"/>
  </si>
  <si>
    <t>商业办公</t>
    <phoneticPr fontId="31" type="noConversion"/>
  </si>
  <si>
    <t>商业办公</t>
    <phoneticPr fontId="31" type="noConversion"/>
  </si>
  <si>
    <t>一般</t>
    <phoneticPr fontId="31" type="noConversion"/>
  </si>
  <si>
    <t>一般</t>
    <phoneticPr fontId="31" type="noConversion"/>
  </si>
  <si>
    <t>较好</t>
    <phoneticPr fontId="31" type="noConversion"/>
  </si>
  <si>
    <t>较好</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</si>
  <si>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</si>
  <si>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</si>
  <si>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</si>
  <si>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</si>
  <si>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</si>
  <si>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吴薇</t>
  </si>
  <si>
    <t>郑燚</t>
  </si>
  <si>
    <t>成本比率</t>
  </si>
  <si>
    <t>全部缴纳</t>
  </si>
  <si>
    <t>成交</t>
    <phoneticPr fontId="140" type="noConversion"/>
  </si>
  <si>
    <t>上市</t>
    <phoneticPr fontId="140" type="noConversion"/>
  </si>
  <si>
    <t>冉屯北路南、嵩山北路西</t>
    <phoneticPr fontId="140" type="noConversion"/>
  </si>
  <si>
    <t>农业路北、姚砦路西</t>
    <phoneticPr fontId="140" type="noConversion"/>
  </si>
  <si>
    <t>东风路北、信息学院路西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</si>
</sst>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20" borderId="23" xfId="0" applyFont="1" applyFill="1" applyBorder="1" applyAlignment="1" applyProtection="1">
      <alignment vertical="center"/>
      <protection locked="0"/>
    </xf>
    <xf numFmtId="181" fontId="46" fillId="20" borderId="1" xfId="0" applyNumberFormat="1" applyFont="1" applyFill="1" applyBorder="1" applyAlignment="1" applyProtection="1">
      <alignment vertical="center"/>
      <protection locked="0"/>
    </xf>
    <xf numFmtId="177" fontId="55" fillId="9" borderId="1" xfId="1" applyNumberFormat="1" applyFont="1" applyFill="1" applyBorder="1" applyAlignment="1" applyProtection="1">
      <alignment horizontal="center"/>
    </xf>
    <xf numFmtId="0" fontId="55" fillId="9" borderId="49" xfId="1" applyNumberFormat="1" applyFont="1" applyFill="1" applyBorder="1" applyAlignment="1" applyProtection="1">
      <alignment horizontal="center" vertical="center"/>
      <protection locked="0"/>
    </xf>
    <xf numFmtId="0" fontId="48" fillId="20" borderId="63" xfId="0" applyFont="1" applyFill="1" applyBorder="1" applyAlignment="1" applyProtection="1">
      <alignment vertical="center" wrapText="1"/>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9" fillId="5" borderId="0" xfId="17" applyFon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675362</xdr:colOff>
      <xdr:row>31</xdr:row>
      <xdr:rowOff>37431</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7304762" cy="5352381"/>
        </a:xfrm>
        <a:prstGeom prst="rect">
          <a:avLst/>
        </a:prstGeom>
      </xdr:spPr>
    </xdr:pic>
    <xdr:clientData/>
  </xdr:twoCellAnchor>
  <xdr:twoCellAnchor editAs="oneCell">
    <xdr:from>
      <xdr:col>0</xdr:col>
      <xdr:colOff>19050</xdr:colOff>
      <xdr:row>49</xdr:row>
      <xdr:rowOff>19050</xdr:rowOff>
    </xdr:from>
    <xdr:to>
      <xdr:col>4</xdr:col>
      <xdr:colOff>172831</xdr:colOff>
      <xdr:row>107</xdr:row>
      <xdr:rowOff>133350</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494"/>
        <a:stretch/>
      </xdr:blipFill>
      <xdr:spPr>
        <a:xfrm>
          <a:off x="19050" y="8420100"/>
          <a:ext cx="4725781" cy="10058400"/>
        </a:xfrm>
        <a:prstGeom prst="rect">
          <a:avLst/>
        </a:prstGeom>
      </xdr:spPr>
    </xdr:pic>
    <xdr:clientData/>
  </xdr:twoCellAnchor>
  <xdr:twoCellAnchor editAs="oneCell">
    <xdr:from>
      <xdr:col>4</xdr:col>
      <xdr:colOff>514350</xdr:colOff>
      <xdr:row>49</xdr:row>
      <xdr:rowOff>38100</xdr:rowOff>
    </xdr:from>
    <xdr:to>
      <xdr:col>10</xdr:col>
      <xdr:colOff>582406</xdr:colOff>
      <xdr:row>107</xdr:row>
      <xdr:rowOff>152400</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672"/>
        <a:stretch/>
      </xdr:blipFill>
      <xdr:spPr>
        <a:xfrm>
          <a:off x="4752975" y="8439150"/>
          <a:ext cx="4659106" cy="10058400"/>
        </a:xfrm>
        <a:prstGeom prst="rect">
          <a:avLst/>
        </a:prstGeom>
      </xdr:spPr>
    </xdr:pic>
    <xdr:clientData/>
  </xdr:twoCellAnchor>
  <xdr:twoCellAnchor editAs="oneCell">
    <xdr:from>
      <xdr:col>10</xdr:col>
      <xdr:colOff>457200</xdr:colOff>
      <xdr:row>49</xdr:row>
      <xdr:rowOff>47625</xdr:rowOff>
    </xdr:from>
    <xdr:to>
      <xdr:col>17</xdr:col>
      <xdr:colOff>296656</xdr:colOff>
      <xdr:row>107</xdr:row>
      <xdr:rowOff>161925</xdr:rowOff>
    </xdr:to>
    <xdr:pic>
      <xdr:nvPicPr>
        <xdr:cNvPr id="5" name="图片 4">
          <a:extLst>
            <a:ext uri="{FF2B5EF4-FFF2-40B4-BE49-F238E27FC236}">
              <a16:creationId xmlns:a16="http://schemas.microsoft.com/office/drawing/2014/main" xmlns="" id="{00000000-0008-0000-16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8009"/>
        <a:stretch/>
      </xdr:blipFill>
      <xdr:spPr>
        <a:xfrm>
          <a:off x="9286875" y="8448675"/>
          <a:ext cx="4640056" cy="10058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房地产市场价值预评估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受贵公司委托，我公司对房地产市场价值进行了预评估。</v>
      </c>
    </row>
    <row r="7" spans="1:2" s="1363" customFormat="1">
      <c r="A7" s="1361" t="s">
        <v>1231</v>
      </c>
      <c r="B7" s="1362" t="str">
        <f>'预评函-1'!A7</f>
        <v>估价对象为房地产，为所有。根据《国有土地使用证》[]，估价对象（分摊）出让国有建设用地使用权面积为18286.6平方米，建筑面积为17349.86平方米。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估价对象为房地产,属开发建设的，该项目尚在开发建设中。根据《国有土地使用证》[]，估价对象（分摊）出让国有建设用地使用权面积为18286.6平方米，规划建筑面积为17349.86平方米。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为估价委托人了解估价对象房地产市场价值提供参考依据。</v>
      </c>
    </row>
    <row r="12" spans="1:2" s="1363" customFormat="1">
      <c r="A12" s="1361" t="s">
        <v>1193</v>
      </c>
      <c r="B12" s="1362" t="str">
        <f>'预评函-1'!A15</f>
        <v>2021年8月13日</v>
      </c>
    </row>
    <row r="13" spans="1:2" s="1363" customFormat="1">
      <c r="A13" s="1361" t="s">
        <v>1194</v>
      </c>
      <c r="B13" s="1362" t="str">
        <f>'预评函-1'!A18</f>
        <v>本次估价的“房地产价值”是指在正常市场情况下，在价值时点2021年8月13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v>
      </c>
    </row>
    <row r="16" spans="1:2" s="1363" customFormat="1">
      <c r="A16" s="1361" t="s">
        <v>1197</v>
      </c>
      <c r="B16" s="1362" t="str">
        <f>'预评函-1'!A21</f>
        <v>——</v>
      </c>
    </row>
    <row r="17" spans="1:2" s="1363" customFormat="1">
      <c r="A17" s="1361" t="s">
        <v>1198</v>
      </c>
      <c r="B17" s="1362" t="str">
        <f>'预评函-1'!A22</f>
        <v>——</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3" customFormat="1">
      <c r="A20" s="1361" t="s">
        <v>1201</v>
      </c>
      <c r="B20" s="1362">
        <f ca="1">'预评函-2'!D5</f>
        <v>10381</v>
      </c>
    </row>
    <row r="21" spans="1:2" s="1363" customFormat="1">
      <c r="A21" s="1361" t="s">
        <v>1202</v>
      </c>
      <c r="B21" s="1362">
        <f ca="1">'预评函-2'!D7</f>
        <v>5983</v>
      </c>
    </row>
    <row r="22" spans="1:2" s="1363" customFormat="1">
      <c r="A22" s="1361" t="s">
        <v>1203</v>
      </c>
      <c r="B22" s="1362" t="str">
        <f ca="1">'预评函-2'!D6</f>
        <v>壹亿零叁佰捌拾壹万元整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10381</v>
      </c>
    </row>
    <row r="31" spans="1:2" s="1363" customFormat="1">
      <c r="A31" s="1361" t="s">
        <v>1241</v>
      </c>
      <c r="B31" s="1362">
        <f ca="1">'预评函-2'!D15</f>
        <v>5983</v>
      </c>
    </row>
    <row r="32" spans="1:2" s="1363" customFormat="1">
      <c r="A32" s="1361" t="s">
        <v>1208</v>
      </c>
      <c r="B32" s="1362" t="str">
        <f ca="1">'预评函-2'!D14</f>
        <v>壹亿零叁佰捌拾壹万元整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17349.86</v>
      </c>
    </row>
    <row r="44" spans="1:2" s="1363" customFormat="1">
      <c r="A44" s="1361" t="s">
        <v>1240</v>
      </c>
      <c r="B44" s="1362" t="str">
        <f>'预评函-3'!C2</f>
        <v>(分摊)土地面积</v>
      </c>
    </row>
    <row r="45" spans="1:2" s="1363" customFormat="1">
      <c r="A45" s="1361" t="s">
        <v>1212</v>
      </c>
      <c r="B45" s="1362">
        <f>'预评函-3'!C4</f>
        <v>18286.599999999999</v>
      </c>
    </row>
    <row r="46" spans="1:2" s="1363" customFormat="1">
      <c r="A46" s="1361" t="s">
        <v>1238</v>
      </c>
      <c r="B46" s="1362" t="str">
        <f>'预评函-3'!D2</f>
        <v>出让国有建设用地使用权价值</v>
      </c>
    </row>
    <row r="47" spans="1:2" s="1363" customFormat="1">
      <c r="A47" s="1361" t="s">
        <v>1213</v>
      </c>
      <c r="B47" s="1362">
        <f ca="1">'预评函-3'!D4</f>
        <v>6156</v>
      </c>
    </row>
    <row r="48" spans="1:2" s="1363" customFormat="1">
      <c r="A48" s="1361" t="s">
        <v>1214</v>
      </c>
      <c r="B48" s="1362">
        <f ca="1">'预评函-3'!E4</f>
        <v>3548</v>
      </c>
    </row>
    <row r="49" spans="1:2" s="1363" customFormat="1">
      <c r="A49" s="1361" t="s">
        <v>1215</v>
      </c>
      <c r="B49" s="1362" t="str">
        <f ca="1">'预评函-3'!D5</f>
        <v>陆仟壹佰伍拾陆万元整</v>
      </c>
    </row>
    <row r="50" spans="1:2" s="1363" customFormat="1">
      <c r="A50" s="1361" t="s">
        <v>1239</v>
      </c>
      <c r="B50" s="1362" t="str">
        <f>'预评函-3'!F2</f>
        <v>在建建筑物价值</v>
      </c>
    </row>
    <row r="51" spans="1:2" s="1363" customFormat="1">
      <c r="A51" s="1361" t="s">
        <v>1216</v>
      </c>
      <c r="B51" s="1362">
        <f ca="1">'预评函-3'!F4</f>
        <v>4225</v>
      </c>
    </row>
    <row r="52" spans="1:2" s="1363" customFormat="1">
      <c r="A52" s="1361" t="s">
        <v>1217</v>
      </c>
      <c r="B52" s="1362">
        <f ca="1">'预评函-3'!G4</f>
        <v>2435</v>
      </c>
    </row>
    <row r="53" spans="1:2" s="1363" customFormat="1">
      <c r="A53" s="1361" t="s">
        <v>1245</v>
      </c>
      <c r="B53" s="1362" t="str">
        <f ca="1">'预评函-3'!F5</f>
        <v>肆仟贰佰贰拾伍万元整</v>
      </c>
    </row>
    <row r="54" spans="1:2" s="1363" customFormat="1">
      <c r="A54" s="1361" t="s">
        <v>1263</v>
      </c>
      <c r="B54" s="1362" t="str">
        <f>'预评函-3'!A8</f>
        <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
      </c>
    </row>
    <row r="58" spans="1:2" s="1360" customFormat="1" ht="15" thickTop="1">
      <c r="A58" s="1358" t="s">
        <v>1218</v>
      </c>
      <c r="B58" s="1359" t="str">
        <f>'预评函-4'!A12</f>
        <v>2.本次评估设定估价对象房地产权属无争议，未被查封或者以其他形式限制其房地产权利，未设定抵押权等他项权利，不涉及第三方权利义务。</v>
      </c>
    </row>
    <row r="59" spans="1:2" s="1363" customFormat="1">
      <c r="A59" s="1361" t="s">
        <v>1219</v>
      </c>
      <c r="B59" s="1362" t="str">
        <f>'预评函-4'!A13</f>
        <v>——</v>
      </c>
    </row>
    <row r="60" spans="1:2" s="1363" customFormat="1">
      <c r="A60" s="1361" t="s">
        <v>1220</v>
      </c>
      <c r="B60" s="1362" t="str">
        <f>'预评函-4'!A14</f>
        <v>——</v>
      </c>
    </row>
    <row r="61" spans="1:2" s="1363" customFormat="1">
      <c r="A61" s="1361" t="s">
        <v>1221</v>
      </c>
      <c r="B61" s="1362" t="str">
        <f>'预评函-4'!A15</f>
        <v>——</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v>
      </c>
    </row>
    <row r="65" spans="1:2" s="1363" customFormat="1">
      <c r="A65" s="1361" t="s">
        <v>1224</v>
      </c>
      <c r="B65" s="13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7" t="s">
        <v>832</v>
      </c>
      <c r="C54" s="1734" t="s">
        <v>1248</v>
      </c>
    </row>
    <row r="55" spans="1:4">
      <c r="A55" s="3124"/>
      <c r="B55" s="1737" t="s">
        <v>833</v>
      </c>
      <c r="C55" s="1734" t="s">
        <v>1249</v>
      </c>
    </row>
    <row r="56" spans="1:4">
      <c r="A56" s="3124"/>
      <c r="B56" s="1737" t="s">
        <v>834</v>
      </c>
      <c r="C56" s="1734" t="s">
        <v>1253</v>
      </c>
    </row>
    <row r="57" spans="1:4">
      <c r="A57" s="312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5" sqref="G2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25" t="str">
        <f>IF(B10="北京市","北京市",C10)&amp;F10&amp;IF(结果表!G1="在建","出让国有建设用地使用权及在建建筑物",IF(结果表!G1="土地","出让国有建设用地使用权",))&amp;B9&amp;"预评估"</f>
        <v>房地产市场价值预评估</v>
      </c>
      <c r="C1" s="3126"/>
      <c r="D1" s="3126"/>
      <c r="E1" s="3126"/>
      <c r="F1" s="3126"/>
      <c r="G1" s="3126"/>
      <c r="H1" s="3126"/>
      <c r="I1" s="312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房地产市场价值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2917</v>
      </c>
      <c r="B3" s="2595"/>
      <c r="C3" s="2596" t="s">
        <v>2918</v>
      </c>
      <c r="D3" s="2595">
        <v>44421</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2919</v>
      </c>
      <c r="B4" s="2597" t="s">
        <v>3154</v>
      </c>
      <c r="C4" s="2598">
        <f ca="1">SUMIF(注册房地产估价师,B4,估价师及机构信息!B3:B24)</f>
        <v>1419970001</v>
      </c>
      <c r="D4" s="2597" t="s">
        <v>3155</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吴薇（注册号：1419970001)、郑燚（注册号：1120070131)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3065</v>
      </c>
      <c r="C8" s="2612"/>
      <c r="D8" s="3128" t="s">
        <v>2924</v>
      </c>
      <c r="E8" s="2613"/>
      <c r="F8" s="2614"/>
      <c r="G8" s="2888"/>
      <c r="H8" s="2888"/>
      <c r="I8" s="2888"/>
      <c r="J8" s="2663"/>
      <c r="K8" s="2838"/>
      <c r="L8" s="2837"/>
      <c r="M8" s="2837"/>
      <c r="N8" s="2663"/>
      <c r="O8" s="2674"/>
      <c r="P8" s="2663"/>
      <c r="Q8" s="2663"/>
      <c r="R8" s="2663"/>
    </row>
    <row r="9" spans="1:28" ht="13.5" thickBot="1">
      <c r="A9" s="2615" t="s">
        <v>2925</v>
      </c>
      <c r="B9" s="2616" t="s">
        <v>3066</v>
      </c>
      <c r="C9" s="2617"/>
      <c r="D9" s="3129"/>
      <c r="E9" s="2616"/>
      <c r="F9" s="2618"/>
      <c r="G9" s="2890"/>
      <c r="H9" s="2890"/>
      <c r="I9" s="2890"/>
      <c r="J9" s="2663"/>
      <c r="K9" s="2840"/>
      <c r="L9" s="2837"/>
      <c r="M9" s="2837"/>
      <c r="N9" s="2663"/>
      <c r="O9" s="2674"/>
      <c r="P9" s="2663"/>
      <c r="Q9" s="2663"/>
      <c r="R9" s="2663"/>
    </row>
    <row r="10" spans="1:28" ht="13.5" thickTop="1">
      <c r="A10" s="2619" t="s">
        <v>2926</v>
      </c>
      <c r="B10" s="2620" t="s">
        <v>3067</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3068</v>
      </c>
      <c r="C11" s="2625"/>
      <c r="D11" s="2626"/>
      <c r="E11" s="2592"/>
      <c r="F11" s="2592"/>
      <c r="G11" s="2592"/>
      <c r="H11" s="2592"/>
      <c r="I11" s="2592"/>
      <c r="J11" s="2663"/>
      <c r="K11" s="2840"/>
      <c r="L11" s="2837"/>
      <c r="M11" s="2837"/>
      <c r="N11" s="2663"/>
      <c r="O11" s="2674"/>
      <c r="P11" s="2663"/>
      <c r="Q11" s="2663"/>
      <c r="R11" s="2663"/>
    </row>
    <row r="12" spans="1:28">
      <c r="A12" s="2627" t="s">
        <v>2929</v>
      </c>
      <c r="B12" s="2624" t="s">
        <v>3069</v>
      </c>
      <c r="C12" s="328"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0"/>
      <c r="B13" s="2629"/>
      <c r="C13" s="2630" t="s">
        <v>2937</v>
      </c>
      <c r="D13" s="964"/>
      <c r="E13" s="964">
        <v>52521</v>
      </c>
      <c r="F13" s="964"/>
      <c r="G13" s="964"/>
      <c r="H13" s="964"/>
      <c r="I13" s="964"/>
      <c r="J13" s="2663"/>
      <c r="K13" s="2840"/>
      <c r="L13" s="2837"/>
      <c r="M13" s="2837"/>
      <c r="N13" s="2663"/>
      <c r="O13" s="2674"/>
      <c r="P13" s="2663"/>
      <c r="Q13" s="2663"/>
      <c r="R13" s="2663"/>
    </row>
    <row r="14" spans="1:28">
      <c r="A14" s="1240"/>
      <c r="B14" s="2629"/>
      <c r="C14" s="2630" t="s">
        <v>2938</v>
      </c>
      <c r="D14" s="2631"/>
      <c r="E14" s="2631">
        <v>40</v>
      </c>
      <c r="F14" s="2631"/>
      <c r="G14" s="2631"/>
      <c r="H14" s="2631"/>
      <c r="I14" s="2631"/>
      <c r="J14" s="2663"/>
      <c r="K14" s="2841"/>
      <c r="L14" s="2837"/>
      <c r="M14" s="2837"/>
      <c r="N14" s="2663"/>
      <c r="O14" s="2674"/>
      <c r="P14" s="2663"/>
      <c r="Q14" s="2663"/>
      <c r="R14" s="2663"/>
    </row>
    <row r="15" spans="1:28">
      <c r="A15" s="325"/>
      <c r="B15" s="2632"/>
      <c r="C15" s="2633" t="s">
        <v>2939</v>
      </c>
      <c r="D15" s="2634" t="str">
        <f>IF(B12="出让",IF(D13="","",ROUNDDOWN(MIN((D13-$D$3)/365,D14),2)),D14)</f>
        <v/>
      </c>
      <c r="E15" s="2634">
        <f>IF(B12="出让",IF(E13="","",ROUNDDOWN(MIN((E13-$D$3)/365,E14),2)),E14)</f>
        <v>22.19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2940</v>
      </c>
      <c r="B16" s="3135"/>
      <c r="C16" s="3136"/>
      <c r="D16" s="3137"/>
      <c r="E16" s="2637" t="s">
        <v>2941</v>
      </c>
      <c r="F16" s="3138"/>
      <c r="G16" s="3139"/>
      <c r="H16" s="3139"/>
      <c r="I16" s="3140"/>
      <c r="J16" s="2663"/>
      <c r="K16" s="2842"/>
      <c r="L16" s="2675"/>
      <c r="M16" s="2675"/>
      <c r="N16" s="2733"/>
      <c r="O16" s="2675"/>
      <c r="P16" s="2733"/>
      <c r="Q16" s="2663"/>
      <c r="R16" s="2663"/>
    </row>
    <row r="17" spans="1:28">
      <c r="A17" s="318" t="s">
        <v>2942</v>
      </c>
      <c r="B17" s="307" t="s">
        <v>2943</v>
      </c>
      <c r="C17" s="11">
        <f>'数据-汇总表'!E3</f>
        <v>17349.86</v>
      </c>
      <c r="D17" s="2543" t="s">
        <v>2944</v>
      </c>
      <c r="E17" s="3141" t="s">
        <v>2945</v>
      </c>
      <c r="F17" s="3142"/>
      <c r="G17" s="3142"/>
      <c r="H17" s="3142"/>
      <c r="I17" s="3143"/>
      <c r="J17" s="2663"/>
      <c r="K17" s="2843"/>
      <c r="L17" s="2675"/>
      <c r="M17" s="2675"/>
      <c r="N17" s="2733"/>
      <c r="O17" s="2675"/>
      <c r="P17" s="2733"/>
      <c r="Q17" s="2663"/>
      <c r="R17" s="2663"/>
      <c r="S17" s="2663"/>
      <c r="T17" s="2663"/>
      <c r="U17" s="2663"/>
      <c r="V17" s="2663"/>
    </row>
    <row r="18" spans="1:28" ht="24.75" thickBot="1">
      <c r="A18" s="2638" t="s">
        <v>2946</v>
      </c>
      <c r="B18" s="1249" t="s">
        <v>2947</v>
      </c>
      <c r="C18" s="2639">
        <f>'数据-汇总表'!D3</f>
        <v>18286.599999999999</v>
      </c>
      <c r="D18" s="1251" t="s">
        <v>2948</v>
      </c>
      <c r="E18" s="3144" t="s">
        <v>2949</v>
      </c>
      <c r="F18" s="3145"/>
      <c r="G18" s="3145"/>
      <c r="H18" s="3145"/>
      <c r="I18" s="3146"/>
      <c r="J18" s="2663"/>
      <c r="K18" s="2843"/>
      <c r="L18" s="2675"/>
      <c r="M18" s="2675"/>
      <c r="N18" s="2733"/>
      <c r="O18" s="2675"/>
      <c r="P18" s="2733"/>
      <c r="Q18" s="2663"/>
      <c r="R18" s="2663"/>
      <c r="S18" s="2663"/>
      <c r="T18" s="2663"/>
      <c r="U18" s="2663"/>
      <c r="V18" s="2663"/>
    </row>
    <row r="19" spans="1:28" ht="37.5" thickTop="1" thickBot="1">
      <c r="A19" s="332" t="s">
        <v>1741</v>
      </c>
      <c r="B19" s="312"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31" t="s">
        <v>2953</v>
      </c>
      <c r="C20" s="3132"/>
      <c r="D20" s="3133" t="s">
        <v>2954</v>
      </c>
      <c r="E20" s="3134"/>
      <c r="F20" s="2872" t="s">
        <v>1742</v>
      </c>
      <c r="G20" s="2889"/>
      <c r="H20" s="2889"/>
      <c r="I20" s="2889"/>
      <c r="J20" s="2663"/>
      <c r="K20" s="3130" t="s">
        <v>2955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3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3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8" t="s">
        <v>2961</v>
      </c>
      <c r="B27" s="325" t="s">
        <v>2962</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8"/>
      <c r="B28" s="307"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8"/>
      <c r="B29" s="307"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9"/>
      <c r="B30" s="307" t="s">
        <v>2965</v>
      </c>
      <c r="C30" s="3150"/>
      <c r="D30" s="3151"/>
      <c r="E30" s="2889"/>
      <c r="F30" s="2889"/>
      <c r="G30" s="2889"/>
      <c r="H30" s="2889"/>
      <c r="I30" s="2889"/>
      <c r="J30" s="2663"/>
      <c r="K30" s="2840"/>
      <c r="L30" s="2837"/>
      <c r="M30" s="2837"/>
      <c r="N30" s="2663"/>
      <c r="O30" s="2674"/>
      <c r="P30" s="2663"/>
      <c r="Q30" s="2663"/>
      <c r="R30" s="2663"/>
      <c r="S30" s="2663"/>
      <c r="T30" s="2663"/>
      <c r="U30" s="2663"/>
      <c r="V30" s="2663"/>
    </row>
    <row r="31" spans="1:28">
      <c r="A31" s="3152" t="s">
        <v>2966</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2967</v>
      </c>
      <c r="B34" s="2212"/>
      <c r="C34" s="2212"/>
      <c r="D34" s="2212"/>
      <c r="E34" s="2212"/>
      <c r="F34" s="2212"/>
      <c r="G34" s="2212"/>
      <c r="H34" s="2212"/>
      <c r="I34" s="2889"/>
      <c r="J34" s="2663"/>
      <c r="K34" s="2651">
        <f>COUNTIF(B34:H34,"——")</f>
        <v>0</v>
      </c>
      <c r="L34" s="328" t="s">
        <v>2968</v>
      </c>
      <c r="M34" s="328" t="s">
        <v>2969</v>
      </c>
      <c r="N34" s="328" t="s">
        <v>2970</v>
      </c>
      <c r="O34" s="328" t="s">
        <v>2971</v>
      </c>
      <c r="P34" s="328" t="s">
        <v>2972</v>
      </c>
      <c r="Q34" s="328" t="s">
        <v>2973</v>
      </c>
      <c r="R34" s="328" t="s">
        <v>2974</v>
      </c>
      <c r="S34" s="3147" t="s">
        <v>2975</v>
      </c>
      <c r="T34" s="2652" t="str">
        <f>NUMBERSTRING(7-K34,1)&amp;"通"</f>
        <v>七通</v>
      </c>
      <c r="U34" s="2663"/>
      <c r="V34" s="2663"/>
    </row>
    <row r="35" spans="1:30">
      <c r="A35" s="2653"/>
      <c r="B35" s="3154" t="s">
        <v>2976</v>
      </c>
      <c r="C35" s="3154"/>
      <c r="D35" s="3154"/>
      <c r="E35" s="3154"/>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47"/>
      <c r="T35" s="334" t="str">
        <f>IF(T34="一通",L35,IF(T34="二通",M35,IF(T34="三通",N35,IF(T34="四通",O35,IF(T34="五通",P35,IF(T34="六通",Q35,R35))))))</f>
        <v>、、、、、、</v>
      </c>
      <c r="U35" s="2663"/>
      <c r="V35" s="2663"/>
    </row>
    <row r="36" spans="1:30">
      <c r="A36" s="2654"/>
      <c r="B36" s="672" t="s">
        <v>2932</v>
      </c>
      <c r="C36" s="672" t="s">
        <v>2933</v>
      </c>
      <c r="D36" s="672" t="s">
        <v>2931</v>
      </c>
      <c r="E36" s="672"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18286.599999999999</v>
      </c>
      <c r="B3" s="14">
        <f>IF(C3="否",G5-AT5,G5)</f>
        <v>17349.86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17349.86</v>
      </c>
      <c r="H5" s="16">
        <f t="shared" ref="H5:AT5" si="0">SUM(H13:H656)</f>
        <v>17349.86</v>
      </c>
      <c r="I5" s="16">
        <f t="shared" si="0"/>
        <v>17349.86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17349.86</v>
      </c>
      <c r="BA5" s="18">
        <f t="shared" si="1"/>
        <v>17349.86</v>
      </c>
      <c r="BB5" s="18">
        <f t="shared" si="1"/>
        <v>17349.86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18286.599999999999</v>
      </c>
      <c r="F6" s="16" t="s">
        <v>1</v>
      </c>
      <c r="G6" s="16" t="s">
        <v>2</v>
      </c>
      <c r="H6" s="20">
        <f>SUMIF(I$12:AB$12,"总值",I6:AB6)</f>
        <v>18286.599999999999</v>
      </c>
      <c r="I6" s="16">
        <f t="shared" ref="I6:AB6" si="2">ROUND($A$3*I5/$B$3,2)</f>
        <v>18286.599999999999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18286.599999999999</v>
      </c>
      <c r="AZ6" s="16" t="s">
        <v>3</v>
      </c>
      <c r="BA6" s="16">
        <f>ROUND($AY$6*BA5/$AZ$5,2)</f>
        <v>18286.599999999999</v>
      </c>
      <c r="BB6" s="16">
        <f>ROUND($AY$6*BB5/$AZ$5,2)</f>
        <v>18286.599999999999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3071</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c r="D13" s="1808" t="s">
        <v>3070</v>
      </c>
      <c r="E13" s="16">
        <f>IF($C$3="是",ROUND($A$3*G13/$B$3,2),ROUND($A$3*(G13-AT13)/$B$3,2))</f>
        <v>18286.599999999999</v>
      </c>
      <c r="F13" s="32"/>
      <c r="G13" s="33">
        <f>H13+AC13+AT13</f>
        <v>17349.86</v>
      </c>
      <c r="H13" s="20">
        <f>SUMIF(I$12:AB$12,"总值",I13:AB13)</f>
        <v>17349.86</v>
      </c>
      <c r="I13" s="1809">
        <v>17349.86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18286.599999999999</v>
      </c>
      <c r="AZ13" s="16">
        <f>BA13+BL13</f>
        <v>17349.86</v>
      </c>
      <c r="BA13" s="16">
        <f>SUM(BB13:BK13)</f>
        <v>17349.86</v>
      </c>
      <c r="BB13" s="16">
        <f>IF($D13="是",I13-J13,0)</f>
        <v>17349.86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0" zoomScaleNormal="100" zoomScaleSheetLayoutView="80" workbookViewId="0">
      <selection activeCell="I39" sqref="I3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66" t="s">
        <v>1817</v>
      </c>
      <c r="B2" s="3166"/>
      <c r="C2" s="3166"/>
      <c r="D2" s="903" t="s">
        <v>1793</v>
      </c>
      <c r="E2" s="1822" t="s">
        <v>1794</v>
      </c>
      <c r="F2" s="2884"/>
      <c r="G2" s="2875"/>
      <c r="H2" s="2876"/>
      <c r="I2" s="2546" t="s">
        <v>1818</v>
      </c>
      <c r="J2" s="2884"/>
      <c r="K2" s="2884"/>
      <c r="L2" s="2884"/>
      <c r="M2" s="2884"/>
      <c r="N2" s="2886"/>
      <c r="O2" s="2884"/>
      <c r="P2" s="2884"/>
    </row>
    <row r="3" spans="1:16" ht="15.75" thickBot="1">
      <c r="A3" s="3167" t="s">
        <v>1791</v>
      </c>
      <c r="B3" s="3167"/>
      <c r="C3" s="3167"/>
      <c r="D3" s="46">
        <f>'数据-基础表'!AY6</f>
        <v>18286.599999999999</v>
      </c>
      <c r="E3" s="46">
        <f>'数据-基础表'!AZ5</f>
        <v>17349.86</v>
      </c>
      <c r="F3" s="2884"/>
      <c r="G3" s="1306"/>
      <c r="H3" s="1156" t="s">
        <v>1792</v>
      </c>
      <c r="I3" s="963">
        <f>ROUND('数据-基础表'!B3/'数据-基础表'!A3,2)</f>
        <v>0.95</v>
      </c>
      <c r="J3" s="2884"/>
      <c r="K3" s="2884"/>
      <c r="L3" s="2884"/>
      <c r="M3" s="2884"/>
      <c r="N3" s="2886"/>
      <c r="O3" s="2884"/>
      <c r="P3" s="2884"/>
    </row>
    <row r="4" spans="1:16" ht="15">
      <c r="A4" s="3168"/>
      <c r="B4" s="3169"/>
      <c r="C4" s="3170"/>
      <c r="D4" s="1824" t="s">
        <v>1793</v>
      </c>
      <c r="E4" s="1825" t="s">
        <v>1794</v>
      </c>
      <c r="F4" s="2884"/>
      <c r="G4" s="2877" t="s">
        <v>1819</v>
      </c>
      <c r="H4" s="1156" t="s">
        <v>1799</v>
      </c>
      <c r="I4" s="963">
        <f>ROUND(SUMIF('数据-基础表'!I9:AS9,"地上",'数据-基础表'!I5:AS5)/'数据-基础表'!A3,2)</f>
        <v>0.95</v>
      </c>
      <c r="J4" s="2884"/>
      <c r="K4" s="2884"/>
      <c r="L4" s="2884"/>
      <c r="M4" s="2884"/>
      <c r="N4" s="2886"/>
      <c r="O4" s="2884"/>
      <c r="P4" s="2884"/>
    </row>
    <row r="5" spans="1:16">
      <c r="A5" s="47" t="s">
        <v>1795</v>
      </c>
      <c r="B5" s="3171" t="s">
        <v>1796</v>
      </c>
      <c r="C5" s="3171"/>
      <c r="D5" s="48">
        <f>ROUND($D$3*E5/$E$3,2)</f>
        <v>0</v>
      </c>
      <c r="E5" s="49">
        <f>SUMIF('数据-基础表'!$11:$11,"住宅",'数据-基础表'!$5:$5)</f>
        <v>0</v>
      </c>
      <c r="F5" s="2884"/>
      <c r="G5" s="1306"/>
      <c r="H5" s="1156" t="s">
        <v>1792</v>
      </c>
      <c r="I5" s="963">
        <f>ROUND(E31/D31,2)</f>
        <v>0.95</v>
      </c>
      <c r="J5" s="2884"/>
      <c r="K5" s="2884"/>
      <c r="L5" s="2884"/>
      <c r="M5" s="2884"/>
      <c r="N5" s="2884"/>
      <c r="O5" s="2884"/>
      <c r="P5" s="2884"/>
    </row>
    <row r="6" spans="1:16" ht="15" thickBot="1">
      <c r="A6" s="1827"/>
      <c r="B6" s="3171" t="s">
        <v>1797</v>
      </c>
      <c r="C6" s="3171"/>
      <c r="D6" s="48">
        <f>ROUND($D$3*E6/$E$3,2)</f>
        <v>18286.599999999999</v>
      </c>
      <c r="E6" s="49">
        <f>E3-E5</f>
        <v>17349.86</v>
      </c>
      <c r="F6" s="2884"/>
      <c r="G6" s="2878" t="s">
        <v>1798</v>
      </c>
      <c r="H6" s="1307" t="s">
        <v>1799</v>
      </c>
      <c r="I6" s="2879">
        <f>ROUND(F31/D31,2)</f>
        <v>0.95</v>
      </c>
      <c r="J6" s="2884"/>
      <c r="K6" s="2884"/>
      <c r="L6" s="2884"/>
      <c r="M6" s="2884"/>
      <c r="N6" s="2884"/>
      <c r="O6" s="2884"/>
      <c r="P6" s="2884"/>
    </row>
    <row r="7" spans="1:16" ht="15.75" thickBot="1">
      <c r="A7" s="3163"/>
      <c r="B7" s="3164"/>
      <c r="C7" s="3165"/>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18286.599999999999</v>
      </c>
      <c r="E8" s="51">
        <f>SUMIF('数据-基础表'!BB10:BK10,"地上",'数据-基础表'!BB5:BK5)</f>
        <v>17349.86</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18286.599999999999</v>
      </c>
      <c r="E16" s="53">
        <f>SUM(E8:E15)</f>
        <v>17349.86</v>
      </c>
      <c r="F16" s="2884"/>
      <c r="G16" s="2885"/>
      <c r="H16" s="1831" t="s">
        <v>1821</v>
      </c>
      <c r="I16" s="1832"/>
      <c r="J16" s="1300"/>
      <c r="K16" s="3160" t="s">
        <v>1821</v>
      </c>
      <c r="L16" s="3161"/>
      <c r="M16" s="3161"/>
      <c r="N16" s="3161"/>
      <c r="O16" s="3161"/>
      <c r="P16" s="3162"/>
    </row>
    <row r="17" spans="1:19" ht="15">
      <c r="A17" s="1833" t="s">
        <v>1822</v>
      </c>
      <c r="B17" s="1834" t="s">
        <v>1823</v>
      </c>
      <c r="C17" s="1835" t="s">
        <v>1824</v>
      </c>
      <c r="D17" s="1836" t="s">
        <v>1812</v>
      </c>
      <c r="E17" s="1837" t="s">
        <v>1813</v>
      </c>
      <c r="F17" s="1838"/>
      <c r="G17" s="1839"/>
      <c r="H17" s="1840" t="s">
        <v>1825</v>
      </c>
      <c r="I17" s="1841" t="s">
        <v>1810</v>
      </c>
      <c r="J17" s="1300"/>
      <c r="K17" s="3157" t="s">
        <v>1826</v>
      </c>
      <c r="L17" s="3158"/>
      <c r="M17" s="3159"/>
      <c r="N17" s="3157" t="s">
        <v>1827</v>
      </c>
      <c r="O17" s="3158"/>
      <c r="P17" s="3159"/>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59" t="s">
        <v>3072</v>
      </c>
      <c r="D19" s="48">
        <f>ROUND($D$3*E19/$E$3,2)</f>
        <v>18286.599999999999</v>
      </c>
      <c r="E19" s="56">
        <f t="shared" ref="E19:E26" si="1">SUM(F19:G19)</f>
        <v>17349.86</v>
      </c>
      <c r="F19" s="3024">
        <f>'数据-基础表'!I13</f>
        <v>17349.86</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18286.599999999999</v>
      </c>
      <c r="S19" s="1157">
        <f t="shared" si="5"/>
        <v>17349.86</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18286.599999999999</v>
      </c>
      <c r="E27" s="1302">
        <f>IF(SUM(E19:E26)='数据-基础表'!BA5,SUM(E19:E26),IF(F27="地上面积有误","面积有误","地下面积有误"))</f>
        <v>17349.86</v>
      </c>
      <c r="F27" s="1301">
        <f>IF(SUM(F19:F26)=E8,SUM(F19:F26),"地上面积有误")</f>
        <v>17349.86</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18286.599999999999</v>
      </c>
      <c r="S27" s="1156">
        <f>IF(SUM(S19:S26)=$E$3,SUM(S19:S26),SUM(S19:S26)&amp;"误差"&amp;ROUND(SUM(S19:S26)-E3,2))</f>
        <v>17349.86</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18286.599999999999</v>
      </c>
      <c r="E31" s="684">
        <f>E27+E30</f>
        <v>17349.86</v>
      </c>
      <c r="F31" s="685">
        <f>F27+F30</f>
        <v>17349.86</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H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44421</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3073</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52521</v>
      </c>
      <c r="F6" s="68">
        <f>SUMIF(项目基本情况!D$12:I$12,C6,项目基本情况!D$15:I$15)</f>
        <v>22.19</v>
      </c>
      <c r="G6" s="69">
        <f>IF(ISERROR(ROUND(POWER(1+H6,D6-F6)*(POWER(1+H6,F6)-1)/(POWER(1+H6,D6)-1),3)),0,ROUND(POWER(1+H6,D6-F6)*(POWER(1+H6,F6)-1)/(POWER(1+H6,D6)-1),3))</f>
        <v>0.78800000000000003</v>
      </c>
      <c r="H6" s="740">
        <v>5.5E-2</v>
      </c>
      <c r="I6" s="740">
        <v>0.06</v>
      </c>
      <c r="J6" s="70">
        <v>8.5000000000000006E-2</v>
      </c>
      <c r="K6" s="1160">
        <f>SUMIF('数据-汇总表'!C$19:C$33,A6,'数据-汇总表'!E$19:E$33)</f>
        <v>17349.86</v>
      </c>
      <c r="L6" s="741">
        <v>3000</v>
      </c>
      <c r="M6" s="71">
        <f t="shared" ref="M6:M14" si="0">ROUND(K6*L6/10000,0)</f>
        <v>5205</v>
      </c>
      <c r="N6" s="739">
        <f>N20</f>
        <v>0.73</v>
      </c>
      <c r="O6" s="71" t="str">
        <f>IF($N$5="成新度","——",ROUND(M6*N6,0))</f>
        <v>——</v>
      </c>
      <c r="P6" s="72" t="str">
        <f>IF($N$5="成新度","——",M6-O6)</f>
        <v>——</v>
      </c>
      <c r="Q6" s="742">
        <v>0.08</v>
      </c>
      <c r="R6" s="73">
        <f ca="1">SUMIF('数据-汇总表'!C$19:C$33,A6,'数据-汇总表'!R$19:R$27)</f>
        <v>18286.599999999999</v>
      </c>
      <c r="S6" s="54">
        <f>IF('数据-汇总表'!$I$17="按面积比例",SUMIF('数据-汇总表'!C$19:C$33,A6,'数据-汇总表'!K$19:K$33),SUMIF('数据-汇总表'!C$19:C$33,A6,'数据-汇总表'!N$19:N$33))</f>
        <v>0</v>
      </c>
      <c r="T6" s="1333">
        <f>ROUND($L$14*S6/10000,0)</f>
        <v>0</v>
      </c>
      <c r="U6" s="3076">
        <v>1.9</v>
      </c>
      <c r="V6" s="75">
        <v>0.02</v>
      </c>
      <c r="W6" s="3077">
        <v>0.1</v>
      </c>
      <c r="X6" s="1170"/>
      <c r="Y6" s="76">
        <f>N6</f>
        <v>0.73</v>
      </c>
      <c r="Z6" s="77"/>
      <c r="AA6" s="70"/>
      <c r="AB6" s="70"/>
      <c r="AC6" s="1170"/>
      <c r="AD6" s="78"/>
      <c r="AE6" s="1171">
        <f ca="1">IF(AN6="",0,SUMIF(INDIRECT("'"&amp;AN6&amp;"'"&amp;"!E:E"),$AE$5,INDIRECT("'"&amp;AN6&amp;"'"&amp;"!F:F")))</f>
        <v>22.19</v>
      </c>
      <c r="AF6" s="1530"/>
      <c r="AG6" s="142">
        <f>IF(AF6="",0,AE6-AF6)</f>
        <v>0</v>
      </c>
      <c r="AH6" s="79"/>
      <c r="AI6" s="81">
        <v>365</v>
      </c>
      <c r="AJ6" s="82"/>
      <c r="AK6" s="83">
        <v>0.03</v>
      </c>
      <c r="AL6" s="84">
        <v>2E-3</v>
      </c>
      <c r="AM6" s="85">
        <v>0.02</v>
      </c>
      <c r="AN6" s="1899" t="s">
        <v>3081</v>
      </c>
      <c r="AO6" s="55">
        <f ca="1">SUMIF(INDIRECT("'"&amp;AN6&amp;"'"&amp;"!A:A"),"总价",INDIRECT("'"&amp;AN6&amp;"'"&amp;"!B:B"))</f>
        <v>9071</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2">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0.78800000000000003</v>
      </c>
      <c r="H16" s="95">
        <f>ROUND(SUMPRODUCT(H6:H13,K6:K13)/SUMPRODUCT((H6:H13&gt;0)*(K6:K13)),3)</f>
        <v>5.5E-2</v>
      </c>
      <c r="I16" s="96"/>
      <c r="J16" s="96"/>
      <c r="K16" s="97">
        <f>SUM(K6:K15)</f>
        <v>17349.86</v>
      </c>
      <c r="L16" s="98">
        <f>ROUND(M16*10000/SUM(K6:K14),0)</f>
        <v>3000</v>
      </c>
      <c r="M16" s="98">
        <f>SUM(M6:M14)</f>
        <v>5205</v>
      </c>
      <c r="N16" s="99">
        <f>ROUND(SUMPRODUCT(M6:M14,N6:N14)/M16,3)</f>
        <v>0.73</v>
      </c>
      <c r="O16" s="98">
        <f>SUM(O6:O14)</f>
        <v>0</v>
      </c>
      <c r="P16" s="98">
        <f>SUM(P6:P14)</f>
        <v>0</v>
      </c>
      <c r="Q16" s="100">
        <f>ROUND(SUMPRODUCT(Q6:Q13,K6:K13)/SUMPRODUCT((Q6:Q13&gt;0)*(K6:K13)),2)</f>
        <v>0.08</v>
      </c>
      <c r="R16" s="1164">
        <f ca="1">SUM(R6:R13)</f>
        <v>18286.599999999999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1</v>
      </c>
      <c r="C20" s="3029" t="s">
        <v>3050</v>
      </c>
      <c r="D20" s="2903"/>
      <c r="E20" s="2900"/>
      <c r="F20" s="2900"/>
      <c r="G20" s="2900"/>
      <c r="H20" s="2900"/>
      <c r="I20" s="2900"/>
      <c r="J20" s="2900"/>
      <c r="K20" s="2899"/>
      <c r="L20" s="2899"/>
      <c r="M20" s="2898"/>
      <c r="N20" s="2898">
        <f>ROUND(1-(2021-2005)/60,2)</f>
        <v>0.73</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1</v>
      </c>
      <c r="C21" s="2900"/>
      <c r="D21" s="2903"/>
      <c r="E21" s="2900"/>
      <c r="F21" s="2900"/>
      <c r="G21" s="2900"/>
      <c r="H21" s="2900"/>
      <c r="I21" s="2900"/>
      <c r="J21" s="2900"/>
      <c r="K21" s="2899"/>
      <c r="L21" s="2899"/>
      <c r="M21" s="2898"/>
      <c r="N21" s="2898">
        <v>0.67</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1</v>
      </c>
      <c r="C22" s="2900"/>
      <c r="D22" s="2903"/>
      <c r="E22" s="2900"/>
      <c r="F22" s="2900"/>
      <c r="G22" s="2900"/>
      <c r="H22" s="2900"/>
      <c r="I22" s="2900"/>
      <c r="J22" s="2900"/>
      <c r="K22" s="2899"/>
      <c r="L22" s="2899"/>
      <c r="M22" s="2898"/>
      <c r="N22" s="2898">
        <f>N21*0.5+N20*0.5</f>
        <v>0.7</v>
      </c>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170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3079">
        <f ca="1">成本法!C10</f>
        <v>295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f ca="1">I34</f>
        <v>10381</v>
      </c>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0.03</v>
      </c>
      <c r="C34" s="3032" t="s">
        <v>3043</v>
      </c>
      <c r="D34" s="2911" t="s">
        <v>3051</v>
      </c>
      <c r="E34" s="2909"/>
      <c r="F34" s="2900"/>
      <c r="G34" s="2900"/>
      <c r="H34" s="2900"/>
      <c r="I34" s="2900">
        <f ca="1">结果表!G19</f>
        <v>10381</v>
      </c>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0.01</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0.01</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3074</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18</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212</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v>18</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2" t="s">
        <v>3033</v>
      </c>
      <c r="B1" s="3173"/>
      <c r="C1" s="3173"/>
      <c r="D1" s="3173"/>
      <c r="E1" s="3173"/>
      <c r="F1" s="3173"/>
      <c r="G1" s="317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6"/>
      <c r="I2" s="906"/>
      <c r="J2" s="906"/>
      <c r="K2" s="906"/>
      <c r="L2" s="906"/>
      <c r="M2" s="906"/>
      <c r="N2" s="906"/>
      <c r="O2" s="906"/>
      <c r="P2" s="906"/>
      <c r="Q2" s="906"/>
      <c r="R2" s="906"/>
    </row>
    <row r="3" spans="1:29" ht="48">
      <c r="A3" s="2665" t="s">
        <v>3030</v>
      </c>
      <c r="B3" s="2687" t="s">
        <v>2999</v>
      </c>
      <c r="C3" s="2688" t="s">
        <v>3031</v>
      </c>
      <c r="D3" s="2689"/>
      <c r="E3" s="2666" t="s">
        <v>3030</v>
      </c>
      <c r="F3" s="2690" t="s">
        <v>3000</v>
      </c>
      <c r="G3" s="2691" t="s">
        <v>3032</v>
      </c>
      <c r="H3" s="906"/>
      <c r="I3" s="906"/>
      <c r="J3" s="906"/>
      <c r="K3" s="906"/>
      <c r="L3" s="906"/>
      <c r="M3" s="906"/>
      <c r="N3" s="906"/>
      <c r="O3" s="906"/>
      <c r="P3" s="906"/>
      <c r="Q3" s="906"/>
      <c r="R3" s="906"/>
    </row>
    <row r="4" spans="1:29" ht="36.75">
      <c r="A4" s="2666"/>
      <c r="B4" s="328" t="s">
        <v>3001</v>
      </c>
      <c r="C4" s="2692" t="s">
        <v>3002</v>
      </c>
      <c r="D4" s="2689"/>
      <c r="E4" s="2693"/>
      <c r="F4" s="1555" t="s">
        <v>3003</v>
      </c>
      <c r="G4" s="2694" t="s">
        <v>3004</v>
      </c>
      <c r="H4" s="906"/>
      <c r="I4" s="906"/>
      <c r="J4" s="906"/>
      <c r="K4" s="906"/>
      <c r="L4" s="906"/>
      <c r="M4" s="906"/>
      <c r="N4" s="906"/>
      <c r="O4" s="906"/>
      <c r="P4" s="906"/>
      <c r="Q4" s="906"/>
      <c r="R4" s="906"/>
    </row>
    <row r="5" spans="1:29" ht="36.75">
      <c r="A5" s="2666"/>
      <c r="B5" s="328" t="s">
        <v>3005</v>
      </c>
      <c r="C5" s="2692" t="s">
        <v>3006</v>
      </c>
      <c r="D5" s="2689"/>
      <c r="E5" s="2693"/>
      <c r="F5" s="328" t="s">
        <v>3007</v>
      </c>
      <c r="G5" s="2694" t="s">
        <v>3008</v>
      </c>
      <c r="H5" s="906"/>
      <c r="I5" s="906"/>
      <c r="J5" s="906"/>
      <c r="K5" s="906"/>
      <c r="L5" s="906"/>
      <c r="M5" s="906"/>
      <c r="N5" s="906"/>
      <c r="O5" s="906"/>
      <c r="P5" s="906"/>
      <c r="Q5" s="906"/>
      <c r="R5" s="906"/>
    </row>
    <row r="6" spans="1:29" ht="36">
      <c r="A6" s="2666"/>
      <c r="B6" s="328" t="s">
        <v>3009</v>
      </c>
      <c r="C6" s="2694" t="s">
        <v>3004</v>
      </c>
      <c r="D6" s="2689"/>
      <c r="E6" s="2693"/>
      <c r="F6" s="328" t="s">
        <v>3010</v>
      </c>
      <c r="G6" s="2694" t="s">
        <v>3011</v>
      </c>
      <c r="H6" s="906"/>
      <c r="I6" s="906"/>
      <c r="J6" s="906"/>
      <c r="K6" s="906"/>
      <c r="L6" s="906"/>
      <c r="M6" s="906"/>
      <c r="N6" s="906"/>
      <c r="O6" s="906"/>
      <c r="P6" s="906"/>
      <c r="Q6" s="906"/>
      <c r="R6" s="906"/>
    </row>
    <row r="7" spans="1:29" ht="24.75" thickBot="1">
      <c r="A7" s="2666"/>
      <c r="B7" s="328" t="s">
        <v>3007</v>
      </c>
      <c r="C7" s="2694" t="s">
        <v>3008</v>
      </c>
      <c r="D7" s="2695"/>
      <c r="E7" s="2696"/>
      <c r="F7" s="2697" t="s">
        <v>3012</v>
      </c>
      <c r="G7" s="2698" t="s">
        <v>3013</v>
      </c>
      <c r="H7" s="906"/>
      <c r="I7" s="906"/>
      <c r="J7" s="906"/>
      <c r="K7" s="906"/>
      <c r="L7" s="906"/>
      <c r="M7" s="906"/>
      <c r="N7" s="906"/>
      <c r="O7" s="906"/>
      <c r="P7" s="906"/>
      <c r="Q7" s="906"/>
      <c r="R7" s="906"/>
    </row>
    <row r="8" spans="1:29">
      <c r="A8" s="2666"/>
      <c r="B8" s="328" t="s">
        <v>3010</v>
      </c>
      <c r="C8" s="2694" t="s">
        <v>3011</v>
      </c>
      <c r="D8" s="2695"/>
      <c r="E8" s="2695"/>
      <c r="F8" s="2699"/>
      <c r="G8" s="2699"/>
      <c r="H8" s="906"/>
      <c r="I8" s="906"/>
      <c r="J8" s="906"/>
      <c r="K8" s="906"/>
      <c r="L8" s="906"/>
      <c r="M8" s="906"/>
      <c r="N8" s="906"/>
      <c r="O8" s="906"/>
      <c r="P8" s="906"/>
      <c r="Q8" s="906"/>
      <c r="R8" s="906"/>
    </row>
    <row r="9" spans="1:29" ht="24">
      <c r="A9" s="2666"/>
      <c r="B9" s="328" t="s">
        <v>3014</v>
      </c>
      <c r="C9" s="2692" t="s">
        <v>3015</v>
      </c>
      <c r="D9" s="2689"/>
      <c r="E9" s="2695"/>
      <c r="F9" s="2699"/>
      <c r="G9" s="2699"/>
      <c r="H9" s="906"/>
      <c r="I9" s="906"/>
      <c r="J9" s="906"/>
      <c r="K9" s="906"/>
      <c r="L9" s="906"/>
      <c r="M9" s="906"/>
      <c r="N9" s="906"/>
      <c r="O9" s="906"/>
      <c r="P9" s="906"/>
      <c r="Q9" s="906"/>
      <c r="R9" s="906"/>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8"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8" t="s">
        <v>3010</v>
      </c>
      <c r="G20" s="2727" t="str">
        <f>G6</f>
        <v>估价对象所在区域基础设施水平</v>
      </c>
    </row>
    <row r="21" spans="1:18" ht="25.5">
      <c r="A21" s="2670"/>
      <c r="B21" s="328" t="s">
        <v>3007</v>
      </c>
      <c r="C21" s="2727" t="str">
        <f>C7</f>
        <v>估价对象所在区域公共配套设施齐备情况</v>
      </c>
      <c r="D21" s="2689"/>
      <c r="E21" s="2671"/>
      <c r="F21" s="2726" t="s">
        <v>3025</v>
      </c>
      <c r="G21" s="2729"/>
    </row>
    <row r="22" spans="1:18" ht="13.5" customHeight="1">
      <c r="A22" s="2670"/>
      <c r="B22" s="328" t="s">
        <v>3010</v>
      </c>
      <c r="C22" s="2727" t="str">
        <f>C8</f>
        <v>估价对象所在区域基础设施水平</v>
      </c>
      <c r="D22" s="2689"/>
      <c r="E22" s="2671"/>
      <c r="F22" s="2726" t="s">
        <v>3016</v>
      </c>
      <c r="G22" s="2728"/>
    </row>
    <row r="23" spans="1:18" s="906"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6"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17349.86</v>
      </c>
      <c r="C1" s="2913"/>
      <c r="D1" s="2913"/>
      <c r="E1" s="2913"/>
      <c r="F1" s="2913"/>
      <c r="G1" s="2914"/>
      <c r="H1" s="2915"/>
      <c r="I1" s="2915"/>
      <c r="J1" s="2915"/>
      <c r="K1" s="2915"/>
    </row>
    <row r="2" spans="1:11" ht="16.5">
      <c r="A2" s="2736" t="s">
        <v>1319</v>
      </c>
      <c r="B2" s="2736">
        <f>SUM(C14:C23)</f>
        <v>18286.599999999999</v>
      </c>
      <c r="C2" s="2913"/>
      <c r="D2" s="2913"/>
      <c r="E2" s="2913"/>
      <c r="F2" s="2913"/>
      <c r="G2" s="2914"/>
      <c r="H2" s="2915"/>
      <c r="I2" s="2915"/>
      <c r="J2" s="2915"/>
      <c r="K2" s="2915"/>
    </row>
    <row r="3" spans="1:11" ht="16.5">
      <c r="A3" s="2736" t="s">
        <v>1328</v>
      </c>
      <c r="B3" s="2738">
        <f>项目基本情况!D3</f>
        <v>44421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10381</v>
      </c>
      <c r="C5" s="2736">
        <f ca="1">ROUND(B5*10000/$B$1,0)</f>
        <v>5983</v>
      </c>
      <c r="D5" s="2736">
        <f ca="1">ROUND(B5*10000/$B$2,0)</f>
        <v>5677</v>
      </c>
      <c r="E5" s="2913"/>
      <c r="F5" s="2914"/>
      <c r="G5" s="2914"/>
      <c r="H5" s="2915"/>
      <c r="I5" s="2915"/>
      <c r="J5" s="2915"/>
      <c r="K5" s="2915"/>
    </row>
    <row r="6" spans="1:11" ht="16.5">
      <c r="A6" s="2736" t="s">
        <v>1322</v>
      </c>
      <c r="B6" s="2736">
        <f ca="1">SUM(G14:G23)</f>
        <v>10381</v>
      </c>
      <c r="C6" s="2736">
        <f ca="1">ROUND(B6*10000/$B$1,0)</f>
        <v>5983</v>
      </c>
      <c r="D6" s="2736">
        <f ca="1">ROUND(B6*10000/$B$2,0)</f>
        <v>5677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17349.86</v>
      </c>
      <c r="C14" s="2742">
        <f>结果表!C118</f>
        <v>18286.599999999999</v>
      </c>
      <c r="D14" s="2742">
        <f ca="1">结果表!H118</f>
        <v>10381</v>
      </c>
      <c r="E14" s="2742">
        <f ca="1">ROUND(D14*10000/B14,0)</f>
        <v>5983</v>
      </c>
      <c r="F14" s="2742">
        <f ca="1">ROUND(D14*10000/C14,0)</f>
        <v>5677</v>
      </c>
      <c r="G14" s="2742">
        <f ca="1">结果表!D122</f>
        <v>10381</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Normal="100" zoomScaleSheetLayoutView="100" zoomScalePageLayoutView="80" workbookViewId="0">
      <selection activeCell="D110" sqref="D110"/>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44" t="str">
        <f>项目基本情况!S2</f>
        <v>房地产</v>
      </c>
      <c r="B2" s="3245"/>
      <c r="C2" s="3245"/>
      <c r="D2" s="3245"/>
      <c r="E2" s="3245"/>
      <c r="F2" s="3245"/>
      <c r="G2" s="3245"/>
      <c r="H2" s="3245"/>
      <c r="I2" s="3246"/>
    </row>
    <row r="3" spans="1:12" ht="12.75">
      <c r="A3" s="3248" t="s">
        <v>1950</v>
      </c>
      <c r="B3" s="3249"/>
      <c r="C3" s="3249"/>
      <c r="D3" s="3249"/>
      <c r="E3" s="3249"/>
      <c r="F3" s="3249"/>
      <c r="G3" s="3249"/>
      <c r="H3" s="3249"/>
      <c r="I3" s="3249"/>
    </row>
    <row r="4" spans="1:12" ht="14.25">
      <c r="A4" s="1938" t="s">
        <v>1951</v>
      </c>
      <c r="B4" s="1939" t="s">
        <v>1952</v>
      </c>
      <c r="C4" s="1940" t="s">
        <v>3139</v>
      </c>
      <c r="D4" s="1940" t="s">
        <v>3081</v>
      </c>
      <c r="E4" s="3253" t="s">
        <v>1953</v>
      </c>
      <c r="F4" s="3254"/>
      <c r="G4" s="3254"/>
      <c r="H4" s="3254"/>
      <c r="I4" s="325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1954</v>
      </c>
      <c r="B5" s="3247">
        <v>25</v>
      </c>
      <c r="C5" s="3250">
        <v>19</v>
      </c>
      <c r="D5" s="3238">
        <v>24</v>
      </c>
      <c r="E5" s="135" t="s">
        <v>1955</v>
      </c>
      <c r="F5" s="1941"/>
      <c r="G5" s="1941"/>
      <c r="H5" s="1941"/>
      <c r="I5" s="1555"/>
    </row>
    <row r="6" spans="1:12" ht="12.75">
      <c r="A6" s="3189"/>
      <c r="B6" s="3247"/>
      <c r="C6" s="3252"/>
      <c r="D6" s="3238"/>
      <c r="E6" s="135" t="s">
        <v>1956</v>
      </c>
      <c r="F6" s="1941"/>
      <c r="G6" s="1941"/>
      <c r="H6" s="1941"/>
      <c r="I6" s="1555"/>
    </row>
    <row r="7" spans="1:12" ht="12.75">
      <c r="A7" s="3189"/>
      <c r="B7" s="3247"/>
      <c r="C7" s="3251"/>
      <c r="D7" s="3238"/>
      <c r="E7" s="135" t="s">
        <v>1957</v>
      </c>
      <c r="F7" s="1941"/>
      <c r="G7" s="1941"/>
      <c r="H7" s="1941"/>
      <c r="I7" s="1555"/>
    </row>
    <row r="8" spans="1:12" ht="12.75">
      <c r="A8" s="3189" t="s">
        <v>1958</v>
      </c>
      <c r="B8" s="3247">
        <v>15</v>
      </c>
      <c r="C8" s="3250">
        <v>8</v>
      </c>
      <c r="D8" s="3238">
        <v>14</v>
      </c>
      <c r="E8" s="135" t="s">
        <v>1959</v>
      </c>
      <c r="F8" s="1941"/>
      <c r="G8" s="1941"/>
      <c r="H8" s="1941"/>
      <c r="I8" s="1555"/>
    </row>
    <row r="9" spans="1:12" ht="12.75">
      <c r="A9" s="3189"/>
      <c r="B9" s="3247"/>
      <c r="C9" s="3251"/>
      <c r="D9" s="3238"/>
      <c r="E9" s="135" t="s">
        <v>1960</v>
      </c>
      <c r="F9" s="1941"/>
      <c r="G9" s="1941"/>
      <c r="H9" s="1941"/>
      <c r="I9" s="1555"/>
    </row>
    <row r="10" spans="1:12" ht="12.75">
      <c r="A10" s="3189" t="s">
        <v>1961</v>
      </c>
      <c r="B10" s="3247">
        <v>15</v>
      </c>
      <c r="C10" s="3250">
        <v>8</v>
      </c>
      <c r="D10" s="3238">
        <v>14</v>
      </c>
      <c r="E10" s="135" t="s">
        <v>1962</v>
      </c>
      <c r="F10" s="1941"/>
      <c r="G10" s="1941"/>
      <c r="H10" s="1941"/>
      <c r="I10" s="1555"/>
    </row>
    <row r="11" spans="1:12" ht="12.75">
      <c r="A11" s="3189"/>
      <c r="B11" s="3247"/>
      <c r="C11" s="3251"/>
      <c r="D11" s="3238"/>
      <c r="E11" s="135" t="s">
        <v>1963</v>
      </c>
      <c r="F11" s="1941"/>
      <c r="G11" s="1941"/>
      <c r="H11" s="1941"/>
      <c r="I11" s="1555"/>
    </row>
    <row r="12" spans="1:12" ht="12.75">
      <c r="A12" s="3189" t="s">
        <v>1964</v>
      </c>
      <c r="B12" s="3247">
        <v>15</v>
      </c>
      <c r="C12" s="3250">
        <v>8</v>
      </c>
      <c r="D12" s="3238">
        <v>14</v>
      </c>
      <c r="E12" s="135" t="s">
        <v>1965</v>
      </c>
      <c r="F12" s="1941"/>
      <c r="G12" s="1941"/>
      <c r="H12" s="1941"/>
      <c r="I12" s="1555"/>
    </row>
    <row r="13" spans="1:12" ht="12.75">
      <c r="A13" s="3189"/>
      <c r="B13" s="3247"/>
      <c r="C13" s="3251"/>
      <c r="D13" s="3238"/>
      <c r="E13" s="135" t="s">
        <v>1966</v>
      </c>
      <c r="F13" s="1941"/>
      <c r="G13" s="1941"/>
      <c r="H13" s="1941"/>
      <c r="I13" s="1555"/>
    </row>
    <row r="14" spans="1:12" ht="12.75">
      <c r="A14" s="3189" t="s">
        <v>1967</v>
      </c>
      <c r="B14" s="3247">
        <v>30</v>
      </c>
      <c r="C14" s="3250">
        <v>19</v>
      </c>
      <c r="D14" s="3238">
        <v>27</v>
      </c>
      <c r="E14" s="135" t="s">
        <v>1968</v>
      </c>
      <c r="F14" s="1941"/>
      <c r="G14" s="1941"/>
      <c r="H14" s="1941"/>
      <c r="I14" s="1555"/>
    </row>
    <row r="15" spans="1:12" ht="12.75">
      <c r="A15" s="3189"/>
      <c r="B15" s="3247"/>
      <c r="C15" s="3252"/>
      <c r="D15" s="3238"/>
      <c r="E15" s="135" t="s">
        <v>1969</v>
      </c>
      <c r="F15" s="1941"/>
      <c r="G15" s="1941"/>
      <c r="H15" s="1941"/>
      <c r="I15" s="1555"/>
    </row>
    <row r="16" spans="1:12" ht="12.75">
      <c r="A16" s="3189"/>
      <c r="B16" s="3247"/>
      <c r="C16" s="3251"/>
      <c r="D16" s="3238"/>
      <c r="E16" s="135" t="s">
        <v>1970</v>
      </c>
      <c r="F16" s="1941"/>
      <c r="G16" s="1941"/>
      <c r="H16" s="1941"/>
      <c r="I16" s="1555"/>
    </row>
    <row r="17" spans="1:36" ht="15">
      <c r="A17" s="1942" t="s">
        <v>1971</v>
      </c>
      <c r="B17" s="60"/>
      <c r="C17" s="136">
        <f>SUM(C5:C16)</f>
        <v>62</v>
      </c>
      <c r="D17" s="136">
        <f>SUM(D5:D16)</f>
        <v>93</v>
      </c>
      <c r="E17" s="133"/>
      <c r="F17" s="133"/>
      <c r="G17" s="133"/>
      <c r="H17" s="133"/>
      <c r="I17" s="133"/>
      <c r="K17" s="307"/>
      <c r="L17" s="307" t="s">
        <v>1972</v>
      </c>
      <c r="M17" s="307" t="s">
        <v>1973</v>
      </c>
    </row>
    <row r="18" spans="1:36" ht="31.9" customHeight="1" thickBot="1">
      <c r="A18" s="1943" t="s">
        <v>1974</v>
      </c>
      <c r="B18" s="1944"/>
      <c r="C18" s="137">
        <f>ROUND(C17/SUM(C17:D17),2)</f>
        <v>0.4</v>
      </c>
      <c r="D18" s="137">
        <f>1-C18</f>
        <v>0.6</v>
      </c>
      <c r="E18" s="3269" t="s">
        <v>2874</v>
      </c>
      <c r="F18" s="3270"/>
      <c r="G18" s="3270"/>
      <c r="H18" s="3270"/>
      <c r="I18" s="3270"/>
      <c r="K18" s="307" t="s">
        <v>1975</v>
      </c>
      <c r="L18" s="307">
        <f>IF(C1="",'数据-汇总表'!E3,SUMIF(项目类型,C1,'数据-汇总表'!E17:E26)+SUMIF(项目类型,C1,'数据-汇总表'!I17:I26))</f>
        <v>17349.86</v>
      </c>
      <c r="M18" s="307">
        <f>IF(C1="",'数据-汇总表'!E3,SUMIF(项目类型,C1,'数据-汇总表'!E17:E26))</f>
        <v>17349.86</v>
      </c>
    </row>
    <row r="19" spans="1:36" ht="15">
      <c r="A19" s="1945" t="s">
        <v>1976</v>
      </c>
      <c r="B19" s="1946" t="s">
        <v>1977</v>
      </c>
      <c r="C19" s="138">
        <f ca="1">SUMIF(INDIRECT("'"&amp;C4&amp;"'"&amp;"!A:A"),结果表!B19,INDIRECT("'"&amp;C4&amp;"'"&amp;"!B:B"))</f>
        <v>12347</v>
      </c>
      <c r="D19" s="139">
        <f ca="1">SUMIF(INDIRECT("'"&amp;D4&amp;"'"&amp;"!A:A"),结果表!B19,INDIRECT("'"&amp;D4&amp;"'"&amp;"!B:B"))</f>
        <v>9071</v>
      </c>
      <c r="E19" s="1945" t="s">
        <v>1978</v>
      </c>
      <c r="F19" s="1946" t="s">
        <v>1977</v>
      </c>
      <c r="G19" s="140">
        <f ca="1">ROUND(C19*$C$18+D19*$D$18,0)</f>
        <v>10381</v>
      </c>
      <c r="H19" s="1947" t="s">
        <v>1979</v>
      </c>
      <c r="I19" s="133"/>
      <c r="K19" s="307" t="s">
        <v>1980</v>
      </c>
      <c r="L19" s="307">
        <f>IF(C1="",'数据-汇总表'!D3,SUMIF(项目类型,C1,'数据-汇总表'!D17:D26)+SUMIF(项目类型,C1,'数据-汇总表'!H17:H27))</f>
        <v>18286.599999999999</v>
      </c>
      <c r="M19" s="307">
        <f>IF(C1="",'数据-汇总表'!D3,SUMIF(项目类型,C1,'数据-汇总表'!D17:D26))</f>
        <v>18286.599999999999</v>
      </c>
    </row>
    <row r="20" spans="1:36" ht="15">
      <c r="A20" s="1948"/>
      <c r="B20" s="1156" t="s">
        <v>1981</v>
      </c>
      <c r="C20" s="141">
        <f ca="1">SUMIF(INDIRECT("'"&amp;C4&amp;"'"&amp;"!A:A"),结果表!B20,INDIRECT("'"&amp;C4&amp;"'"&amp;"!B:B"))</f>
        <v>7116</v>
      </c>
      <c r="D20" s="142">
        <f ca="1">SUMIF(INDIRECT("'"&amp;D4&amp;"'"&amp;"!A:A"),结果表!B20,INDIRECT("'"&amp;D4&amp;"'"&amp;"!B:B"))</f>
        <v>5228</v>
      </c>
      <c r="E20" s="1948"/>
      <c r="F20" s="1156" t="s">
        <v>1981</v>
      </c>
      <c r="G20" s="143">
        <f ca="1">ROUND(C20*$C$18+D20*$D$18,0)</f>
        <v>5983</v>
      </c>
      <c r="H20" s="916" t="s">
        <v>1982</v>
      </c>
      <c r="I20" s="133"/>
    </row>
    <row r="21" spans="1:36" ht="15" customHeight="1" thickBot="1">
      <c r="A21" s="936"/>
      <c r="B21" s="1949" t="s">
        <v>1983</v>
      </c>
      <c r="C21" s="727">
        <f ca="1">ROUND(C19*10000/L19,0)</f>
        <v>6752</v>
      </c>
      <c r="D21" s="728">
        <f ca="1">ROUND(D19*10000/L19,0)</f>
        <v>4960</v>
      </c>
      <c r="E21" s="936"/>
      <c r="F21" s="1949" t="s">
        <v>1983</v>
      </c>
      <c r="G21" s="144">
        <f ca="1">ROUND(G19*10000/L19,0)</f>
        <v>5677</v>
      </c>
      <c r="H21" s="1950" t="s">
        <v>1982</v>
      </c>
      <c r="I21" s="133"/>
    </row>
    <row r="22" spans="1:36" ht="15" thickBot="1">
      <c r="A22" s="1872" t="s">
        <v>1984</v>
      </c>
      <c r="B22" s="1951"/>
      <c r="C22" s="1952"/>
      <c r="D22" s="729">
        <f ca="1">IF(C19&lt;D19,D19/C19-1,C19/D19-1)</f>
        <v>0.36115092051592979</v>
      </c>
      <c r="E22" s="133"/>
      <c r="F22" s="133"/>
      <c r="G22" s="133"/>
      <c r="H22" s="133"/>
      <c r="I22" s="133"/>
    </row>
    <row r="23" spans="1:36" ht="13.5" thickBot="1">
      <c r="A23" s="1931"/>
      <c r="B23" s="1931"/>
      <c r="C23" s="1931"/>
      <c r="D23" s="1931"/>
      <c r="E23" s="133"/>
      <c r="F23" s="133"/>
      <c r="G23" s="133"/>
      <c r="H23" s="133"/>
      <c r="I23" s="133"/>
    </row>
    <row r="24" spans="1:36" ht="14.25">
      <c r="A24" s="3262" t="s">
        <v>1985</v>
      </c>
      <c r="B24" s="1946" t="s">
        <v>1977</v>
      </c>
      <c r="C24" s="140">
        <f>IF(B30=0,0,D30)</f>
        <v>0</v>
      </c>
      <c r="D24" s="1953"/>
      <c r="E24" s="133"/>
      <c r="F24" s="133"/>
      <c r="G24" s="133"/>
      <c r="H24" s="133"/>
      <c r="I24" s="133"/>
    </row>
    <row r="25" spans="1:36" ht="14.25">
      <c r="A25" s="3263"/>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2875</v>
      </c>
      <c r="F30" s="133"/>
      <c r="G30" s="133"/>
      <c r="H30" s="133"/>
      <c r="I30" s="133"/>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10381</v>
      </c>
      <c r="D32" s="1959" t="s">
        <v>3140</v>
      </c>
      <c r="E32" s="133"/>
      <c r="F32" s="133"/>
      <c r="G32" s="133"/>
      <c r="H32" s="133"/>
      <c r="I32" s="133"/>
    </row>
    <row r="33" spans="1:15" ht="15">
      <c r="A33" s="893" t="s">
        <v>1992</v>
      </c>
      <c r="B33" s="1960"/>
      <c r="C33" s="1961" t="s">
        <v>3156</v>
      </c>
      <c r="D33" s="1962" t="s">
        <v>3139</v>
      </c>
      <c r="E33" s="1963" t="s">
        <v>1993</v>
      </c>
      <c r="F33" s="1964" t="str">
        <f>IF(D32="楼面单价","取值（单价）","取值（总价）")</f>
        <v>取值（总价）</v>
      </c>
      <c r="G33" s="133"/>
      <c r="H33" s="133"/>
      <c r="I33" s="133"/>
    </row>
    <row r="34" spans="1:15" ht="15">
      <c r="A34" s="1965"/>
      <c r="B34" s="1966" t="s">
        <v>1994</v>
      </c>
      <c r="C34" s="152">
        <f ca="1">IF(C33="自定义",F34,C32-C35)</f>
        <v>6156</v>
      </c>
      <c r="D34" s="969">
        <f ca="1">IF(C33="自定义",ROUND(C34/C32,3),IF(C33="收益比率",SUMIF(INDIRECT("'"&amp;D33&amp;"'"&amp;"!b:b"),"土地收益比率",INDIRECT("'"&amp;D33&amp;"'"&amp;"!c:c")),SUMIF(INDIRECT("'"&amp;D33&amp;"'"&amp;"!b:b"),"土地成本比率",INDIRECT("'"&amp;D33&amp;"'"&amp;"!c:c"))))</f>
        <v>0.59299999999999997</v>
      </c>
      <c r="E34" s="1967" t="s">
        <v>1995</v>
      </c>
      <c r="F34" s="1496">
        <f>成本法!C6</f>
        <v>5576</v>
      </c>
      <c r="G34" s="133"/>
      <c r="H34" s="133"/>
      <c r="I34" s="133"/>
    </row>
    <row r="35" spans="1:15" ht="15.75" thickBot="1">
      <c r="A35" s="1968"/>
      <c r="B35" s="1969" t="s">
        <v>1996</v>
      </c>
      <c r="C35" s="1331">
        <f ca="1">IF(C33="自定义",F35,ROUND(C32*D35,0))</f>
        <v>4225</v>
      </c>
      <c r="D35" s="1332">
        <f ca="1">IF(C33="自定义",ROUND(C35/C32,3),IF(C33="收益比率",SUMIF(INDIRECT("'"&amp;D33&amp;"'"&amp;"!b:b"),"建筑物收益比率",INDIRECT("'"&amp;D33&amp;"'"&amp;"!c:c")),SUMIF(INDIRECT("'"&amp;D33&amp;"'"&amp;"!b:b"),"建筑物成本比率",INDIRECT("'"&amp;D33&amp;"'"&amp;"!c:c"))))</f>
        <v>0.40699999999999997</v>
      </c>
      <c r="E35" s="1970" t="s">
        <v>1997</v>
      </c>
      <c r="F35" s="158">
        <f ca="1">G19-F34</f>
        <v>4805</v>
      </c>
      <c r="G35" s="133"/>
      <c r="H35" s="133"/>
      <c r="I35" s="133"/>
    </row>
    <row r="36" spans="1:15" ht="15.75" thickBot="1">
      <c r="A36" s="3239" t="s">
        <v>1998</v>
      </c>
      <c r="B36" s="1971" t="s">
        <v>1999</v>
      </c>
      <c r="C36" s="149"/>
      <c r="D36" s="1972"/>
      <c r="E36" s="1973"/>
      <c r="F36" s="1974"/>
      <c r="G36" s="133"/>
      <c r="H36" s="133"/>
      <c r="I36" s="133"/>
    </row>
    <row r="37" spans="1:15" ht="15.75" thickBot="1">
      <c r="A37" s="3240"/>
      <c r="B37" s="1858" t="s">
        <v>2000</v>
      </c>
      <c r="C37" s="151"/>
      <c r="D37" s="1300"/>
      <c r="E37" s="1300"/>
      <c r="F37" s="1974"/>
      <c r="G37" s="133"/>
      <c r="H37" s="133"/>
      <c r="I37" s="133"/>
    </row>
    <row r="38" spans="1:15" ht="15.75" thickBot="1">
      <c r="A38" s="3241"/>
      <c r="B38" s="1975" t="s">
        <v>2001</v>
      </c>
      <c r="C38" s="682"/>
      <c r="D38" s="1976" t="s">
        <v>2002</v>
      </c>
      <c r="E38" s="1300"/>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59" t="s">
        <v>2012</v>
      </c>
      <c r="B45" s="3260"/>
      <c r="C45" s="3261"/>
      <c r="D45" s="159">
        <f ca="1">ROUND(H101*F45,0)</f>
        <v>10381</v>
      </c>
      <c r="E45" s="160" t="s">
        <v>2013</v>
      </c>
      <c r="F45" s="161">
        <v>1</v>
      </c>
      <c r="G45" s="162" t="s">
        <v>2014</v>
      </c>
      <c r="H45" s="133"/>
      <c r="I45" s="133"/>
      <c r="J45" s="3176" t="s">
        <v>2015</v>
      </c>
      <c r="K45" s="3176"/>
      <c r="L45" s="3176"/>
      <c r="M45" s="3176"/>
      <c r="N45" s="3176"/>
      <c r="O45" s="3176"/>
    </row>
    <row r="46" spans="1:15" ht="14.25" customHeight="1">
      <c r="A46" s="3256" t="s">
        <v>2016</v>
      </c>
      <c r="B46" s="3257"/>
      <c r="C46" s="3257"/>
      <c r="D46" s="3257"/>
      <c r="E46" s="3257"/>
      <c r="F46" s="3257"/>
      <c r="G46" s="3258"/>
      <c r="H46" s="1990"/>
      <c r="I46" s="163"/>
      <c r="J46" s="2747">
        <v>1</v>
      </c>
      <c r="K46" s="3177" t="s">
        <v>2017</v>
      </c>
      <c r="L46" s="3177"/>
      <c r="M46" s="3178"/>
      <c r="N46" s="3178"/>
      <c r="O46" s="3178"/>
    </row>
    <row r="47" spans="1:15" ht="12" customHeight="1">
      <c r="A47" s="164" t="s">
        <v>2018</v>
      </c>
      <c r="B47" s="165"/>
      <c r="C47" s="166"/>
      <c r="D47" s="1246" t="s">
        <v>2019</v>
      </c>
      <c r="E47" s="307" t="s">
        <v>2020</v>
      </c>
      <c r="F47" s="167" t="s">
        <v>2021</v>
      </c>
      <c r="G47" s="2770" t="s">
        <v>2022</v>
      </c>
      <c r="H47" s="2771"/>
      <c r="I47" s="163"/>
      <c r="J47" s="2747">
        <v>2</v>
      </c>
      <c r="K47" s="3177" t="s">
        <v>2023</v>
      </c>
      <c r="L47" s="3177"/>
      <c r="M47" s="3179">
        <f>'数据-取费表'!B2</f>
        <v>44421</v>
      </c>
      <c r="N47" s="3179"/>
      <c r="O47" s="3179"/>
    </row>
    <row r="48" spans="1:15" ht="25.5">
      <c r="A48" s="3242" t="s">
        <v>2024</v>
      </c>
      <c r="B48" s="3243"/>
      <c r="C48" s="324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77" t="s">
        <v>2026</v>
      </c>
      <c r="L48" s="3177"/>
      <c r="M48" s="3180">
        <f ca="1">H101</f>
        <v>10381</v>
      </c>
      <c r="N48" s="3180"/>
      <c r="O48" s="3180"/>
    </row>
    <row r="49" spans="1:35" ht="25.5" customHeight="1">
      <c r="A49" s="2554" t="s">
        <v>2027</v>
      </c>
      <c r="B49" s="3225" t="s">
        <v>2028</v>
      </c>
      <c r="C49" s="3225"/>
      <c r="D49" s="1773">
        <v>0</v>
      </c>
      <c r="E49" s="329" t="s">
        <v>2029</v>
      </c>
      <c r="F49" s="2648" t="s">
        <v>34</v>
      </c>
      <c r="G49" s="3208"/>
      <c r="H49" s="2526" t="s">
        <v>2877</v>
      </c>
      <c r="I49" s="2527"/>
      <c r="J49" s="2747">
        <v>4</v>
      </c>
      <c r="K49" s="3177" t="str">
        <f>IF(项目基本情况!E8="房地产抵押价值","房地产抵押价值","抵押担保权已注销时的房地产抵押价值")</f>
        <v>抵押担保权已注销时的房地产抵押价值</v>
      </c>
      <c r="L49" s="3177"/>
      <c r="M49" s="3180" t="str">
        <f>IF(项目基本情况!E8="房地产抵押价值",H107,H109)</f>
        <v>——</v>
      </c>
      <c r="N49" s="3180"/>
      <c r="O49" s="3180"/>
    </row>
    <row r="50" spans="1:35" ht="25.5" customHeight="1">
      <c r="A50" s="2775"/>
      <c r="B50" s="3225" t="s">
        <v>2030</v>
      </c>
      <c r="C50" s="3225"/>
      <c r="D50" s="2776"/>
      <c r="E50" s="337"/>
      <c r="F50" s="2648"/>
      <c r="G50" s="3209"/>
      <c r="H50" s="2528" t="s">
        <v>2878</v>
      </c>
      <c r="I50" s="2527"/>
      <c r="J50" s="3176" t="s">
        <v>2031</v>
      </c>
      <c r="K50" s="3176"/>
      <c r="L50" s="3176"/>
      <c r="M50" s="3176"/>
      <c r="N50" s="3176"/>
      <c r="O50" s="3176"/>
    </row>
    <row r="51" spans="1:35" ht="20.45" customHeight="1">
      <c r="A51" s="2777"/>
      <c r="B51" s="3225" t="s">
        <v>2032</v>
      </c>
      <c r="C51" s="3225"/>
      <c r="D51" s="1246"/>
      <c r="E51" s="332"/>
      <c r="F51" s="2648"/>
      <c r="G51" s="3210"/>
      <c r="H51" s="2528" t="s">
        <v>2879</v>
      </c>
      <c r="I51" s="2527"/>
      <c r="J51" s="2748" t="s">
        <v>2033</v>
      </c>
      <c r="K51" s="3177" t="s">
        <v>2034</v>
      </c>
      <c r="L51" s="3177"/>
      <c r="M51" s="2748" t="s">
        <v>2035</v>
      </c>
      <c r="N51" s="2748" t="s">
        <v>2036</v>
      </c>
      <c r="O51" s="2748" t="s">
        <v>2037</v>
      </c>
    </row>
    <row r="52" spans="1:35" ht="24" customHeight="1">
      <c r="A52" s="2556" t="s">
        <v>2038</v>
      </c>
      <c r="B52" s="3225" t="s">
        <v>2039</v>
      </c>
      <c r="C52" s="3225"/>
      <c r="D52" s="1246">
        <f ca="1">ROUND(D45*'数据-取费表'!B41/(1+'数据-取费表'!C42),0)</f>
        <v>554</v>
      </c>
      <c r="E52" s="2555" t="s">
        <v>2040</v>
      </c>
      <c r="F52" s="2778">
        <f>'数据-取费表'!B41</f>
        <v>5.6000000000000001E-2</v>
      </c>
      <c r="G52" s="2779"/>
      <c r="H52" s="2768"/>
      <c r="I52" s="1991"/>
      <c r="J52" s="2747">
        <v>1</v>
      </c>
      <c r="K52" s="3202" t="s">
        <v>2041</v>
      </c>
      <c r="L52" s="3202"/>
      <c r="M52" s="2749" t="b">
        <f>D48</f>
        <v>0</v>
      </c>
      <c r="N52" s="2747" t="str">
        <f>E48</f>
        <v>销售额×税（费）率</v>
      </c>
      <c r="O52" s="2750">
        <f>F48</f>
        <v>5.6000000000000001E-2</v>
      </c>
    </row>
    <row r="53" spans="1:35" ht="12" customHeight="1">
      <c r="A53" s="2556" t="s">
        <v>2042</v>
      </c>
      <c r="B53" s="3226" t="s">
        <v>3038</v>
      </c>
      <c r="C53" s="3227"/>
      <c r="D53" s="1246">
        <f ca="1">ROUND(D45*'数据-取费表'!B41/(1+'数据-取费表'!C42),0)</f>
        <v>554</v>
      </c>
      <c r="E53" s="2555" t="s">
        <v>2040</v>
      </c>
      <c r="F53" s="2778">
        <f>'数据-取费表'!B41</f>
        <v>5.6000000000000001E-2</v>
      </c>
      <c r="G53" s="2779"/>
      <c r="H53" s="2768"/>
      <c r="I53" s="1991"/>
      <c r="J53" s="2747">
        <v>2</v>
      </c>
      <c r="K53" s="3202" t="s">
        <v>2043</v>
      </c>
      <c r="L53" s="3202"/>
      <c r="M53" s="2749">
        <f t="shared" ref="M53:O54" ca="1" si="0">D55</f>
        <v>5</v>
      </c>
      <c r="N53" s="2747" t="str">
        <f t="shared" si="0"/>
        <v>销售额×税（费）率</v>
      </c>
      <c r="O53" s="2750" t="str">
        <f t="shared" si="0"/>
        <v>免征</v>
      </c>
    </row>
    <row r="54" spans="1:35" ht="12" customHeight="1">
      <c r="A54" s="2556" t="s">
        <v>2044</v>
      </c>
      <c r="B54" s="3226" t="s">
        <v>3039</v>
      </c>
      <c r="C54" s="3227"/>
      <c r="D54" s="1246">
        <f ca="1">C68</f>
        <v>554</v>
      </c>
      <c r="E54" s="332" t="s">
        <v>2045</v>
      </c>
      <c r="F54" s="2778">
        <f>'数据-取费表'!B41</f>
        <v>5.6000000000000001E-2</v>
      </c>
      <c r="G54" s="2779"/>
      <c r="H54" s="2780"/>
      <c r="I54" s="1991"/>
      <c r="J54" s="2747">
        <v>3</v>
      </c>
      <c r="K54" s="3202" t="s">
        <v>2046</v>
      </c>
      <c r="L54" s="3202"/>
      <c r="M54" s="2749">
        <f t="shared" ca="1" si="0"/>
        <v>5876</v>
      </c>
      <c r="N54" s="2747" t="str">
        <f t="shared" si="0"/>
        <v>增值额×税（费）率</v>
      </c>
      <c r="O54" s="2751" t="str">
        <f t="shared" si="0"/>
        <v>免征</v>
      </c>
    </row>
    <row r="55" spans="1:35" ht="24" customHeight="1">
      <c r="A55" s="3265" t="s">
        <v>2047</v>
      </c>
      <c r="B55" s="3243"/>
      <c r="C55" s="3243"/>
      <c r="D55" s="2545">
        <f ca="1">IF(H55="个人住宅",0,ROUND(D45*I55,0))</f>
        <v>5</v>
      </c>
      <c r="E55" s="2555" t="s">
        <v>2048</v>
      </c>
      <c r="F55" s="2778" t="str">
        <f>IF(H55="正常",I55,"免征")</f>
        <v>免征</v>
      </c>
      <c r="G55" s="2779"/>
      <c r="H55" s="2774"/>
      <c r="I55" s="169">
        <f>'数据-取费表'!B49</f>
        <v>5.0000000000000001E-4</v>
      </c>
      <c r="J55" s="2747">
        <f>IF(H59="非个人房产","",4)</f>
        <v>4</v>
      </c>
      <c r="K55" s="3202" t="str">
        <f>IF(H59="非个人房产","——","个人所得税")</f>
        <v>个人所得税</v>
      </c>
      <c r="L55" s="3202"/>
      <c r="M55" s="2752">
        <f ca="1">D59</f>
        <v>99</v>
      </c>
      <c r="N55" s="2226" t="str">
        <f>E59</f>
        <v>差额计税</v>
      </c>
      <c r="O55" s="2753">
        <f>F59</f>
        <v>0.01</v>
      </c>
    </row>
    <row r="56" spans="1:35" ht="24.75">
      <c r="A56" s="3265" t="s">
        <v>2049</v>
      </c>
      <c r="B56" s="3243"/>
      <c r="C56" s="3243"/>
      <c r="D56" s="2545">
        <f ca="1">IF(H56="个人住宅",D57,D58)</f>
        <v>5876</v>
      </c>
      <c r="E56" s="2555" t="s">
        <v>2050</v>
      </c>
      <c r="F56" s="2778" t="str">
        <f>IF(H56="正常",F58,"免征")</f>
        <v>免征</v>
      </c>
      <c r="G56" s="2781" t="s">
        <v>2051</v>
      </c>
      <c r="H56" s="2782"/>
      <c r="I56" s="1992"/>
      <c r="J56" s="2747" t="str">
        <f>IF(项目基本情况!K6="上海银行",IF(J55="",4,J55+1),"")</f>
        <v/>
      </c>
      <c r="K56" s="3183" t="str">
        <f>IF(项目基本情况!K6="上海银行","其他处置费用","")</f>
        <v/>
      </c>
      <c r="L56" s="3184"/>
      <c r="M56" s="2749" t="str">
        <f>IF(项目基本情况!K6="上海银行",M69,"")</f>
        <v/>
      </c>
      <c r="N56" s="3183" t="str">
        <f>IF(项目基本情况!K6="上海银行","包含处置中涉及的律师、诉讼、拍卖、评估等费用","")</f>
        <v/>
      </c>
      <c r="O56" s="3186"/>
    </row>
    <row r="57" spans="1:35" ht="12.75">
      <c r="A57" s="2556" t="s">
        <v>2027</v>
      </c>
      <c r="B57" s="3226" t="s">
        <v>2052</v>
      </c>
      <c r="C57" s="3227"/>
      <c r="D57" s="1773">
        <v>0</v>
      </c>
      <c r="E57" s="329" t="s">
        <v>2029</v>
      </c>
      <c r="F57" s="307"/>
      <c r="G57" s="2779"/>
      <c r="H57" s="2783"/>
      <c r="I57" s="1992"/>
      <c r="J57" s="3202">
        <f>IF(AND(J55="",J56=""),4,IF(项目基本情况!K6="上海银行",结果表!J56+1,结果表!J55+1))</f>
        <v>5</v>
      </c>
      <c r="K57" s="3202" t="s">
        <v>2053</v>
      </c>
      <c r="L57" s="2754" t="s">
        <v>2054</v>
      </c>
      <c r="M57" s="2755"/>
      <c r="N57" s="2756">
        <f ca="1">SUMIF(M52:M56,"&lt;9e307")</f>
        <v>5980</v>
      </c>
      <c r="O57" s="2757"/>
      <c r="P57" s="2917" t="e">
        <f ca="1">N57/M49</f>
        <v>#VALUE!</v>
      </c>
    </row>
    <row r="58" spans="1:35" ht="24.75">
      <c r="A58" s="2556" t="s">
        <v>2038</v>
      </c>
      <c r="B58" s="3226" t="s">
        <v>2055</v>
      </c>
      <c r="C58" s="3225"/>
      <c r="D58" s="2545">
        <f ca="1">IF(H58="转让取得",C81,C97)</f>
        <v>5876</v>
      </c>
      <c r="E58" s="2555" t="s">
        <v>2050</v>
      </c>
      <c r="F58" s="307" t="s">
        <v>34</v>
      </c>
      <c r="G58" s="2779"/>
      <c r="H58" s="2782"/>
      <c r="I58" s="1992"/>
      <c r="J58" s="3202"/>
      <c r="K58" s="3202"/>
      <c r="L58" s="2754" t="s">
        <v>2056</v>
      </c>
      <c r="M58" s="2758"/>
      <c r="N58" s="2759" t="str">
        <f ca="1">NUMBERSTRING(INT(N57*10000),2)&amp;"元整"</f>
        <v>伍仟玖佰捌拾万元整</v>
      </c>
      <c r="O58" s="2760"/>
    </row>
    <row r="59" spans="1:35" ht="24.75" thickBot="1">
      <c r="A59" s="3206" t="s">
        <v>2057</v>
      </c>
      <c r="B59" s="3207"/>
      <c r="C59" s="3207"/>
      <c r="D59" s="2784">
        <f ca="1">IF(H59="非个人房产","——",IF(H59="个人住宅（满五唯一有凭证）",0,IF(H59="个人其他（无凭证）",ROUND(D45*F59,0),ROUND(C67*F59,0))))</f>
        <v>99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2880</v>
      </c>
      <c r="J59" s="3204">
        <f>J57+1</f>
        <v>6</v>
      </c>
      <c r="K59" s="3202" t="s">
        <v>2058</v>
      </c>
      <c r="L59" s="2747" t="s">
        <v>2054</v>
      </c>
      <c r="M59" s="2761"/>
      <c r="N59" s="2762" t="e">
        <f ca="1">M49-N57</f>
        <v>#VALUE!</v>
      </c>
      <c r="O59" s="2763"/>
    </row>
    <row r="60" spans="1:35" ht="12" customHeight="1">
      <c r="A60" s="1993"/>
      <c r="B60" s="1931"/>
      <c r="C60" s="1931"/>
      <c r="D60" s="1931"/>
      <c r="E60" s="1761"/>
      <c r="F60" s="1992"/>
      <c r="G60" s="1992"/>
      <c r="H60" s="1994"/>
      <c r="I60" s="133"/>
      <c r="J60" s="3205"/>
      <c r="K60" s="3202"/>
      <c r="L60" s="2754" t="s">
        <v>2056</v>
      </c>
      <c r="M60" s="2758"/>
      <c r="N60" s="2759" t="e">
        <f ca="1">NUMBERSTRING(INT(N59*10000),2)&amp;"元整"</f>
        <v>#VALUE!</v>
      </c>
      <c r="O60" s="2760"/>
    </row>
    <row r="61" spans="1:35" ht="13.5" thickBot="1">
      <c r="A61" s="3264" t="s">
        <v>2059</v>
      </c>
      <c r="B61" s="3264"/>
      <c r="C61" s="3264"/>
      <c r="D61" s="3264"/>
      <c r="E61" s="3264"/>
      <c r="F61" s="1992"/>
      <c r="G61" s="1992"/>
      <c r="H61" s="1994"/>
      <c r="I61" s="133"/>
      <c r="J61" s="2747">
        <f>J59+1</f>
        <v>7</v>
      </c>
      <c r="K61" s="3202" t="s">
        <v>2060</v>
      </c>
      <c r="L61" s="3202"/>
      <c r="M61" s="2764"/>
      <c r="N61" s="2765" t="e">
        <f ca="1">ROUND(N59*10000/'数据-汇总表'!E3,0)</f>
        <v>#VALUE!</v>
      </c>
      <c r="O61" s="2766"/>
    </row>
    <row r="62" spans="1:35" ht="12.75">
      <c r="A62" s="3221" t="s">
        <v>2061</v>
      </c>
      <c r="B62" s="3222"/>
      <c r="C62" s="2207"/>
      <c r="D62" s="2207" t="s">
        <v>2062</v>
      </c>
      <c r="E62" s="170" t="s">
        <v>2063</v>
      </c>
      <c r="F62" s="1992"/>
      <c r="G62" s="1992"/>
      <c r="H62" s="1994"/>
      <c r="I62" s="133"/>
    </row>
    <row r="63" spans="1:35" ht="12.75">
      <c r="A63" s="177" t="s">
        <v>775</v>
      </c>
      <c r="B63" s="171" t="s">
        <v>2064</v>
      </c>
      <c r="C63" s="2788">
        <f ca="1">ROUND((C64+C65)/(1+'数据-取费表'!C42),0)</f>
        <v>9887</v>
      </c>
      <c r="D63" s="171"/>
      <c r="E63" s="172"/>
      <c r="F63" s="1992"/>
      <c r="G63" s="1992"/>
      <c r="H63" s="1994"/>
      <c r="I63" s="133"/>
      <c r="J63" s="3185" t="s">
        <v>2065</v>
      </c>
      <c r="K63" s="1499" t="s">
        <v>2066</v>
      </c>
      <c r="L63" s="1499" t="e">
        <f>IF(M49&gt;10000,M49*0.5%,IF(AND(M49&gt;1000,M49&lt;=10000),M49*1%,IF(AND(M49&gt;100,M49&lt;=1000),M49*3%,IF(AND(M49&gt;10,M49&lt;=100),M49*5%,M49*8%))))</f>
        <v>#VALUE!</v>
      </c>
      <c r="M63" s="307" t="e">
        <f>ROUND(L63,1)</f>
        <v>#VALUE!</v>
      </c>
      <c r="N63" s="2767"/>
      <c r="Z63" s="1936"/>
      <c r="AI63" s="1937"/>
    </row>
    <row r="64" spans="1:35" ht="14.25" customHeight="1">
      <c r="A64" s="173" t="s">
        <v>770</v>
      </c>
      <c r="B64" s="174" t="s">
        <v>2067</v>
      </c>
      <c r="C64" s="2789">
        <f ca="1">D45</f>
        <v>10381</v>
      </c>
      <c r="D64" s="174" t="s">
        <v>32</v>
      </c>
      <c r="E64" s="176"/>
      <c r="F64" s="1992"/>
      <c r="G64" s="1992"/>
      <c r="H64" s="1994"/>
      <c r="I64" s="133"/>
      <c r="J64" s="3185"/>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8" t="s">
        <v>2069</v>
      </c>
      <c r="Z64" s="1936"/>
      <c r="AI64" s="1937"/>
    </row>
    <row r="65" spans="1:35" ht="14.25" customHeight="1">
      <c r="A65" s="173" t="s">
        <v>771</v>
      </c>
      <c r="B65" s="174" t="s">
        <v>2070</v>
      </c>
      <c r="C65" s="2790"/>
      <c r="D65" s="174"/>
      <c r="E65" s="176"/>
      <c r="F65" s="1992"/>
      <c r="G65" s="1992"/>
      <c r="H65" s="1994"/>
      <c r="I65" s="133"/>
      <c r="J65" s="3185"/>
      <c r="K65" s="1499" t="s">
        <v>2071</v>
      </c>
      <c r="L65" s="1499" t="e">
        <f>IF(M49&gt;1000,M49*0.1%,IF(AND(M49&gt;500,M49&lt;=1000),M49*0.5%,IF(AND(M49&gt;50,M49&lt;=500),M49*1%,IF(AND(M49&gt;1,M49&lt;=50),M49*1.5%))))</f>
        <v>#VALUE!</v>
      </c>
      <c r="M65" s="307" t="e">
        <f t="shared" si="1"/>
        <v>#VALUE!</v>
      </c>
      <c r="N65" s="2768" t="s">
        <v>2069</v>
      </c>
      <c r="Z65" s="1936"/>
      <c r="AI65" s="1937"/>
    </row>
    <row r="66" spans="1:35" ht="14.25" customHeight="1">
      <c r="A66" s="177" t="s">
        <v>772</v>
      </c>
      <c r="B66" s="178" t="s">
        <v>2072</v>
      </c>
      <c r="C66" s="2791"/>
      <c r="D66" s="178" t="s">
        <v>32</v>
      </c>
      <c r="E66" s="1507" t="s">
        <v>1337</v>
      </c>
      <c r="F66" s="1992"/>
      <c r="G66" s="1992"/>
      <c r="H66" s="1994"/>
      <c r="I66" s="133"/>
      <c r="J66" s="3185"/>
      <c r="K66" s="1499" t="s">
        <v>2073</v>
      </c>
      <c r="L66" s="1499" t="e">
        <f>M49*0.5%</f>
        <v>#VALUE!</v>
      </c>
      <c r="M66" s="307" t="e">
        <f>IF(L66&gt;0.5,0.5,ROUND(L66,0))</f>
        <v>#VALUE!</v>
      </c>
      <c r="N66" s="2768" t="s">
        <v>2074</v>
      </c>
      <c r="Z66" s="1936"/>
      <c r="AI66" s="1937"/>
    </row>
    <row r="67" spans="1:35" ht="14.25" customHeight="1">
      <c r="A67" s="177" t="s">
        <v>773</v>
      </c>
      <c r="B67" s="178" t="s">
        <v>2075</v>
      </c>
      <c r="C67" s="2792">
        <f ca="1">C63-C66</f>
        <v>9887</v>
      </c>
      <c r="D67" s="174" t="s">
        <v>32</v>
      </c>
      <c r="E67" s="176"/>
      <c r="F67" s="1992"/>
      <c r="G67" s="1992"/>
      <c r="H67" s="1994"/>
      <c r="I67" s="133"/>
      <c r="J67" s="3185"/>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7"/>
      <c r="Z67" s="1936"/>
      <c r="AI67" s="1937"/>
    </row>
    <row r="68" spans="1:35" ht="14.25" customHeight="1" thickBot="1">
      <c r="A68" s="180" t="s">
        <v>774</v>
      </c>
      <c r="B68" s="181" t="s">
        <v>2077</v>
      </c>
      <c r="C68" s="2793">
        <f ca="1">IF(C67&lt;=0,0,ROUND(C67*D68,0))</f>
        <v>554</v>
      </c>
      <c r="D68" s="2794">
        <f>'数据-取费表'!B41</f>
        <v>5.6000000000000001E-2</v>
      </c>
      <c r="E68" s="183"/>
      <c r="F68" s="1992"/>
      <c r="G68" s="1992"/>
      <c r="H68" s="1994"/>
      <c r="I68" s="133"/>
      <c r="J68" s="3185"/>
      <c r="K68" s="1499" t="s">
        <v>2078</v>
      </c>
      <c r="L68" s="1499" t="e">
        <f>IF(M49&gt;10000,M49*0.5%,IF(AND(M49&gt;5000,M49&lt;=10000),M49*1%,IF(AND(M49&gt;1000,M49&lt;=5000),M49*2%,IF(AND(M49&gt;200,M49&lt;=1000),M49*3%,M49*5%))))</f>
        <v>#VALUE!</v>
      </c>
      <c r="M68" s="307" t="e">
        <f>ROUND(L68,1)</f>
        <v>#VALUE!</v>
      </c>
      <c r="N68" s="2767"/>
      <c r="Z68" s="1936"/>
      <c r="AI68" s="1937"/>
    </row>
    <row r="69" spans="1:35" s="1956" customFormat="1" ht="16.5" customHeight="1">
      <c r="A69" s="1995"/>
      <c r="B69" s="1996"/>
      <c r="C69" s="1997"/>
      <c r="D69" s="1998"/>
      <c r="E69" s="1999"/>
      <c r="F69" s="1761"/>
      <c r="G69" s="1761"/>
      <c r="H69" s="1760"/>
      <c r="I69" s="1931"/>
      <c r="J69" s="3185"/>
      <c r="K69" s="1499" t="s">
        <v>2079</v>
      </c>
      <c r="L69" s="1499"/>
      <c r="M69" s="307" t="e">
        <f>ROUND(SUM(M63:M68),0)</f>
        <v>#VALUE!</v>
      </c>
      <c r="N69" s="2769" t="e">
        <f>M69/M49</f>
        <v>#VALUE!</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9" t="s">
        <v>2080</v>
      </c>
      <c r="B70" s="3230"/>
      <c r="C70" s="3230"/>
      <c r="D70" s="3230"/>
      <c r="E70" s="3230"/>
      <c r="F70" s="3230"/>
      <c r="G70" s="3230"/>
      <c r="H70" s="323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1" t="s">
        <v>2061</v>
      </c>
      <c r="B71" s="3222"/>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9887</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59</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26" t="s">
        <v>2088</v>
      </c>
      <c r="F76" s="3225"/>
      <c r="G76" s="3225"/>
      <c r="H76" s="322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59</v>
      </c>
      <c r="D78" s="2801">
        <f>'数据-取费表'!B43</f>
        <v>6.000000000000001E-3</v>
      </c>
      <c r="E78" s="3218" t="s">
        <v>2092</v>
      </c>
      <c r="F78" s="3219"/>
      <c r="G78" s="3219"/>
      <c r="H78" s="322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9828</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166.57627118644066</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5876</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9" t="s">
        <v>2096</v>
      </c>
      <c r="B83" s="3230"/>
      <c r="C83" s="3230"/>
      <c r="D83" s="3230"/>
      <c r="E83" s="3230"/>
      <c r="F83" s="3230"/>
      <c r="G83" s="3230"/>
      <c r="H83" s="323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1" t="s">
        <v>2061</v>
      </c>
      <c r="B84" s="3222"/>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9887</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59</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187" t="s">
        <v>2872</v>
      </c>
      <c r="H90" s="3188"/>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218" t="s">
        <v>2105</v>
      </c>
      <c r="F91" s="3219"/>
      <c r="G91" s="321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218" t="s">
        <v>2108</v>
      </c>
      <c r="F92" s="3219"/>
      <c r="G92" s="3219"/>
      <c r="H92" s="3220"/>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59</v>
      </c>
      <c r="D93" s="2801">
        <f>'数据-取费表'!B43</f>
        <v>6.000000000000001E-3</v>
      </c>
      <c r="E93" s="3218" t="s">
        <v>2092</v>
      </c>
      <c r="F93" s="3219"/>
      <c r="G93" s="3219"/>
      <c r="H93" s="322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266" t="s">
        <v>2112</v>
      </c>
      <c r="F94" s="3267"/>
      <c r="G94" s="3267"/>
      <c r="H94" s="326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9828</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166.57627118644066</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5876</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68" t="s">
        <v>2114</v>
      </c>
      <c r="B100" s="3169"/>
      <c r="C100" s="3169"/>
      <c r="D100" s="3203"/>
      <c r="E100" s="3169" t="s">
        <v>2115</v>
      </c>
      <c r="F100" s="3169"/>
      <c r="G100" s="3169"/>
      <c r="H100" s="3203"/>
      <c r="I100" s="133"/>
    </row>
    <row r="101" spans="1:35" ht="18.75" customHeight="1">
      <c r="A101" s="3211" t="s">
        <v>2116</v>
      </c>
      <c r="B101" s="3212"/>
      <c r="C101" s="2809" t="str">
        <f>C4</f>
        <v>成本法</v>
      </c>
      <c r="D101" s="2810" t="str">
        <f>D4</f>
        <v>收益法</v>
      </c>
      <c r="E101" s="3181" t="s">
        <v>2117</v>
      </c>
      <c r="F101" s="3182"/>
      <c r="G101" s="2011" t="s">
        <v>2118</v>
      </c>
      <c r="H101" s="2819">
        <f ca="1">H118</f>
        <v>10381</v>
      </c>
      <c r="I101" s="133"/>
    </row>
    <row r="102" spans="1:35" ht="18.75" customHeight="1">
      <c r="A102" s="3213" t="s">
        <v>2119</v>
      </c>
      <c r="B102" s="2808" t="s">
        <v>2118</v>
      </c>
      <c r="C102" s="2809">
        <f ca="1">C19</f>
        <v>12347</v>
      </c>
      <c r="D102" s="2810">
        <f ca="1">D19</f>
        <v>9071</v>
      </c>
      <c r="E102" s="3181"/>
      <c r="F102" s="3182"/>
      <c r="G102" s="2011" t="s">
        <v>2120</v>
      </c>
      <c r="H102" s="2779">
        <f ca="1">I118</f>
        <v>5983</v>
      </c>
      <c r="I102" s="133"/>
    </row>
    <row r="103" spans="1:35" ht="42.75" customHeight="1">
      <c r="A103" s="3213"/>
      <c r="B103" s="2808" t="s">
        <v>2120</v>
      </c>
      <c r="C103" s="2811">
        <f ca="1">C20</f>
        <v>7116</v>
      </c>
      <c r="D103" s="2812">
        <f ca="1">D20</f>
        <v>5228</v>
      </c>
      <c r="E103" s="3174" t="s">
        <v>2121</v>
      </c>
      <c r="F103" s="3175"/>
      <c r="G103" s="2012" t="s">
        <v>2122</v>
      </c>
      <c r="H103" s="2819">
        <f>IF(D36="正常操作",H104+H105+H106,H105+H106)</f>
        <v>0</v>
      </c>
      <c r="I103" s="133"/>
    </row>
    <row r="104" spans="1:35" ht="18.75" customHeight="1">
      <c r="A104" s="3213" t="s">
        <v>2123</v>
      </c>
      <c r="B104" s="2813" t="s">
        <v>2118</v>
      </c>
      <c r="C104" s="2814">
        <f ca="1">H118</f>
        <v>10381</v>
      </c>
      <c r="D104" s="2815"/>
      <c r="E104" s="1858" t="s">
        <v>2124</v>
      </c>
      <c r="F104" s="1849"/>
      <c r="G104" s="2012" t="s">
        <v>2122</v>
      </c>
      <c r="H104" s="2820">
        <f>IF(D36="同一抵押权人同一抵押物续贷",C36&amp;"（续贷，未扣减，详见特别提示）",C36)</f>
        <v>0</v>
      </c>
      <c r="I104" s="133"/>
    </row>
    <row r="105" spans="1:35" ht="18.75" customHeight="1" thickBot="1">
      <c r="A105" s="3223"/>
      <c r="B105" s="2816" t="s">
        <v>2120</v>
      </c>
      <c r="C105" s="2817">
        <f ca="1">I118</f>
        <v>5983</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14" t="str">
        <f>IF(项目基本情况!E8="已注销","——","3.房地产抵押价值")</f>
        <v>3.房地产抵押价值</v>
      </c>
      <c r="F107" s="3182"/>
      <c r="G107" s="2011" t="s">
        <v>2118</v>
      </c>
      <c r="H107" s="2819">
        <f ca="1">IF(E107="——","——",H101-H103)</f>
        <v>10381</v>
      </c>
      <c r="I107" s="133"/>
    </row>
    <row r="108" spans="1:35" ht="18.75" customHeight="1">
      <c r="A108" s="133"/>
      <c r="B108" s="133"/>
      <c r="C108" s="133"/>
      <c r="D108" s="133"/>
      <c r="E108" s="3214"/>
      <c r="F108" s="3182"/>
      <c r="G108" s="2011" t="s">
        <v>2120</v>
      </c>
      <c r="H108" s="2779">
        <f ca="1">ROUND(H107*10000/'数据-汇总表'!E3,0)</f>
        <v>5983</v>
      </c>
      <c r="I108" s="133"/>
    </row>
    <row r="109" spans="1:35" ht="18.75" customHeight="1">
      <c r="A109" s="133"/>
      <c r="B109" s="133"/>
      <c r="C109" s="133"/>
      <c r="D109" s="133"/>
      <c r="E109" s="3214" t="str">
        <f>IF(项目基本情况!E8="已注销及未注销","4.抵押担保权已注销时的房地产抵押价值",IF(项目基本情况!E8="已注销","3.抵押担保权已注销时的房地产抵押价值","——"))</f>
        <v>——</v>
      </c>
      <c r="F109" s="3182"/>
      <c r="G109" s="2011" t="s">
        <v>2118</v>
      </c>
      <c r="H109" s="2822" t="str">
        <f>IF(E109="——","——",H101-H105-H106)</f>
        <v>——</v>
      </c>
      <c r="I109" s="133"/>
    </row>
    <row r="110" spans="1:35" ht="18.75" customHeight="1">
      <c r="A110" s="133"/>
      <c r="B110" s="133"/>
      <c r="C110" s="133"/>
      <c r="D110" s="133"/>
      <c r="E110" s="3214"/>
      <c r="F110" s="3182"/>
      <c r="G110" s="2011" t="s">
        <v>2120</v>
      </c>
      <c r="H110" s="2779" t="str">
        <f>IF(H109="——","——",ROUND(H109*10000/'数据-汇总表'!E3,0))</f>
        <v>——</v>
      </c>
      <c r="I110" s="133"/>
    </row>
    <row r="111" spans="1:35" ht="18.75" customHeight="1">
      <c r="A111" s="133"/>
      <c r="B111" s="133"/>
      <c r="C111" s="133"/>
      <c r="D111" s="133"/>
      <c r="E111" s="3215" t="str">
        <f>IF(项目基本情况!E9="抵押净值",IF(OR(项目基本情况!E8="已注销",项目基本情况!E8="房地产抵押价值"),"4.抵押净值","5.抵押净值"),"——")</f>
        <v>——</v>
      </c>
      <c r="F111" s="3201"/>
      <c r="G111" s="2011" t="s">
        <v>2118</v>
      </c>
      <c r="H111" s="2819" t="str">
        <f>IF(E111="——","——",N59)</f>
        <v>——</v>
      </c>
      <c r="I111" s="133"/>
    </row>
    <row r="112" spans="1:35" ht="18.75" customHeight="1" thickBot="1">
      <c r="A112" s="133"/>
      <c r="B112" s="133"/>
      <c r="C112" s="133"/>
      <c r="D112" s="133"/>
      <c r="E112" s="3216"/>
      <c r="F112" s="3217"/>
      <c r="G112" s="2014" t="s">
        <v>2120</v>
      </c>
      <c r="H112" s="2823" t="str">
        <f>IF(E111="——","——",N61)</f>
        <v>——</v>
      </c>
      <c r="I112" s="133"/>
    </row>
    <row r="113" spans="1:27" ht="18.75" customHeight="1">
      <c r="A113" s="133"/>
      <c r="B113" s="133"/>
      <c r="C113" s="133"/>
      <c r="D113" s="133"/>
      <c r="E113" s="3224" t="s">
        <v>2126</v>
      </c>
      <c r="F113" s="3224"/>
      <c r="G113" s="3224"/>
      <c r="H113" s="3224"/>
      <c r="I113" s="133"/>
    </row>
    <row r="114" spans="1:27" ht="3.75" customHeight="1">
      <c r="A114" s="1931"/>
      <c r="B114" s="1931"/>
      <c r="C114" s="1931"/>
      <c r="D114" s="1931"/>
      <c r="E114" s="1993"/>
      <c r="F114" s="1993"/>
      <c r="G114" s="1993"/>
      <c r="H114" s="1993"/>
      <c r="I114" s="1931"/>
    </row>
    <row r="115" spans="1:27" ht="18.75" customHeight="1">
      <c r="A115" s="3235" t="s">
        <v>2128</v>
      </c>
      <c r="B115" s="3236"/>
      <c r="C115" s="3236"/>
      <c r="D115" s="3236"/>
      <c r="E115" s="3236"/>
      <c r="F115" s="3236"/>
      <c r="G115" s="3236"/>
      <c r="H115" s="3236"/>
      <c r="I115" s="3237"/>
    </row>
    <row r="116" spans="1:27" ht="27" customHeight="1">
      <c r="A116" s="3189" t="s">
        <v>2129</v>
      </c>
      <c r="B116" s="3193" t="s">
        <v>2130</v>
      </c>
      <c r="C116" s="3193" t="s">
        <v>2131</v>
      </c>
      <c r="D116" s="3199" t="s">
        <v>2132</v>
      </c>
      <c r="E116" s="3200"/>
      <c r="F116" s="3231" t="s">
        <v>2133</v>
      </c>
      <c r="G116" s="3231"/>
      <c r="H116" s="3189" t="s">
        <v>2134</v>
      </c>
      <c r="I116" s="3189"/>
    </row>
    <row r="117" spans="1:27" ht="18.75" customHeight="1">
      <c r="A117" s="3189"/>
      <c r="B117" s="3194"/>
      <c r="C117" s="3194"/>
      <c r="D117" s="2550" t="s">
        <v>2135</v>
      </c>
      <c r="E117" s="2550" t="s">
        <v>2136</v>
      </c>
      <c r="F117" s="2550" t="s">
        <v>2135</v>
      </c>
      <c r="G117" s="2550" t="s">
        <v>2137</v>
      </c>
      <c r="H117" s="2550" t="s">
        <v>2135</v>
      </c>
      <c r="I117" s="2550" t="s">
        <v>2137</v>
      </c>
    </row>
    <row r="118" spans="1:27" ht="24.75" customHeight="1">
      <c r="A118" s="2824" t="str">
        <f>项目基本情况!S2</f>
        <v>房地产</v>
      </c>
      <c r="B118" s="2550">
        <f>M18</f>
        <v>17349.86</v>
      </c>
      <c r="C118" s="2550">
        <f>M19</f>
        <v>18286.599999999999</v>
      </c>
      <c r="D118" s="2550">
        <f ca="1">ROUND(IF(D32="总价",C34,E118*B118/10000),0)</f>
        <v>6156</v>
      </c>
      <c r="E118" s="2550">
        <f ca="1">ROUND(IF(C33="自定义",IF(D32="楼面单价",C34,D118*10000/B118),I118-G118),0)</f>
        <v>3548</v>
      </c>
      <c r="F118" s="2550">
        <f ca="1">ROUND(IF(D32="总价",C35,G118*B118/10000),0)</f>
        <v>4225</v>
      </c>
      <c r="G118" s="2550">
        <f ca="1">ROUND(IF(D32="楼面单价",C35,F118*10000/B118),0)</f>
        <v>2435</v>
      </c>
      <c r="H118" s="2550">
        <f ca="1">ROUND(IF(D32="总价",C32,I118*B118/10000),0)</f>
        <v>10381</v>
      </c>
      <c r="I118" s="2550">
        <f ca="1">ROUND(IF(D32="楼面单价",C32,H118*10000/B118),0)</f>
        <v>5983</v>
      </c>
    </row>
    <row r="119" spans="1:27" ht="18.75" customHeight="1">
      <c r="A119" s="3189" t="s">
        <v>2138</v>
      </c>
      <c r="B119" s="3189"/>
      <c r="C119" s="3189"/>
      <c r="D119" s="3195" t="str">
        <f ca="1">NUMBERSTRING(INT(D118*10000),2)&amp;"元整"</f>
        <v>陆仟壹佰伍拾陆万元整</v>
      </c>
      <c r="E119" s="3196"/>
      <c r="F119" s="3195" t="str">
        <f ca="1">NUMBERSTRING(INT(F118*10000),2)&amp;"元整"</f>
        <v>肆仟贰佰贰拾伍万元整</v>
      </c>
      <c r="G119" s="3196"/>
      <c r="H119" s="3195" t="str">
        <f ca="1">NUMBERSTRING(INT(H118*10000),2)&amp;"元整"</f>
        <v>壹亿零叁佰捌拾壹万元整</v>
      </c>
      <c r="I119" s="3196"/>
    </row>
    <row r="120" spans="1:27" ht="18.75" customHeight="1">
      <c r="A120" s="3190" t="str">
        <f>IF(项目基本情况!B9="房地产市场价值","",MID(E103,3,LEN(E103)-2))</f>
        <v/>
      </c>
      <c r="B120" s="3191"/>
      <c r="C120" s="3192"/>
      <c r="D120" s="3190">
        <f>H103</f>
        <v>0</v>
      </c>
      <c r="E120" s="3191"/>
      <c r="F120" s="3191"/>
      <c r="G120" s="3191"/>
      <c r="H120" s="3191"/>
      <c r="I120" s="3192"/>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32" t="s">
        <v>2138</v>
      </c>
      <c r="B121" s="3233"/>
      <c r="C121" s="3234"/>
      <c r="D121" s="3195" t="str">
        <f>IF(D120=0,"零元整",NUMBERSTRING(INT(D120*10000),2)&amp;"元整")</f>
        <v>零元整</v>
      </c>
      <c r="E121" s="3197"/>
      <c r="F121" s="3197"/>
      <c r="G121" s="3197"/>
      <c r="H121" s="3197"/>
      <c r="I121" s="3196"/>
      <c r="AA121" s="733"/>
    </row>
    <row r="122" spans="1:27" ht="18.75" customHeight="1">
      <c r="A122" s="3201" t="str">
        <f>IF(项目基本情况!B9="房地产市场价值","",MID(E107,3,LEN(E107)-2))</f>
        <v/>
      </c>
      <c r="B122" s="3201"/>
      <c r="C122" s="3201"/>
      <c r="D122" s="3190">
        <f ca="1">H107</f>
        <v>10381</v>
      </c>
      <c r="E122" s="3191"/>
      <c r="F122" s="3191"/>
      <c r="G122" s="3191"/>
      <c r="H122" s="3191"/>
      <c r="I122" s="3192"/>
      <c r="AA122" s="733"/>
    </row>
    <row r="123" spans="1:27" ht="18.75" customHeight="1">
      <c r="A123" s="3189" t="s">
        <v>2138</v>
      </c>
      <c r="B123" s="3189"/>
      <c r="C123" s="3189"/>
      <c r="D123" s="3195" t="str">
        <f ca="1">NUMBERSTRING(INT(D122*10000),2)&amp;"元整"</f>
        <v>壹亿零叁佰捌拾壹万元整</v>
      </c>
      <c r="E123" s="3197"/>
      <c r="F123" s="3197"/>
      <c r="G123" s="3197"/>
      <c r="H123" s="3197"/>
      <c r="I123" s="3196"/>
      <c r="AA123" s="733"/>
    </row>
    <row r="124" spans="1:27" ht="18.75" customHeight="1">
      <c r="A124" s="3201" t="str">
        <f>IF(项目基本情况!B9="房地产市场价值","",MID(E109,3,LEN(E109)-2))</f>
        <v/>
      </c>
      <c r="B124" s="3201"/>
      <c r="C124" s="3201"/>
      <c r="D124" s="3190" t="str">
        <f>H109</f>
        <v>——</v>
      </c>
      <c r="E124" s="3191"/>
      <c r="F124" s="3191"/>
      <c r="G124" s="3191"/>
      <c r="H124" s="3191"/>
      <c r="I124" s="3192"/>
      <c r="AA124" s="733"/>
    </row>
    <row r="125" spans="1:27" ht="18.75" customHeight="1">
      <c r="A125" s="3189" t="s">
        <v>2138</v>
      </c>
      <c r="B125" s="3189"/>
      <c r="C125" s="3189"/>
      <c r="D125" s="3195" t="e">
        <f>NUMBERSTRING(INT(D124*10000),2)&amp;"元整"</f>
        <v>#VALUE!</v>
      </c>
      <c r="E125" s="3197"/>
      <c r="F125" s="3197"/>
      <c r="G125" s="3197"/>
      <c r="H125" s="3197"/>
      <c r="I125" s="3196"/>
      <c r="AA125" s="733"/>
    </row>
    <row r="126" spans="1:27" ht="18.75" customHeight="1">
      <c r="A126" s="3201" t="str">
        <f>IF(项目基本情况!B9="房地产市场价值","",MID(E111,3,LEN(E111)-2))</f>
        <v/>
      </c>
      <c r="B126" s="3201"/>
      <c r="C126" s="3201"/>
      <c r="D126" s="3190" t="str">
        <f>H111</f>
        <v>——</v>
      </c>
      <c r="E126" s="3191"/>
      <c r="F126" s="3191"/>
      <c r="G126" s="3191"/>
      <c r="H126" s="3191"/>
      <c r="I126" s="3192"/>
      <c r="AA126" s="733"/>
    </row>
    <row r="127" spans="1:27" ht="18.75" customHeight="1">
      <c r="A127" s="3189" t="s">
        <v>2138</v>
      </c>
      <c r="B127" s="3189"/>
      <c r="C127" s="3189"/>
      <c r="D127" s="3195" t="e">
        <f>NUMBERSTRING(INT(D126*10000),2)&amp;"元整"</f>
        <v>#VALUE!</v>
      </c>
      <c r="E127" s="3197"/>
      <c r="F127" s="3197"/>
      <c r="G127" s="3197"/>
      <c r="H127" s="3197"/>
      <c r="I127" s="3196"/>
      <c r="AA127" s="733"/>
    </row>
    <row r="128" spans="1:27" ht="21.75" customHeight="1">
      <c r="A128" s="3198" t="s">
        <v>2139</v>
      </c>
      <c r="B128" s="3198"/>
      <c r="C128" s="3198"/>
      <c r="D128" s="3198"/>
      <c r="E128" s="3198"/>
      <c r="F128" s="3198"/>
      <c r="G128" s="3198"/>
      <c r="H128" s="3198"/>
      <c r="I128" s="319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6" sqref="D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7">
        <f>MATCH(B1,'数据-取费表'!A6:A16,0)+5</f>
        <v>6</v>
      </c>
    </row>
    <row r="2" spans="1:9" s="205" customFormat="1" ht="18" customHeight="1">
      <c r="A2" s="206" t="s">
        <v>2148</v>
      </c>
      <c r="B2" s="207">
        <f ca="1">IF(D2="——",C52,C52-E2)</f>
        <v>12347</v>
      </c>
      <c r="C2" s="204" t="s">
        <v>2149</v>
      </c>
      <c r="D2" s="2037" t="s">
        <v>70</v>
      </c>
      <c r="E2" s="1330"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7116</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6041</v>
      </c>
      <c r="D5" s="216" t="s">
        <v>2155</v>
      </c>
      <c r="E5" s="217" t="s">
        <v>2156</v>
      </c>
      <c r="F5" s="217" t="s">
        <v>2157</v>
      </c>
      <c r="G5" s="218"/>
    </row>
    <row r="6" spans="1:9" s="219" customFormat="1" ht="13.5" customHeight="1">
      <c r="A6" s="885" t="s">
        <v>2158</v>
      </c>
      <c r="B6" s="220" t="s">
        <v>2159</v>
      </c>
      <c r="C6" s="221">
        <f>'土地比较法-住宅、综合'!B2</f>
        <v>5576</v>
      </c>
      <c r="D6" s="222"/>
      <c r="E6" s="223"/>
      <c r="F6" s="223"/>
      <c r="G6" s="224"/>
    </row>
    <row r="7" spans="1:9" s="219" customFormat="1" ht="13.5" customHeight="1">
      <c r="A7" s="885" t="s">
        <v>2160</v>
      </c>
      <c r="B7" s="220" t="s">
        <v>2161</v>
      </c>
      <c r="C7" s="225">
        <f>ROUND(C6*F7,0)</f>
        <v>170</v>
      </c>
      <c r="D7" s="225"/>
      <c r="E7" s="223"/>
      <c r="F7" s="226">
        <f>IF(项目基本情况!B8="出让",0,'数据-取费表'!B48+'数据-取费表'!B49)</f>
        <v>3.0499999999999999E-2</v>
      </c>
      <c r="G7" s="224"/>
    </row>
    <row r="8" spans="1:9" s="228" customFormat="1">
      <c r="A8" s="885" t="s">
        <v>2162</v>
      </c>
      <c r="B8" s="220" t="s">
        <v>2163</v>
      </c>
      <c r="C8" s="3078">
        <f ca="1">IF(G8="已包含在土地购买价格中","0",IF(B1="",'数据-取费表'!B29,IF(G9="全部缴纳",C9+C10,H9)))</f>
        <v>295</v>
      </c>
      <c r="D8" s="227"/>
      <c r="E8" s="225"/>
      <c r="F8" s="226"/>
      <c r="G8" s="2040" t="s">
        <v>3075</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3157</v>
      </c>
      <c r="H9" s="1298"/>
      <c r="I9" s="2042" t="s">
        <v>2165</v>
      </c>
    </row>
    <row r="10" spans="1:9" s="219" customFormat="1" ht="13.5" customHeight="1">
      <c r="A10" s="886" t="s">
        <v>801</v>
      </c>
      <c r="B10" s="229" t="s">
        <v>2166</v>
      </c>
      <c r="C10" s="230">
        <f ca="1">ROUND(D10*E10/10000,0)</f>
        <v>295</v>
      </c>
      <c r="D10" s="953">
        <f ca="1">IF(B1="",'数据-汇总表'!E6,IF(INDIRECT("'数据-取费表'!c"&amp;$G$1)="住宅",INDIRECT("'数据-取费表'!s"&amp;$G$1),INDIRECT("'数据-取费表'!k"&amp;$G$1)+INDIRECT("'数据-取费表'!s"&amp;$G$1)))</f>
        <v>17349.86</v>
      </c>
      <c r="E10" s="230">
        <f>'数据-取费表'!B28</f>
        <v>170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17349.86</v>
      </c>
      <c r="E19" s="216">
        <f>'数据-取费表'!B31</f>
        <v>200</v>
      </c>
      <c r="F19" s="236"/>
      <c r="G19" s="2040" t="s">
        <v>3076</v>
      </c>
    </row>
    <row r="20" spans="1:7" s="219" customFormat="1" ht="13.5" customHeight="1">
      <c r="A20" s="260" t="s">
        <v>2179</v>
      </c>
      <c r="B20" s="215" t="s">
        <v>2180</v>
      </c>
      <c r="C20" s="237">
        <f ca="1">ROUND((C5+C19)*F20,0)</f>
        <v>60</v>
      </c>
      <c r="D20" s="237"/>
      <c r="E20" s="237"/>
      <c r="F20" s="238">
        <f>'数据-取费表'!B37</f>
        <v>0.01</v>
      </c>
      <c r="G20" s="239" t="s">
        <v>2181</v>
      </c>
    </row>
    <row r="21" spans="1:7" s="219" customFormat="1" ht="13.5" customHeight="1">
      <c r="A21" s="260" t="s">
        <v>2182</v>
      </c>
      <c r="B21" s="215" t="s">
        <v>2183</v>
      </c>
      <c r="C21" s="240">
        <f>F21</f>
        <v>0.01</v>
      </c>
      <c r="D21" s="241" t="s">
        <v>2184</v>
      </c>
      <c r="E21" s="237"/>
      <c r="F21" s="238">
        <f>'数据-取费表'!B38</f>
        <v>0.01</v>
      </c>
      <c r="G21" s="239" t="s">
        <v>2185</v>
      </c>
    </row>
    <row r="22" spans="1:7" s="219" customFormat="1" ht="13.5" customHeight="1">
      <c r="A22" s="260" t="s">
        <v>2186</v>
      </c>
      <c r="B22" s="215" t="s">
        <v>2187</v>
      </c>
      <c r="C22" s="1263">
        <f ca="1">ROUND(SUM(C23:C25),0)</f>
        <v>264</v>
      </c>
      <c r="D22" s="240">
        <f ca="1">C26</f>
        <v>2.0000000000000001E-4</v>
      </c>
      <c r="E22" s="241" t="s">
        <v>2184</v>
      </c>
      <c r="F22" s="242">
        <f ca="1">'数据-取费表'!B40</f>
        <v>4.3499999999999997E-2</v>
      </c>
      <c r="G22" s="239" t="str">
        <f>IF('数据-取费表'!B22&lt;=1,"单利计息","复利计息")</f>
        <v>单利计息</v>
      </c>
    </row>
    <row r="23" spans="1:7" s="219" customFormat="1" ht="13.5" customHeight="1">
      <c r="A23" s="887" t="s">
        <v>2188</v>
      </c>
      <c r="B23" s="220" t="s">
        <v>2189</v>
      </c>
      <c r="C23" s="1264">
        <f ca="1">ROUND(IF('数据-取费表'!B22&lt;=1,C5*F22*'数据-取费表'!B23,C5*(POWER((1+F22),'数据-取费表'!B23)-1)),0)</f>
        <v>263</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1</v>
      </c>
      <c r="D25" s="243"/>
      <c r="E25" s="246"/>
      <c r="F25" s="244"/>
      <c r="G25" s="247" t="s">
        <v>2196</v>
      </c>
    </row>
    <row r="26" spans="1:7" s="219" customFormat="1">
      <c r="A26" s="887" t="s">
        <v>795</v>
      </c>
      <c r="B26" s="220" t="s">
        <v>2197</v>
      </c>
      <c r="C26" s="243">
        <f ca="1">ROUND(IF('数据-取费表'!B22&lt;=1,F21*F22*'数据-取费表'!B23/2,F21*(POWER((1+F22),'数据-取费表'!B23/2)-1)),4)</f>
        <v>2.0000000000000001E-4</v>
      </c>
      <c r="D26" s="243"/>
      <c r="E26" s="246"/>
      <c r="F26" s="244"/>
      <c r="G26" s="248"/>
    </row>
    <row r="27" spans="1:7" s="219" customFormat="1" ht="24.75">
      <c r="A27" s="260" t="s">
        <v>2198</v>
      </c>
      <c r="B27" s="249" t="s">
        <v>2199</v>
      </c>
      <c r="C27" s="250">
        <f ca="1">C28</f>
        <v>488</v>
      </c>
      <c r="D27" s="240">
        <f ca="1">C29</f>
        <v>8.0000000000000004E-4</v>
      </c>
      <c r="E27" s="241" t="s">
        <v>2200</v>
      </c>
      <c r="F27" s="251">
        <f ca="1">IF(B1="",'数据-取费表'!Q16,INDIRECT("'数据-取费表'!q"&amp;$G$1))</f>
        <v>0.08</v>
      </c>
      <c r="G27" s="252" t="s">
        <v>2201</v>
      </c>
    </row>
    <row r="28" spans="1:7" s="219" customFormat="1" ht="13.5" customHeight="1">
      <c r="A28" s="887" t="s">
        <v>791</v>
      </c>
      <c r="B28" s="253" t="s">
        <v>2202</v>
      </c>
      <c r="C28" s="254">
        <f ca="1">ROUND((C5+C19+C20)*F27*'数据-取费表'!B21/'数据-取费表'!B20,0)</f>
        <v>488</v>
      </c>
      <c r="D28" s="240"/>
      <c r="E28" s="241"/>
      <c r="F28" s="251"/>
      <c r="G28" s="252"/>
    </row>
    <row r="29" spans="1:7" s="219" customFormat="1" ht="13.5" customHeight="1">
      <c r="A29" s="887" t="s">
        <v>792</v>
      </c>
      <c r="B29" s="253" t="s">
        <v>2203</v>
      </c>
      <c r="C29" s="243">
        <f ca="1">ROUND(C21*F27*'数据-取费表'!B21/'数据-取费表'!B20,4)</f>
        <v>8.0000000000000004E-4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7324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5786</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5205</v>
      </c>
      <c r="D34" s="222"/>
      <c r="E34" s="225"/>
      <c r="F34" s="262">
        <f ca="1">IF('数据-取费表'!B24=0,1,IF(B1="",'数据-取费表'!N16,INDIRECT("'数据-取费表'!n"&amp;$G$1)))</f>
        <v>1</v>
      </c>
      <c r="G34" s="224" t="s">
        <v>2212</v>
      </c>
    </row>
    <row r="35" spans="1:7" ht="13.5" customHeight="1">
      <c r="A35" s="887" t="s">
        <v>796</v>
      </c>
      <c r="B35" s="220" t="s">
        <v>2213</v>
      </c>
      <c r="C35" s="225">
        <f ca="1">ROUND(C34*F35,0)</f>
        <v>156</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0.03</v>
      </c>
      <c r="G36" s="265" t="s">
        <v>2216</v>
      </c>
    </row>
    <row r="37" spans="1:7" s="263" customFormat="1" ht="13.5" customHeight="1">
      <c r="A37" s="887" t="s">
        <v>798</v>
      </c>
      <c r="B37" s="220" t="s">
        <v>2217</v>
      </c>
      <c r="C37" s="254">
        <f ca="1">ROUND(E37*D37*F34/10000,0)</f>
        <v>347</v>
      </c>
      <c r="D37" s="222">
        <f ca="1">D19</f>
        <v>17349.86</v>
      </c>
      <c r="E37" s="254">
        <f>'数据-取费表'!B35</f>
        <v>200</v>
      </c>
      <c r="F37" s="264"/>
      <c r="G37" s="266" t="s">
        <v>2218</v>
      </c>
    </row>
    <row r="38" spans="1:7" ht="13.5" customHeight="1">
      <c r="A38" s="887" t="s">
        <v>799</v>
      </c>
      <c r="B38" s="220" t="s">
        <v>2219</v>
      </c>
      <c r="C38" s="225">
        <f ca="1">ROUND(C34*F38,0)</f>
        <v>78</v>
      </c>
      <c r="D38" s="225"/>
      <c r="E38" s="225"/>
      <c r="F38" s="264">
        <f>'数据-取费表'!B36</f>
        <v>1.4999999999999999E-2</v>
      </c>
      <c r="G38" s="224" t="s">
        <v>2214</v>
      </c>
    </row>
    <row r="39" spans="1:7" s="219" customFormat="1" ht="13.5" customHeight="1">
      <c r="A39" s="260" t="s">
        <v>2220</v>
      </c>
      <c r="B39" s="215" t="s">
        <v>2221</v>
      </c>
      <c r="C39" s="237">
        <f ca="1">ROUND(C33*F20,0)</f>
        <v>58</v>
      </c>
      <c r="D39" s="237"/>
      <c r="E39" s="237"/>
      <c r="F39" s="2533">
        <f>F20</f>
        <v>0.01</v>
      </c>
      <c r="G39" s="239" t="s">
        <v>2222</v>
      </c>
    </row>
    <row r="40" spans="1:7" s="219" customFormat="1" ht="13.5" customHeight="1">
      <c r="A40" s="260" t="s">
        <v>2223</v>
      </c>
      <c r="B40" s="215" t="s">
        <v>2224</v>
      </c>
      <c r="C40" s="1493">
        <f>F21</f>
        <v>0.01</v>
      </c>
      <c r="D40" s="241" t="s">
        <v>2225</v>
      </c>
      <c r="E40" s="237"/>
      <c r="F40" s="2533">
        <f>F21</f>
        <v>0.01</v>
      </c>
      <c r="G40" s="239" t="s">
        <v>2226</v>
      </c>
    </row>
    <row r="41" spans="1:7" s="219" customFormat="1" ht="13.5" customHeight="1">
      <c r="A41" s="260" t="s">
        <v>2227</v>
      </c>
      <c r="B41" s="215" t="s">
        <v>2228</v>
      </c>
      <c r="C41" s="237">
        <f ca="1">ROUND(SUM(C42:C43),0)</f>
        <v>127</v>
      </c>
      <c r="D41" s="240">
        <f ca="1">C44</f>
        <v>2.0000000000000001E-4</v>
      </c>
      <c r="E41" s="241" t="s">
        <v>2225</v>
      </c>
      <c r="F41" s="2534">
        <f ca="1">F22</f>
        <v>4.3499999999999997E-2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126</v>
      </c>
      <c r="D42" s="243"/>
      <c r="E42" s="243"/>
      <c r="F42" s="244"/>
      <c r="G42" s="3271" t="s">
        <v>2230</v>
      </c>
    </row>
    <row r="43" spans="1:7" ht="13.5" customHeight="1">
      <c r="A43" s="887" t="s">
        <v>792</v>
      </c>
      <c r="B43" s="220" t="s">
        <v>2231</v>
      </c>
      <c r="C43" s="243">
        <f ca="1">ROUND(IF('数据-取费表'!B22&lt;=1,C39*F22*'数据-取费表'!B21/2,C39*(POWER((1+F22),'数据-取费表'!B21/2)-1)),0)</f>
        <v>1</v>
      </c>
      <c r="D43" s="243"/>
      <c r="E43" s="243"/>
      <c r="F43" s="244"/>
      <c r="G43" s="3272"/>
    </row>
    <row r="44" spans="1:7" ht="13.5" customHeight="1">
      <c r="A44" s="887" t="s">
        <v>793</v>
      </c>
      <c r="B44" s="220" t="s">
        <v>2232</v>
      </c>
      <c r="C44" s="243">
        <f ca="1">ROUND(IF('数据-取费表'!B22&lt;=1,C40*F22*'数据-取费表'!B21/2,C40*(POWER((1+F22),'数据-取费表'!B21/2)-1)),4)</f>
        <v>2.0000000000000001E-4</v>
      </c>
      <c r="D44" s="243"/>
      <c r="E44" s="243"/>
      <c r="F44" s="244"/>
      <c r="G44" s="3273"/>
    </row>
    <row r="45" spans="1:7" s="219" customFormat="1" ht="13.5" customHeight="1">
      <c r="A45" s="260" t="s">
        <v>2233</v>
      </c>
      <c r="B45" s="249" t="s">
        <v>2199</v>
      </c>
      <c r="C45" s="250">
        <f ca="1">C46</f>
        <v>468</v>
      </c>
      <c r="D45" s="240">
        <f ca="1">C47</f>
        <v>8.0000000000000004E-4</v>
      </c>
      <c r="E45" s="241" t="s">
        <v>2225</v>
      </c>
      <c r="F45" s="2535">
        <f ca="1">F27</f>
        <v>0.08</v>
      </c>
      <c r="G45" s="252" t="s">
        <v>2234</v>
      </c>
    </row>
    <row r="46" spans="1:7" s="219" customFormat="1" ht="13.5" customHeight="1">
      <c r="A46" s="887" t="s">
        <v>791</v>
      </c>
      <c r="B46" s="253" t="s">
        <v>2235</v>
      </c>
      <c r="C46" s="254">
        <f ca="1">ROUND((C33+C39)*F27,0)</f>
        <v>468</v>
      </c>
      <c r="D46" s="268"/>
      <c r="E46" s="241"/>
      <c r="F46" s="251"/>
      <c r="G46" s="252"/>
    </row>
    <row r="47" spans="1:7" s="219" customFormat="1" ht="13.5" customHeight="1">
      <c r="A47" s="887" t="s">
        <v>792</v>
      </c>
      <c r="B47" s="253" t="s">
        <v>2236</v>
      </c>
      <c r="C47" s="243">
        <f ca="1">ROUND(C40*F27,4)</f>
        <v>8.0000000000000004E-4</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6881</v>
      </c>
      <c r="D49" s="237"/>
      <c r="E49" s="237"/>
      <c r="F49" s="269"/>
      <c r="G49" s="239" t="s">
        <v>2240</v>
      </c>
    </row>
    <row r="50" spans="1:7" s="263" customFormat="1" ht="24">
      <c r="A50" s="260" t="s">
        <v>2241</v>
      </c>
      <c r="B50" s="215" t="s">
        <v>2242</v>
      </c>
      <c r="C50" s="237"/>
      <c r="D50" s="237"/>
      <c r="E50" s="237"/>
      <c r="F50" s="269">
        <f>IF('数据-取费表'!B24=0,'数据-取费表'!N16,1)</f>
        <v>0.73</v>
      </c>
      <c r="G50" s="252" t="s">
        <v>2243</v>
      </c>
    </row>
    <row r="51" spans="1:7" ht="16.5" customHeight="1">
      <c r="A51" s="260" t="s">
        <v>2244</v>
      </c>
      <c r="B51" s="215" t="s">
        <v>2245</v>
      </c>
      <c r="C51" s="237">
        <f ca="1">ROUND(C49*F50,0)</f>
        <v>5023</v>
      </c>
      <c r="D51" s="237"/>
      <c r="E51" s="237"/>
      <c r="F51" s="269"/>
      <c r="G51" s="239" t="s">
        <v>2246</v>
      </c>
    </row>
    <row r="52" spans="1:7" s="213" customFormat="1" ht="16.5" thickBot="1">
      <c r="A52" s="270" t="s">
        <v>2247</v>
      </c>
      <c r="B52" s="271"/>
      <c r="C52" s="272">
        <f ca="1">C31+C51</f>
        <v>12347</v>
      </c>
      <c r="D52" s="271"/>
      <c r="E52" s="271"/>
      <c r="F52" s="271"/>
      <c r="G52" s="273"/>
    </row>
    <row r="55" spans="1:7" ht="15">
      <c r="B55" s="275" t="s">
        <v>2248</v>
      </c>
      <c r="C55" s="276"/>
    </row>
    <row r="56" spans="1:7">
      <c r="B56" s="278" t="s">
        <v>1478</v>
      </c>
      <c r="C56" s="280">
        <f ca="1">1-C57</f>
        <v>0.59299999999999997</v>
      </c>
    </row>
    <row r="57" spans="1:7">
      <c r="B57" s="278" t="s">
        <v>1479</v>
      </c>
      <c r="C57" s="279">
        <f ca="1">ROUND(C51/C52,3)</f>
        <v>0.40699999999999997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2" t="str">
        <f>项目基本情况!B1</f>
        <v>房地产市场价值预评估</v>
      </c>
      <c r="C37" s="3082"/>
      <c r="D37" s="3082"/>
      <c r="E37" s="3082"/>
      <c r="F37" s="3082"/>
      <c r="G37" s="3082"/>
      <c r="H37" s="3082"/>
      <c r="I37" s="308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7">
        <f>MATCH(B1,'数据-取费表'!A6:A16,0)+5</f>
        <v>7</v>
      </c>
      <c r="H1" s="1191" t="str">
        <f>IF(ISERROR(FIND("住宅",B1)),"非住宅","住宅")</f>
        <v>非住宅</v>
      </c>
    </row>
    <row r="2" spans="1:8" s="205" customFormat="1" ht="18" customHeight="1">
      <c r="A2" s="206" t="s">
        <v>2148</v>
      </c>
      <c r="B2" s="207">
        <f ca="1">ROUND(IF(D2="——",C52/10000,C52/10000-E2),0)</f>
        <v>5802</v>
      </c>
      <c r="C2" s="204" t="s">
        <v>2149</v>
      </c>
      <c r="D2" s="2037" t="s">
        <v>70</v>
      </c>
      <c r="E2" s="1330"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3344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2949476</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2949476</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2949476</v>
      </c>
      <c r="D10" s="953">
        <f ca="1">IF(B1="",'数据-汇总表'!E6,IF(INDIRECT("'数据-取费表'!c"&amp;$G$1)="住宅",INDIRECT("'数据-取费表'!s"&amp;$G$1),INDIRECT("'数据-取费表'!k"&amp;$G$1)+INDIRECT("'数据-取费表'!s"&amp;$G$1)))</f>
        <v>17349.86</v>
      </c>
      <c r="E10" s="230">
        <f>'数据-取费表'!B28</f>
        <v>170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3469972</v>
      </c>
      <c r="D19" s="957">
        <f ca="1">D9+D10</f>
        <v>17349.86</v>
      </c>
      <c r="E19" s="216">
        <f>'数据-取费表'!B31</f>
        <v>200</v>
      </c>
      <c r="F19" s="236"/>
      <c r="G19" s="2040"/>
    </row>
    <row r="20" spans="1:7" s="219" customFormat="1" ht="13.5" customHeight="1">
      <c r="A20" s="260" t="s">
        <v>2260</v>
      </c>
      <c r="B20" s="215" t="s">
        <v>2261</v>
      </c>
      <c r="C20" s="237">
        <f ca="1">ROUND((C5+C19)*F20,0)</f>
        <v>64194</v>
      </c>
      <c r="D20" s="237"/>
      <c r="E20" s="237"/>
      <c r="F20" s="238">
        <f>'数据-取费表'!B37</f>
        <v>0.01</v>
      </c>
      <c r="G20" s="239" t="s">
        <v>2262</v>
      </c>
    </row>
    <row r="21" spans="1:7" s="219" customFormat="1" ht="13.5" customHeight="1">
      <c r="A21" s="260" t="s">
        <v>2263</v>
      </c>
      <c r="B21" s="215" t="s">
        <v>2264</v>
      </c>
      <c r="C21" s="240">
        <f>F21</f>
        <v>0.01</v>
      </c>
      <c r="D21" s="241" t="s">
        <v>2265</v>
      </c>
      <c r="E21" s="237"/>
      <c r="F21" s="238">
        <f>'数据-取费表'!B38</f>
        <v>0.01</v>
      </c>
      <c r="G21" s="239" t="s">
        <v>2266</v>
      </c>
    </row>
    <row r="22" spans="1:7" s="219" customFormat="1" ht="13.5" customHeight="1">
      <c r="A22" s="260" t="s">
        <v>2267</v>
      </c>
      <c r="B22" s="215" t="s">
        <v>2268</v>
      </c>
      <c r="C22" s="1288">
        <f ca="1">ROUND(SUM(C23:C25),0)</f>
        <v>280642</v>
      </c>
      <c r="D22" s="240">
        <f ca="1">C26</f>
        <v>2.0000000000000001E-4</v>
      </c>
      <c r="E22" s="241" t="s">
        <v>2265</v>
      </c>
      <c r="F22" s="242">
        <f ca="1">'数据-取费表'!B40</f>
        <v>4.3499999999999997E-2</v>
      </c>
      <c r="G22" s="239" t="str">
        <f>IF('数据-取费表'!B22&lt;=1,"单利计息","复利计息")</f>
        <v>单利计息</v>
      </c>
    </row>
    <row r="23" spans="1:7" s="219" customFormat="1" ht="13.5" customHeight="1">
      <c r="A23" s="887" t="s">
        <v>2158</v>
      </c>
      <c r="B23" s="220" t="s">
        <v>2269</v>
      </c>
      <c r="C23" s="1289">
        <f ca="1">ROUND(IF('数据-取费表'!B22&lt;=1,C5*F22*'数据-取费表'!B22,C5*(POWER((1+F22),'数据-取费表'!B22)-1)),0)</f>
        <v>128302</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150944</v>
      </c>
      <c r="D24" s="243"/>
      <c r="E24" s="243"/>
      <c r="F24" s="244"/>
      <c r="G24" s="245" t="s">
        <v>2272</v>
      </c>
    </row>
    <row r="25" spans="1:7" s="219" customFormat="1" ht="24">
      <c r="A25" s="887" t="s">
        <v>2162</v>
      </c>
      <c r="B25" s="220" t="s">
        <v>2273</v>
      </c>
      <c r="C25" s="1289">
        <f ca="1">ROUND(IF('数据-取费表'!B22&lt;=1,C20*F22*'数据-取费表'!B22/2,C20*(POWER((1+F22),'数据-取费表'!B22/2)-1)),0)</f>
        <v>1396</v>
      </c>
      <c r="D25" s="243"/>
      <c r="E25" s="246"/>
      <c r="F25" s="244"/>
      <c r="G25" s="247" t="s">
        <v>2274</v>
      </c>
    </row>
    <row r="26" spans="1:7" s="219" customFormat="1">
      <c r="A26" s="887" t="s">
        <v>795</v>
      </c>
      <c r="B26" s="220" t="s">
        <v>2197</v>
      </c>
      <c r="C26" s="243">
        <f ca="1">ROUND(IF('数据-取费表'!B22&lt;=1,F21*F22*'数据-取费表'!B22/2,F21*(POWER((1+F22),'数据-取费表'!B22/2)-1)),4)</f>
        <v>2.0000000000000001E-4</v>
      </c>
      <c r="D26" s="243"/>
      <c r="E26" s="246"/>
      <c r="F26" s="244"/>
      <c r="G26" s="248"/>
    </row>
    <row r="27" spans="1:7" s="219" customFormat="1" ht="24.75">
      <c r="A27" s="260" t="s">
        <v>2198</v>
      </c>
      <c r="B27" s="249" t="s">
        <v>2199</v>
      </c>
      <c r="C27" s="250">
        <f ca="1">C28</f>
        <v>518691</v>
      </c>
      <c r="D27" s="240">
        <f ca="1">C29</f>
        <v>8.0000000000000004E-4</v>
      </c>
      <c r="E27" s="241" t="s">
        <v>2200</v>
      </c>
      <c r="F27" s="251">
        <f ca="1">IF(B1="",'数据-取费表'!Q16,INDIRECT("'数据-取费表'!q"&amp;$G$1))</f>
        <v>0.08</v>
      </c>
      <c r="G27" s="252" t="s">
        <v>2201</v>
      </c>
    </row>
    <row r="28" spans="1:7" s="219" customFormat="1" ht="13.5" customHeight="1">
      <c r="A28" s="887" t="s">
        <v>791</v>
      </c>
      <c r="B28" s="253" t="s">
        <v>2202</v>
      </c>
      <c r="C28" s="254">
        <f ca="1">ROUND((C5+C19+C20)*F27,0)</f>
        <v>518691</v>
      </c>
      <c r="D28" s="240"/>
      <c r="E28" s="241"/>
      <c r="F28" s="251"/>
      <c r="G28" s="252"/>
    </row>
    <row r="29" spans="1:7" s="219" customFormat="1" ht="13.5" customHeight="1">
      <c r="A29" s="887" t="s">
        <v>792</v>
      </c>
      <c r="B29" s="253" t="s">
        <v>2203</v>
      </c>
      <c r="C29" s="243">
        <f ca="1">ROUND(C21*F27,4)</f>
        <v>8.0000000000000004E-4</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7783451</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57861783</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52049580</v>
      </c>
      <c r="D34" s="222"/>
      <c r="E34" s="225"/>
      <c r="F34" s="262"/>
      <c r="G34" s="224"/>
    </row>
    <row r="35" spans="1:7" ht="13.5" customHeight="1">
      <c r="A35" s="887" t="s">
        <v>796</v>
      </c>
      <c r="B35" s="220" t="s">
        <v>2213</v>
      </c>
      <c r="C35" s="225">
        <f ca="1">ROUND(C34*F35,0)</f>
        <v>1561487</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0.03</v>
      </c>
      <c r="G36" s="265" t="s">
        <v>2216</v>
      </c>
    </row>
    <row r="37" spans="1:7" s="263" customFormat="1" ht="13.5" customHeight="1">
      <c r="A37" s="887" t="s">
        <v>798</v>
      </c>
      <c r="B37" s="220" t="s">
        <v>2217</v>
      </c>
      <c r="C37" s="254">
        <f ca="1">ROUND(E37*D37,0)</f>
        <v>3469972</v>
      </c>
      <c r="D37" s="222">
        <f ca="1">D19</f>
        <v>17349.86</v>
      </c>
      <c r="E37" s="254">
        <f>'数据-取费表'!B35</f>
        <v>200</v>
      </c>
      <c r="F37" s="264"/>
      <c r="G37" s="266"/>
    </row>
    <row r="38" spans="1:7" ht="13.5" customHeight="1">
      <c r="A38" s="887" t="s">
        <v>799</v>
      </c>
      <c r="B38" s="220" t="s">
        <v>2219</v>
      </c>
      <c r="C38" s="225">
        <f ca="1">ROUND(C34*F38,0)</f>
        <v>780744</v>
      </c>
      <c r="D38" s="225"/>
      <c r="E38" s="225"/>
      <c r="F38" s="264">
        <f>'数据-取费表'!B36</f>
        <v>1.4999999999999999E-2</v>
      </c>
      <c r="G38" s="224" t="s">
        <v>2214</v>
      </c>
    </row>
    <row r="39" spans="1:7" s="219" customFormat="1" ht="13.5" customHeight="1">
      <c r="A39" s="260" t="s">
        <v>2220</v>
      </c>
      <c r="B39" s="215" t="s">
        <v>2221</v>
      </c>
      <c r="C39" s="237">
        <f ca="1">ROUND(C33*F20,0)</f>
        <v>578618</v>
      </c>
      <c r="D39" s="237"/>
      <c r="E39" s="237"/>
      <c r="F39" s="2533">
        <f>F20</f>
        <v>0.01</v>
      </c>
      <c r="G39" s="239" t="s">
        <v>2222</v>
      </c>
    </row>
    <row r="40" spans="1:7" s="219" customFormat="1" ht="13.5" customHeight="1">
      <c r="A40" s="260" t="s">
        <v>2223</v>
      </c>
      <c r="B40" s="215" t="s">
        <v>2224</v>
      </c>
      <c r="C40" s="1493">
        <f>F21</f>
        <v>0.01</v>
      </c>
      <c r="D40" s="241" t="s">
        <v>2225</v>
      </c>
      <c r="E40" s="237"/>
      <c r="F40" s="2533">
        <f>F21</f>
        <v>0.01</v>
      </c>
      <c r="G40" s="239" t="s">
        <v>2226</v>
      </c>
    </row>
    <row r="41" spans="1:7" s="219" customFormat="1" ht="13.5" customHeight="1">
      <c r="A41" s="260" t="s">
        <v>2227</v>
      </c>
      <c r="B41" s="215" t="s">
        <v>2228</v>
      </c>
      <c r="C41" s="237">
        <f ca="1">ROUND(SUM(C42:C43),0)</f>
        <v>1271079</v>
      </c>
      <c r="D41" s="240">
        <f ca="1">C44</f>
        <v>2.0000000000000001E-4</v>
      </c>
      <c r="E41" s="241" t="s">
        <v>2225</v>
      </c>
      <c r="F41" s="2534">
        <f ca="1">F22</f>
        <v>4.3499999999999997E-2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1258494</v>
      </c>
      <c r="D42" s="243"/>
      <c r="E42" s="243"/>
      <c r="F42" s="244"/>
      <c r="G42" s="3271" t="s">
        <v>2277</v>
      </c>
    </row>
    <row r="43" spans="1:7" ht="13.5" customHeight="1">
      <c r="A43" s="887" t="s">
        <v>792</v>
      </c>
      <c r="B43" s="220" t="s">
        <v>2231</v>
      </c>
      <c r="C43" s="243">
        <f ca="1">ROUND(IF('数据-取费表'!B22&lt;=1,C39*F22*'数据-取费表'!B20/2,C39*(POWER((1+F22),'数据-取费表'!B20/2)-1)),0)</f>
        <v>12585</v>
      </c>
      <c r="D43" s="243"/>
      <c r="E43" s="243"/>
      <c r="F43" s="244"/>
      <c r="G43" s="3272"/>
    </row>
    <row r="44" spans="1:7" ht="13.5" customHeight="1">
      <c r="A44" s="887" t="s">
        <v>793</v>
      </c>
      <c r="B44" s="220" t="s">
        <v>2232</v>
      </c>
      <c r="C44" s="243">
        <f ca="1">ROUND(IF('数据-取费表'!B22&lt;=1,C40*F22*'数据-取费表'!B20/2,C40*(POWER((1+F22),'数据-取费表'!B20/2)-1)),4)</f>
        <v>2.0000000000000001E-4</v>
      </c>
      <c r="D44" s="243"/>
      <c r="E44" s="243"/>
      <c r="F44" s="244"/>
      <c r="G44" s="3273"/>
    </row>
    <row r="45" spans="1:7" s="219" customFormat="1" ht="13.5" customHeight="1">
      <c r="A45" s="260" t="s">
        <v>2233</v>
      </c>
      <c r="B45" s="249" t="s">
        <v>2199</v>
      </c>
      <c r="C45" s="250">
        <f ca="1">C46</f>
        <v>4675232</v>
      </c>
      <c r="D45" s="240">
        <f ca="1">C47</f>
        <v>8.0000000000000004E-4</v>
      </c>
      <c r="E45" s="241" t="s">
        <v>2225</v>
      </c>
      <c r="F45" s="2535">
        <f ca="1">F27</f>
        <v>0.08</v>
      </c>
      <c r="G45" s="252" t="s">
        <v>2234</v>
      </c>
    </row>
    <row r="46" spans="1:7" s="219" customFormat="1" ht="13.5" customHeight="1">
      <c r="A46" s="887" t="s">
        <v>791</v>
      </c>
      <c r="B46" s="253" t="s">
        <v>2235</v>
      </c>
      <c r="C46" s="254">
        <f ca="1">ROUND((C33+C39)*F27,0)</f>
        <v>4675232</v>
      </c>
      <c r="D46" s="268"/>
      <c r="E46" s="241"/>
      <c r="F46" s="251"/>
      <c r="G46" s="252"/>
    </row>
    <row r="47" spans="1:7" s="219" customFormat="1" ht="13.5" customHeight="1">
      <c r="A47" s="887" t="s">
        <v>792</v>
      </c>
      <c r="B47" s="253" t="s">
        <v>2236</v>
      </c>
      <c r="C47" s="243">
        <f ca="1">ROUND(C40*F27,4)</f>
        <v>8.0000000000000004E-4</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68811277</v>
      </c>
      <c r="D49" s="237"/>
      <c r="E49" s="237"/>
      <c r="F49" s="269"/>
      <c r="G49" s="239" t="s">
        <v>2240</v>
      </c>
    </row>
    <row r="50" spans="1:7" s="263" customFormat="1">
      <c r="A50" s="260" t="s">
        <v>2241</v>
      </c>
      <c r="B50" s="215" t="s">
        <v>2242</v>
      </c>
      <c r="C50" s="237"/>
      <c r="D50" s="237"/>
      <c r="E50" s="237"/>
      <c r="F50" s="269">
        <f>IF('数据-取费表'!B24=0,'数据-取费表'!N16,1)</f>
        <v>0.73</v>
      </c>
      <c r="G50" s="252"/>
    </row>
    <row r="51" spans="1:7" ht="16.5" customHeight="1">
      <c r="A51" s="260" t="s">
        <v>2244</v>
      </c>
      <c r="B51" s="215" t="s">
        <v>2279</v>
      </c>
      <c r="C51" s="237">
        <f ca="1">ROUND(C49*F50,0)</f>
        <v>50232232</v>
      </c>
      <c r="D51" s="237"/>
      <c r="E51" s="237"/>
      <c r="F51" s="269"/>
      <c r="G51" s="239" t="s">
        <v>2246</v>
      </c>
    </row>
    <row r="52" spans="1:7" s="213" customFormat="1" ht="16.5" thickBot="1">
      <c r="A52" s="270" t="s">
        <v>2247</v>
      </c>
      <c r="B52" s="271"/>
      <c r="C52" s="272">
        <f ca="1">C31+C51</f>
        <v>58015683</v>
      </c>
      <c r="D52" s="271"/>
      <c r="E52" s="271"/>
      <c r="F52" s="271"/>
      <c r="G52" s="273"/>
    </row>
    <row r="55" spans="1:7" ht="15">
      <c r="B55" s="275" t="s">
        <v>2248</v>
      </c>
      <c r="C55" s="276"/>
    </row>
    <row r="56" spans="1:7">
      <c r="B56" s="278" t="s">
        <v>1478</v>
      </c>
      <c r="C56" s="280">
        <f ca="1">1-C57</f>
        <v>0.13400000000000001</v>
      </c>
    </row>
    <row r="57" spans="1:7">
      <c r="B57" s="278" t="s">
        <v>1479</v>
      </c>
      <c r="C57" s="279">
        <f ca="1">ROUND(C51/C52,3)</f>
        <v>0.86599999999999999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0.03</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17349.86</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17349.86</v>
      </c>
      <c r="E17" s="24">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0</v>
      </c>
      <c r="D18" s="954"/>
      <c r="E18" s="24"/>
      <c r="F18" s="912"/>
      <c r="G18" s="2046"/>
      <c r="H18" s="1347"/>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2316</v>
      </c>
      <c r="C20" s="24">
        <f ca="1">ROUND(D20*E20/10000,0)</f>
        <v>295</v>
      </c>
      <c r="D20" s="954">
        <f ca="1">IF(C1="",'数据-汇总表'!E6,IF(INDIRECT("'数据-取费表'!c"&amp;$K$1)="住宅",INDIRECT("'数据-取费表'!s"&amp;$K$1),INDIRECT("'数据-取费表'!k"&amp;$K$1)+INDIRECT("'数据-取费表'!s"&amp;$K$1)))</f>
        <v>17349.86</v>
      </c>
      <c r="E20" s="24">
        <f>'数据-取费表'!B28</f>
        <v>170</v>
      </c>
      <c r="F20" s="912"/>
      <c r="G20" s="15"/>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0.01</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0.01</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4.3499999999999997E-2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8"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8" t="str">
        <f>IF('数据-取费表'!B22&lt;=1,"（1）-（3）项×年利率×建设期÷2","（1）-（3）项×((1+年利率)^(建设期÷2)-1)")</f>
        <v>（1）-（3）项×年利率×建设期÷2</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0.08</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B30" zoomScale="70" zoomScaleNormal="60" zoomScaleSheetLayoutView="70" workbookViewId="0">
      <selection activeCell="B48" sqref="B4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5576</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3214</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92" t="s">
        <v>2467</v>
      </c>
      <c r="D4" s="3293"/>
      <c r="E4" s="3294" t="s">
        <v>2468</v>
      </c>
      <c r="F4" s="3295"/>
      <c r="G4" s="3292" t="s">
        <v>2469</v>
      </c>
      <c r="H4" s="3293"/>
      <c r="I4" s="3292" t="s">
        <v>2470</v>
      </c>
      <c r="J4" s="3293"/>
      <c r="K4" s="566" t="s">
        <v>2471</v>
      </c>
      <c r="L4" s="2942"/>
      <c r="M4" s="2943"/>
      <c r="N4" s="2943"/>
      <c r="O4" s="2943"/>
      <c r="P4" s="3296" t="s">
        <v>2472</v>
      </c>
      <c r="Q4" s="3297"/>
      <c r="R4" s="3279" t="s">
        <v>2468</v>
      </c>
      <c r="S4" s="3280"/>
      <c r="T4" s="3279" t="s">
        <v>2469</v>
      </c>
      <c r="U4" s="3280"/>
      <c r="V4" s="3304" t="s">
        <v>2470</v>
      </c>
      <c r="W4" s="3304"/>
      <c r="X4" s="1537"/>
      <c r="Y4" s="3279" t="s">
        <v>2472</v>
      </c>
      <c r="Z4" s="3280"/>
      <c r="AA4" s="3274" t="s">
        <v>2468</v>
      </c>
      <c r="AB4" s="3275" t="s">
        <v>2469</v>
      </c>
      <c r="AC4" s="3274" t="s">
        <v>2470</v>
      </c>
    </row>
    <row r="5" spans="1:30" ht="15">
      <c r="A5" s="363"/>
      <c r="B5" s="364"/>
      <c r="C5" s="3285" t="s">
        <v>2363</v>
      </c>
      <c r="D5" s="3286"/>
      <c r="E5" s="3283" t="str">
        <f>Sheet1!$A$41</f>
        <v>冉屯北路南、嵩山北路西</v>
      </c>
      <c r="F5" s="3284"/>
      <c r="G5" s="3285" t="str">
        <f>Sheet1!$A$42</f>
        <v>农业路北、姚砦路西</v>
      </c>
      <c r="H5" s="3286"/>
      <c r="I5" s="3285" t="str">
        <f>Sheet1!$A$47</f>
        <v>东风路北、信息学院路西</v>
      </c>
      <c r="J5" s="3286"/>
      <c r="K5" s="566"/>
      <c r="L5" s="2942"/>
      <c r="M5" s="2943"/>
      <c r="N5" s="2943"/>
      <c r="O5" s="2943"/>
      <c r="P5" s="3298"/>
      <c r="Q5" s="3299"/>
      <c r="R5" s="3281"/>
      <c r="S5" s="3282"/>
      <c r="T5" s="3281"/>
      <c r="U5" s="3282"/>
      <c r="V5" s="3304"/>
      <c r="W5" s="3304"/>
      <c r="X5" s="1537"/>
      <c r="Y5" s="3281"/>
      <c r="Z5" s="3282"/>
      <c r="AA5" s="3275"/>
      <c r="AB5" s="3275"/>
      <c r="AC5" s="3275"/>
    </row>
    <row r="6" spans="1:30" ht="15.75" thickBot="1">
      <c r="A6" s="365"/>
      <c r="B6" s="366"/>
      <c r="C6" s="3287" t="s">
        <v>2367</v>
      </c>
      <c r="D6" s="3288"/>
      <c r="E6" s="3289" t="s">
        <v>2367</v>
      </c>
      <c r="F6" s="3290"/>
      <c r="G6" s="3287" t="s">
        <v>2367</v>
      </c>
      <c r="H6" s="3288"/>
      <c r="I6" s="3287" t="s">
        <v>2367</v>
      </c>
      <c r="J6" s="3288"/>
      <c r="K6" s="566" t="s">
        <v>2368</v>
      </c>
      <c r="L6" s="2942"/>
      <c r="M6" s="2943"/>
      <c r="N6" s="2943"/>
      <c r="O6" s="2943"/>
      <c r="P6" s="3300"/>
      <c r="Q6" s="3301"/>
      <c r="R6" s="3281"/>
      <c r="S6" s="3282"/>
      <c r="T6" s="3302"/>
      <c r="U6" s="3303"/>
      <c r="V6" s="3304"/>
      <c r="W6" s="3304"/>
      <c r="X6" s="1537"/>
      <c r="Y6" s="3302"/>
      <c r="Z6" s="3303"/>
      <c r="AA6" s="3276"/>
      <c r="AB6" s="3276"/>
      <c r="AC6" s="3276"/>
    </row>
    <row r="7" spans="1:30" s="113" customFormat="1" ht="15.75" thickBot="1">
      <c r="A7" s="3080" t="s">
        <v>2369</v>
      </c>
      <c r="B7" s="368"/>
      <c r="C7" s="369">
        <f>'数据-取费表'!B2</f>
        <v>44421</v>
      </c>
      <c r="D7" s="370">
        <v>100</v>
      </c>
      <c r="E7" s="371" t="str">
        <f>Sheet1!$H$41</f>
        <v>2019-08-26</v>
      </c>
      <c r="F7" s="372">
        <f>SUMIF(70:70,YEAR(E7)&amp;"-"&amp;INT((MONTH(E7)+2)/3),71:71)</f>
        <v>98.4</v>
      </c>
      <c r="G7" s="2158" t="str">
        <f>Sheet1!$H$42</f>
        <v>2019-07-04</v>
      </c>
      <c r="H7" s="370">
        <f>SUMIF(70:70,YEAR(G7)&amp;"-"&amp;INT((MONTH(G7)+2)/3),71:71)</f>
        <v>98.4</v>
      </c>
      <c r="I7" s="2158" t="str">
        <f>Sheet1!$H$47</f>
        <v>2018-10-22</v>
      </c>
      <c r="J7" s="370">
        <f>SUMIF(70:70,YEAR(I7)&amp;"-"&amp;INT((MONTH(I7)+2)/3),71:71)</f>
        <v>97.8</v>
      </c>
      <c r="K7" s="567"/>
      <c r="L7" s="2944"/>
      <c r="M7" s="2945"/>
      <c r="N7" s="2945"/>
      <c r="O7" s="2945"/>
      <c r="P7" s="3277" t="s">
        <v>2370</v>
      </c>
      <c r="Q7" s="3305"/>
      <c r="R7" s="709" t="s">
        <v>17</v>
      </c>
      <c r="S7" s="710">
        <f t="shared" ref="S7:S15" si="0">F7</f>
        <v>98.4</v>
      </c>
      <c r="T7" s="709" t="s">
        <v>17</v>
      </c>
      <c r="U7" s="710">
        <f t="shared" ref="U7:U15" si="1">H7</f>
        <v>98.4</v>
      </c>
      <c r="V7" s="709" t="s">
        <v>17</v>
      </c>
      <c r="W7" s="710">
        <f t="shared" ref="W7:W15" si="2">J7</f>
        <v>97.8</v>
      </c>
      <c r="X7" s="711"/>
      <c r="Y7" s="3277" t="s">
        <v>2370</v>
      </c>
      <c r="Z7" s="3278"/>
      <c r="AA7" s="712">
        <f>D7/F7</f>
        <v>1.0162601626016259</v>
      </c>
      <c r="AB7" s="712">
        <f>D7/H7</f>
        <v>1.0162601626016259</v>
      </c>
      <c r="AC7" s="712">
        <f>D7/J7</f>
        <v>1.0224948875255624</v>
      </c>
    </row>
    <row r="8" spans="1:30" s="113" customFormat="1" ht="15.75" thickBot="1">
      <c r="A8" s="367" t="s">
        <v>2371</v>
      </c>
      <c r="B8" s="368"/>
      <c r="C8" s="373" t="s">
        <v>2372</v>
      </c>
      <c r="D8" s="370">
        <v>100</v>
      </c>
      <c r="E8" s="3063" t="s">
        <v>3137</v>
      </c>
      <c r="F8" s="372">
        <f>SUMIF(73:73,E8,74:74)-SUMIF(73:73,C8,74:74)+100</f>
        <v>100</v>
      </c>
      <c r="G8" s="3063" t="s">
        <v>3138</v>
      </c>
      <c r="H8" s="370">
        <f>SUMIF(73:73,G8,74:74)-SUMIF(73:73,C8,74:74)+100</f>
        <v>100</v>
      </c>
      <c r="I8" s="3063" t="s">
        <v>3137</v>
      </c>
      <c r="J8" s="370">
        <f>SUMIF(73:73,I8,74:74)-SUMIF(73:73,C8,74:74)+100</f>
        <v>100</v>
      </c>
      <c r="K8" s="567"/>
      <c r="L8" s="2944"/>
      <c r="M8" s="2945"/>
      <c r="N8" s="2945"/>
      <c r="O8" s="2945"/>
      <c r="P8" s="3277" t="s">
        <v>2373</v>
      </c>
      <c r="Q8" s="3278"/>
      <c r="R8" s="709" t="s">
        <v>17</v>
      </c>
      <c r="S8" s="710">
        <f t="shared" si="0"/>
        <v>100</v>
      </c>
      <c r="T8" s="709" t="s">
        <v>17</v>
      </c>
      <c r="U8" s="710">
        <f t="shared" si="1"/>
        <v>100</v>
      </c>
      <c r="V8" s="709" t="s">
        <v>17</v>
      </c>
      <c r="W8" s="710">
        <f t="shared" si="2"/>
        <v>100</v>
      </c>
      <c r="X8" s="711"/>
      <c r="Y8" s="3277" t="s">
        <v>2373</v>
      </c>
      <c r="Z8" s="3278"/>
      <c r="AA8" s="712">
        <f t="shared" ref="AA8:AA45" si="3">D8/F8</f>
        <v>1</v>
      </c>
      <c r="AB8" s="712">
        <f t="shared" ref="AB8:AB45" si="4">D8/H8</f>
        <v>1</v>
      </c>
      <c r="AC8" s="712">
        <f t="shared" ref="AC8:AC45" si="5">D8/J8</f>
        <v>1</v>
      </c>
    </row>
    <row r="9" spans="1:30" s="113" customFormat="1" ht="15">
      <c r="A9" s="374" t="s">
        <v>2374</v>
      </c>
      <c r="B9" s="67" t="s">
        <v>2375</v>
      </c>
      <c r="C9" s="3064" t="s">
        <v>3141</v>
      </c>
      <c r="D9" s="130">
        <v>100</v>
      </c>
      <c r="E9" s="3064" t="s">
        <v>3142</v>
      </c>
      <c r="F9" s="130">
        <f>SUMIF(75:75,E9,76:76)-SUMIF(75:75,C9,76:76)+100</f>
        <v>98</v>
      </c>
      <c r="G9" s="3064" t="s">
        <v>3143</v>
      </c>
      <c r="H9" s="130">
        <f>SUMIF(75:75,G9,76:76)-SUMIF(75:75,C9,76:76)+100</f>
        <v>98</v>
      </c>
      <c r="I9" s="3064" t="s">
        <v>3144</v>
      </c>
      <c r="J9" s="130">
        <f>SUMIF(75:75,I9,76:76)-SUMIF(75:75,C9,76:76)+100</f>
        <v>98</v>
      </c>
      <c r="K9" s="567"/>
      <c r="L9" s="2944"/>
      <c r="M9" s="2945"/>
      <c r="N9" s="2945"/>
      <c r="O9" s="2999"/>
      <c r="P9" s="3291" t="s">
        <v>2376</v>
      </c>
      <c r="Q9" s="1525" t="str">
        <f t="shared" ref="Q9:Q15" si="6">B9</f>
        <v>用途</v>
      </c>
      <c r="R9" s="709" t="s">
        <v>17</v>
      </c>
      <c r="S9" s="710">
        <f t="shared" si="0"/>
        <v>98</v>
      </c>
      <c r="T9" s="709" t="s">
        <v>17</v>
      </c>
      <c r="U9" s="710">
        <f t="shared" si="1"/>
        <v>98</v>
      </c>
      <c r="V9" s="709" t="s">
        <v>17</v>
      </c>
      <c r="W9" s="710">
        <f t="shared" si="2"/>
        <v>98</v>
      </c>
      <c r="X9" s="711"/>
      <c r="Y9" s="3247" t="s">
        <v>2377</v>
      </c>
      <c r="Z9" s="55" t="str">
        <f t="shared" ref="Z9:Z15" si="7">Q9</f>
        <v>用途</v>
      </c>
      <c r="AA9" s="712">
        <f t="shared" si="3"/>
        <v>1.0204081632653061</v>
      </c>
      <c r="AB9" s="712">
        <f t="shared" si="4"/>
        <v>1.0204081632653061</v>
      </c>
      <c r="AC9" s="712">
        <f t="shared" si="5"/>
        <v>1.0204081632653061</v>
      </c>
    </row>
    <row r="10" spans="1:30" s="385" customFormat="1" ht="27">
      <c r="A10" s="379"/>
      <c r="B10" s="380" t="s">
        <v>2378</v>
      </c>
      <c r="C10" s="390"/>
      <c r="D10" s="131">
        <v>100</v>
      </c>
      <c r="E10" s="423"/>
      <c r="F10" s="131">
        <f>ROUND(100/'数据-取费表'!G16,0)</f>
        <v>127</v>
      </c>
      <c r="G10" s="421"/>
      <c r="H10" s="131">
        <f>ROUND(100/'数据-取费表'!G16,0)</f>
        <v>127</v>
      </c>
      <c r="I10" s="421"/>
      <c r="J10" s="131">
        <f>ROUND(100/'数据-取费表'!G16,0)</f>
        <v>127</v>
      </c>
      <c r="K10" s="627"/>
      <c r="L10" s="2946"/>
      <c r="M10" s="2947"/>
      <c r="N10" s="2947"/>
      <c r="O10" s="3000"/>
      <c r="P10" s="3291"/>
      <c r="Q10" s="1525" t="str">
        <f t="shared" si="6"/>
        <v>土地使用年限（年）</v>
      </c>
      <c r="R10" s="709" t="s">
        <v>17</v>
      </c>
      <c r="S10" s="710">
        <f t="shared" si="0"/>
        <v>127</v>
      </c>
      <c r="T10" s="709" t="s">
        <v>17</v>
      </c>
      <c r="U10" s="710">
        <f t="shared" si="1"/>
        <v>127</v>
      </c>
      <c r="V10" s="709" t="s">
        <v>17</v>
      </c>
      <c r="W10" s="710">
        <f t="shared" si="2"/>
        <v>127</v>
      </c>
      <c r="X10" s="711"/>
      <c r="Y10" s="3247"/>
      <c r="Z10" s="55" t="str">
        <f t="shared" si="7"/>
        <v>土地使用年限（年）</v>
      </c>
      <c r="AA10" s="712">
        <f t="shared" si="3"/>
        <v>0.78740157480314965</v>
      </c>
      <c r="AB10" s="712">
        <f t="shared" si="4"/>
        <v>0.78740157480314965</v>
      </c>
      <c r="AC10" s="712">
        <f t="shared" si="5"/>
        <v>0.78740157480314965</v>
      </c>
    </row>
    <row r="11" spans="1:30" ht="15">
      <c r="A11" s="386"/>
      <c r="B11" s="380" t="s">
        <v>2379</v>
      </c>
      <c r="C11" s="387">
        <f>'数据-汇总表'!I6</f>
        <v>0.95</v>
      </c>
      <c r="D11" s="131">
        <v>100</v>
      </c>
      <c r="E11" s="387">
        <v>5.9</v>
      </c>
      <c r="F11" s="131">
        <f>LOOKUP(E11,80:80,81:81)-LOOKUP(C11,80:80,81:81)+100</f>
        <v>90</v>
      </c>
      <c r="G11" s="388">
        <v>7.9</v>
      </c>
      <c r="H11" s="131">
        <f>LOOKUP(G11,80:80,81:81)-LOOKUP(C11,80:80,81:81)+100</f>
        <v>85</v>
      </c>
      <c r="I11" s="387">
        <v>4</v>
      </c>
      <c r="J11" s="131">
        <f>LOOKUP(I11,80:80,81:81)-LOOKUP(C11,80:80,81:81)+100</f>
        <v>90</v>
      </c>
      <c r="K11" s="628">
        <v>5</v>
      </c>
      <c r="L11" s="2948"/>
      <c r="M11" s="2943"/>
      <c r="N11" s="2943"/>
      <c r="O11" s="3001"/>
      <c r="P11" s="3291"/>
      <c r="Q11" s="1525" t="str">
        <f t="shared" si="6"/>
        <v>容积率</v>
      </c>
      <c r="R11" s="709" t="s">
        <v>17</v>
      </c>
      <c r="S11" s="710">
        <f t="shared" si="0"/>
        <v>90</v>
      </c>
      <c r="T11" s="709" t="s">
        <v>17</v>
      </c>
      <c r="U11" s="710">
        <f t="shared" si="1"/>
        <v>85</v>
      </c>
      <c r="V11" s="709" t="s">
        <v>17</v>
      </c>
      <c r="W11" s="710">
        <f t="shared" si="2"/>
        <v>90</v>
      </c>
      <c r="X11" s="711"/>
      <c r="Y11" s="3247"/>
      <c r="Z11" s="55" t="str">
        <f t="shared" si="7"/>
        <v>容积率</v>
      </c>
      <c r="AA11" s="712">
        <f t="shared" si="3"/>
        <v>1.1111111111111112</v>
      </c>
      <c r="AB11" s="712">
        <f t="shared" si="4"/>
        <v>1.1764705882352942</v>
      </c>
      <c r="AC11" s="712">
        <f t="shared" si="5"/>
        <v>1.1111111111111112</v>
      </c>
    </row>
    <row r="12" spans="1:30" s="113"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91"/>
      <c r="Q12" s="1525" t="str">
        <f t="shared" si="6"/>
        <v>配建</v>
      </c>
      <c r="R12" s="709" t="s">
        <v>17</v>
      </c>
      <c r="S12" s="710">
        <f t="shared" si="0"/>
        <v>100</v>
      </c>
      <c r="T12" s="709" t="s">
        <v>17</v>
      </c>
      <c r="U12" s="710">
        <f t="shared" si="1"/>
        <v>100</v>
      </c>
      <c r="V12" s="709" t="s">
        <v>17</v>
      </c>
      <c r="W12" s="710">
        <f t="shared" si="2"/>
        <v>100</v>
      </c>
      <c r="X12" s="711"/>
      <c r="Y12" s="3247"/>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91"/>
      <c r="Q13" s="1525">
        <f t="shared" si="6"/>
        <v>111</v>
      </c>
      <c r="R13" s="709" t="s">
        <v>17</v>
      </c>
      <c r="S13" s="710">
        <f t="shared" si="0"/>
        <v>100</v>
      </c>
      <c r="T13" s="709" t="s">
        <v>17</v>
      </c>
      <c r="U13" s="710">
        <f t="shared" si="1"/>
        <v>100</v>
      </c>
      <c r="V13" s="709" t="s">
        <v>17</v>
      </c>
      <c r="W13" s="710">
        <f t="shared" si="2"/>
        <v>100</v>
      </c>
      <c r="X13" s="711"/>
      <c r="Y13" s="3247"/>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91"/>
      <c r="Q14" s="1525">
        <f t="shared" si="6"/>
        <v>111</v>
      </c>
      <c r="R14" s="709" t="s">
        <v>17</v>
      </c>
      <c r="S14" s="710">
        <f t="shared" si="0"/>
        <v>100</v>
      </c>
      <c r="T14" s="709" t="s">
        <v>17</v>
      </c>
      <c r="U14" s="710">
        <f t="shared" si="1"/>
        <v>100</v>
      </c>
      <c r="V14" s="709" t="s">
        <v>17</v>
      </c>
      <c r="W14" s="710">
        <f t="shared" si="2"/>
        <v>100</v>
      </c>
      <c r="X14" s="711"/>
      <c r="Y14" s="3247"/>
      <c r="Z14" s="55">
        <f t="shared" si="7"/>
        <v>111</v>
      </c>
      <c r="AA14" s="712">
        <f>D14/F14</f>
        <v>1</v>
      </c>
      <c r="AB14" s="712">
        <f>D14/H14</f>
        <v>1</v>
      </c>
      <c r="AC14" s="712">
        <f>D14/J14</f>
        <v>1</v>
      </c>
    </row>
    <row r="15" spans="1:30" ht="99.75" hidden="1">
      <c r="A15" s="398" t="s">
        <v>2380</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306" t="s">
        <v>2381</v>
      </c>
      <c r="Q15" s="1534" t="str">
        <f t="shared" si="6"/>
        <v>居住社区成熟度</v>
      </c>
      <c r="R15" s="713" t="s">
        <v>17</v>
      </c>
      <c r="S15" s="714">
        <f t="shared" si="0"/>
        <v>100</v>
      </c>
      <c r="T15" s="713" t="s">
        <v>17</v>
      </c>
      <c r="U15" s="714">
        <f t="shared" si="1"/>
        <v>100</v>
      </c>
      <c r="V15" s="713" t="s">
        <v>17</v>
      </c>
      <c r="W15" s="714">
        <f t="shared" si="2"/>
        <v>100</v>
      </c>
      <c r="X15" s="1537"/>
      <c r="Y15" s="3306"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307"/>
      <c r="Q16" s="1534"/>
      <c r="R16" s="713"/>
      <c r="S16" s="714"/>
      <c r="T16" s="713"/>
      <c r="U16" s="714"/>
      <c r="V16" s="713"/>
      <c r="W16" s="714"/>
      <c r="X16" s="1537"/>
      <c r="Y16" s="3307"/>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102</v>
      </c>
      <c r="I17" s="412"/>
      <c r="J17" s="413">
        <f>SUMIF(90:90,I18,91:91)-SUMIF(90:90,C18,91:91)+100</f>
        <v>102</v>
      </c>
      <c r="K17" s="628">
        <v>2</v>
      </c>
      <c r="L17" s="2949"/>
      <c r="M17" s="2943"/>
      <c r="N17" s="2943"/>
      <c r="O17" s="3001"/>
      <c r="P17" s="3307"/>
      <c r="Q17" s="1534" t="str">
        <f>B17</f>
        <v>商业繁华度</v>
      </c>
      <c r="R17" s="713" t="s">
        <v>17</v>
      </c>
      <c r="S17" s="714">
        <f>F17</f>
        <v>100</v>
      </c>
      <c r="T17" s="713" t="s">
        <v>17</v>
      </c>
      <c r="U17" s="714">
        <f>H17</f>
        <v>102</v>
      </c>
      <c r="V17" s="713" t="s">
        <v>17</v>
      </c>
      <c r="W17" s="714">
        <f>J17</f>
        <v>102</v>
      </c>
      <c r="X17" s="1537"/>
      <c r="Y17" s="3307"/>
      <c r="Z17" s="1538" t="str">
        <f>Q17</f>
        <v>商业繁华度</v>
      </c>
      <c r="AA17" s="1535">
        <f t="shared" si="3"/>
        <v>1</v>
      </c>
      <c r="AB17" s="1535">
        <f t="shared" si="4"/>
        <v>0.98039215686274506</v>
      </c>
      <c r="AC17" s="1535">
        <f t="shared" si="5"/>
        <v>0.98039215686274506</v>
      </c>
    </row>
    <row r="18" spans="1:29" ht="15">
      <c r="A18" s="386"/>
      <c r="B18" s="414"/>
      <c r="C18" s="3066" t="s">
        <v>3145</v>
      </c>
      <c r="D18" s="408"/>
      <c r="E18" s="3067" t="s">
        <v>3146</v>
      </c>
      <c r="F18" s="408"/>
      <c r="G18" s="3067" t="s">
        <v>3147</v>
      </c>
      <c r="H18" s="406"/>
      <c r="I18" s="3068" t="s">
        <v>3148</v>
      </c>
      <c r="J18" s="406"/>
      <c r="K18" s="627"/>
      <c r="L18" s="2949"/>
      <c r="M18" s="2943"/>
      <c r="N18" s="2943"/>
      <c r="O18" s="3001"/>
      <c r="P18" s="3307"/>
      <c r="Q18" s="1534"/>
      <c r="R18" s="713"/>
      <c r="S18" s="714"/>
      <c r="T18" s="713"/>
      <c r="U18" s="714"/>
      <c r="V18" s="713"/>
      <c r="W18" s="714"/>
      <c r="X18" s="1537"/>
      <c r="Y18" s="3307"/>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07"/>
      <c r="Q19" s="1534" t="str">
        <f>B19</f>
        <v>办公集聚程度</v>
      </c>
      <c r="R19" s="713" t="s">
        <v>17</v>
      </c>
      <c r="S19" s="714">
        <f>F19</f>
        <v>100</v>
      </c>
      <c r="T19" s="713" t="s">
        <v>17</v>
      </c>
      <c r="U19" s="714">
        <f>H19</f>
        <v>100</v>
      </c>
      <c r="V19" s="713" t="s">
        <v>17</v>
      </c>
      <c r="W19" s="714">
        <f>J19</f>
        <v>100</v>
      </c>
      <c r="X19" s="1537"/>
      <c r="Y19" s="3307"/>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307"/>
      <c r="Q20" s="1534"/>
      <c r="R20" s="713"/>
      <c r="S20" s="714"/>
      <c r="T20" s="713"/>
      <c r="U20" s="714"/>
      <c r="V20" s="713"/>
      <c r="W20" s="714"/>
      <c r="X20" s="1537"/>
      <c r="Y20" s="3307"/>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98</v>
      </c>
      <c r="G21" s="410"/>
      <c r="H21" s="408">
        <f>SUMIF(94:94,G22,95:95)-SUMIF(94:94,C22,95:95)+100</f>
        <v>98</v>
      </c>
      <c r="I21" s="412"/>
      <c r="J21" s="408">
        <f>SUMIF(94:94,I22,95:95)-SUMIF(94:94,C22,95:95)+100</f>
        <v>98</v>
      </c>
      <c r="K21" s="628">
        <v>2</v>
      </c>
      <c r="L21" s="2949"/>
      <c r="M21" s="2943"/>
      <c r="N21" s="2943"/>
      <c r="O21" s="3001"/>
      <c r="P21" s="3307"/>
      <c r="Q21" s="1534" t="str">
        <f>B21</f>
        <v>交通便捷度</v>
      </c>
      <c r="R21" s="713" t="s">
        <v>17</v>
      </c>
      <c r="S21" s="714">
        <f>F21</f>
        <v>98</v>
      </c>
      <c r="T21" s="713" t="s">
        <v>17</v>
      </c>
      <c r="U21" s="714">
        <f>H21</f>
        <v>98</v>
      </c>
      <c r="V21" s="713" t="s">
        <v>17</v>
      </c>
      <c r="W21" s="714">
        <f>J21</f>
        <v>98</v>
      </c>
      <c r="X21" s="1537"/>
      <c r="Y21" s="3307"/>
      <c r="Z21" s="1538" t="str">
        <f>Q21</f>
        <v>交通便捷度</v>
      </c>
      <c r="AA21" s="1535">
        <f t="shared" si="3"/>
        <v>1.0204081632653061</v>
      </c>
      <c r="AB21" s="1535">
        <f t="shared" si="4"/>
        <v>1.0204081632653061</v>
      </c>
      <c r="AC21" s="1535">
        <f t="shared" si="5"/>
        <v>1.0204081632653061</v>
      </c>
    </row>
    <row r="22" spans="1:29" ht="15">
      <c r="A22" s="386"/>
      <c r="B22" s="1292"/>
      <c r="C22" s="3069" t="s">
        <v>3147</v>
      </c>
      <c r="D22" s="408"/>
      <c r="E22" s="3070" t="s">
        <v>3149</v>
      </c>
      <c r="F22" s="406"/>
      <c r="G22" s="3070" t="s">
        <v>3146</v>
      </c>
      <c r="H22" s="406"/>
      <c r="I22" s="3071" t="s">
        <v>3150</v>
      </c>
      <c r="J22" s="406"/>
      <c r="K22" s="627"/>
      <c r="L22" s="2949"/>
      <c r="M22" s="2943"/>
      <c r="N22" s="2943"/>
      <c r="O22" s="3001"/>
      <c r="P22" s="3307"/>
      <c r="Q22" s="1534"/>
      <c r="R22" s="713"/>
      <c r="S22" s="714"/>
      <c r="T22" s="713"/>
      <c r="U22" s="714"/>
      <c r="V22" s="713"/>
      <c r="W22" s="714"/>
      <c r="X22" s="1537"/>
      <c r="Y22" s="3307"/>
      <c r="Z22" s="1538"/>
      <c r="AA22" s="1535">
        <v>1</v>
      </c>
      <c r="AB22" s="1535">
        <v>1</v>
      </c>
      <c r="AC22" s="1535">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9"/>
      <c r="M23" s="2943"/>
      <c r="N23" s="2943"/>
      <c r="O23" s="3001"/>
      <c r="P23" s="3307"/>
      <c r="Q23" s="1534" t="str">
        <f t="shared" ref="Q23:Q37" si="8">B23</f>
        <v>区域土地利用方向</v>
      </c>
      <c r="R23" s="713" t="s">
        <v>17</v>
      </c>
      <c r="S23" s="714">
        <f>F23</f>
        <v>100</v>
      </c>
      <c r="T23" s="713" t="s">
        <v>17</v>
      </c>
      <c r="U23" s="714">
        <f>H23</f>
        <v>100</v>
      </c>
      <c r="V23" s="713" t="s">
        <v>17</v>
      </c>
      <c r="W23" s="714">
        <f>J23</f>
        <v>100</v>
      </c>
      <c r="X23" s="1537"/>
      <c r="Y23" s="3307"/>
      <c r="Z23" s="1538" t="str">
        <f>Q23</f>
        <v>区域土地利用方向</v>
      </c>
      <c r="AA23" s="1535">
        <f t="shared" si="3"/>
        <v>1</v>
      </c>
      <c r="AB23" s="1535">
        <f t="shared" si="4"/>
        <v>1</v>
      </c>
      <c r="AC23" s="1535">
        <f t="shared" si="5"/>
        <v>1</v>
      </c>
    </row>
    <row r="24" spans="1:29" ht="15">
      <c r="A24" s="363"/>
      <c r="B24" s="414"/>
      <c r="C24" s="3072" t="s">
        <v>3147</v>
      </c>
      <c r="D24" s="406"/>
      <c r="E24" s="3070" t="s">
        <v>3147</v>
      </c>
      <c r="F24" s="406"/>
      <c r="G24" s="3071" t="s">
        <v>3151</v>
      </c>
      <c r="H24" s="406"/>
      <c r="I24" s="3071" t="s">
        <v>3148</v>
      </c>
      <c r="J24" s="406"/>
      <c r="K24" s="750"/>
      <c r="L24" s="2949"/>
      <c r="M24" s="2943"/>
      <c r="N24" s="2943"/>
      <c r="O24" s="3001"/>
      <c r="P24" s="3307"/>
      <c r="Q24" s="1534"/>
      <c r="R24" s="713"/>
      <c r="S24" s="714"/>
      <c r="T24" s="713"/>
      <c r="U24" s="714"/>
      <c r="V24" s="713"/>
      <c r="W24" s="714"/>
      <c r="X24" s="1537"/>
      <c r="Y24" s="3307"/>
      <c r="Z24" s="1538"/>
      <c r="AA24" s="1535"/>
      <c r="AB24" s="1535"/>
      <c r="AC24" s="1535"/>
    </row>
    <row r="25" spans="1:29" ht="57">
      <c r="A25" s="363"/>
      <c r="B25" s="1292" t="s">
        <v>2570</v>
      </c>
      <c r="C25" s="2139" t="str">
        <f>估价对象房地状况!C20</f>
        <v>区域自然环境：；人文环境；综合评价环境状况一般</v>
      </c>
      <c r="D25" s="408">
        <v>100</v>
      </c>
      <c r="E25" s="410"/>
      <c r="F25" s="408">
        <f>SUMIF(98:98,E26,99:99)-SUMIF(98:98,C26,99:99)+100</f>
        <v>98</v>
      </c>
      <c r="G25" s="410"/>
      <c r="H25" s="408">
        <f>SUMIF(98:98,G26,99:99)-SUMIF(98:98,C26,99:99)+100</f>
        <v>98</v>
      </c>
      <c r="I25" s="412"/>
      <c r="J25" s="408">
        <f>SUMIF(98:98,I26,99:99)-SUMIF(98:98,C26,99:99)+100</f>
        <v>100</v>
      </c>
      <c r="K25" s="628">
        <v>2</v>
      </c>
      <c r="L25" s="2949"/>
      <c r="M25" s="2943"/>
      <c r="N25" s="2943"/>
      <c r="O25" s="3001"/>
      <c r="P25" s="3307"/>
      <c r="Q25" s="1534" t="str">
        <f t="shared" si="8"/>
        <v>自然及人文环境状况</v>
      </c>
      <c r="R25" s="713" t="s">
        <v>17</v>
      </c>
      <c r="S25" s="714">
        <f>F25</f>
        <v>98</v>
      </c>
      <c r="T25" s="713" t="s">
        <v>17</v>
      </c>
      <c r="U25" s="714">
        <f>H25</f>
        <v>98</v>
      </c>
      <c r="V25" s="713" t="s">
        <v>17</v>
      </c>
      <c r="W25" s="714">
        <f>J25</f>
        <v>100</v>
      </c>
      <c r="X25" s="1537"/>
      <c r="Y25" s="3307"/>
      <c r="Z25" s="1538" t="str">
        <f>Q25</f>
        <v>自然及人文环境状况</v>
      </c>
      <c r="AA25" s="1535">
        <f t="shared" si="3"/>
        <v>1.0204081632653061</v>
      </c>
      <c r="AB25" s="1535">
        <f t="shared" si="4"/>
        <v>1.0204081632653061</v>
      </c>
      <c r="AC25" s="1535">
        <f t="shared" si="5"/>
        <v>1</v>
      </c>
    </row>
    <row r="26" spans="1:29" ht="15">
      <c r="A26" s="363"/>
      <c r="B26" s="414"/>
      <c r="C26" s="3069" t="s">
        <v>3147</v>
      </c>
      <c r="D26" s="406"/>
      <c r="E26" s="3073" t="s">
        <v>3149</v>
      </c>
      <c r="F26" s="406"/>
      <c r="G26" s="3073" t="s">
        <v>3146</v>
      </c>
      <c r="H26" s="406"/>
      <c r="I26" s="3069" t="s">
        <v>3148</v>
      </c>
      <c r="J26" s="406"/>
      <c r="K26" s="627"/>
      <c r="L26" s="2949"/>
      <c r="M26" s="2943"/>
      <c r="N26" s="2943"/>
      <c r="O26" s="3001"/>
      <c r="P26" s="3307"/>
      <c r="Q26" s="1534"/>
      <c r="R26" s="713"/>
      <c r="S26" s="714"/>
      <c r="T26" s="713"/>
      <c r="U26" s="714"/>
      <c r="V26" s="713"/>
      <c r="W26" s="714"/>
      <c r="X26" s="1537"/>
      <c r="Y26" s="3307"/>
      <c r="Z26" s="1538"/>
      <c r="AA26" s="1535">
        <v>1</v>
      </c>
      <c r="AB26" s="1535">
        <v>1</v>
      </c>
      <c r="AC26" s="1535">
        <v>1</v>
      </c>
    </row>
    <row r="27" spans="1:29" s="113" customFormat="1" ht="42.75">
      <c r="A27" s="604"/>
      <c r="B27" s="1292"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44"/>
      <c r="M27" s="2945"/>
      <c r="N27" s="2945"/>
      <c r="O27" s="2999"/>
      <c r="P27" s="3307"/>
      <c r="Q27" s="1525" t="str">
        <f t="shared" si="8"/>
        <v>公共配套设施</v>
      </c>
      <c r="R27" s="709" t="s">
        <v>17</v>
      </c>
      <c r="S27" s="710">
        <f>F27</f>
        <v>100</v>
      </c>
      <c r="T27" s="709" t="s">
        <v>17</v>
      </c>
      <c r="U27" s="710">
        <f>H27</f>
        <v>100</v>
      </c>
      <c r="V27" s="709" t="s">
        <v>17</v>
      </c>
      <c r="W27" s="710">
        <f>J27</f>
        <v>100</v>
      </c>
      <c r="X27" s="711"/>
      <c r="Y27" s="3307"/>
      <c r="Z27" s="55" t="str">
        <f>Q27</f>
        <v>公共配套设施</v>
      </c>
      <c r="AA27" s="1535">
        <f>D27/F27</f>
        <v>1</v>
      </c>
      <c r="AB27" s="1535">
        <f>D27/H27</f>
        <v>1</v>
      </c>
      <c r="AC27" s="1535">
        <f>D27/J27</f>
        <v>1</v>
      </c>
    </row>
    <row r="28" spans="1:29" s="113" customFormat="1" ht="15">
      <c r="A28" s="604"/>
      <c r="B28" s="414"/>
      <c r="C28" s="3074" t="s">
        <v>3147</v>
      </c>
      <c r="D28" s="406"/>
      <c r="E28" s="3073" t="s">
        <v>3151</v>
      </c>
      <c r="F28" s="406"/>
      <c r="G28" s="3073" t="s">
        <v>3147</v>
      </c>
      <c r="H28" s="406"/>
      <c r="I28" s="3069" t="s">
        <v>3148</v>
      </c>
      <c r="J28" s="406"/>
      <c r="K28" s="627"/>
      <c r="L28" s="2944"/>
      <c r="M28" s="2945"/>
      <c r="N28" s="2945"/>
      <c r="O28" s="2999"/>
      <c r="P28" s="3307"/>
      <c r="Q28" s="1525"/>
      <c r="R28" s="709"/>
      <c r="S28" s="710"/>
      <c r="T28" s="709"/>
      <c r="U28" s="710"/>
      <c r="V28" s="709"/>
      <c r="W28" s="710"/>
      <c r="X28" s="711"/>
      <c r="Y28" s="3307"/>
      <c r="Z28" s="55"/>
      <c r="AA28" s="1535">
        <v>1</v>
      </c>
      <c r="AB28" s="1535">
        <v>1</v>
      </c>
      <c r="AC28" s="1535">
        <v>1</v>
      </c>
    </row>
    <row r="29" spans="1:29" s="113" customFormat="1" ht="28.5">
      <c r="A29" s="604"/>
      <c r="B29" s="1292"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2</v>
      </c>
      <c r="L29" s="2944"/>
      <c r="M29" s="2945"/>
      <c r="N29" s="2945"/>
      <c r="O29" s="2999"/>
      <c r="P29" s="3307"/>
      <c r="Q29" s="1525" t="str">
        <f t="shared" ref="Q29" si="9">B29</f>
        <v>基础设施水平</v>
      </c>
      <c r="R29" s="709" t="s">
        <v>17</v>
      </c>
      <c r="S29" s="710">
        <f>F29</f>
        <v>100</v>
      </c>
      <c r="T29" s="709" t="s">
        <v>17</v>
      </c>
      <c r="U29" s="710">
        <f>H29</f>
        <v>100</v>
      </c>
      <c r="V29" s="709" t="s">
        <v>17</v>
      </c>
      <c r="W29" s="710">
        <f>J29</f>
        <v>100</v>
      </c>
      <c r="X29" s="711"/>
      <c r="Y29" s="3307"/>
      <c r="Z29" s="55" t="str">
        <f>Q29</f>
        <v>基础设施水平</v>
      </c>
      <c r="AA29" s="1535">
        <f>D29/F29</f>
        <v>1</v>
      </c>
      <c r="AB29" s="1535">
        <f>D29/H29</f>
        <v>1</v>
      </c>
      <c r="AC29" s="1535">
        <f>D29/J29</f>
        <v>1</v>
      </c>
    </row>
    <row r="30" spans="1:29" s="113" customFormat="1" ht="15">
      <c r="A30" s="604"/>
      <c r="B30" s="414"/>
      <c r="C30" s="3074" t="s">
        <v>3152</v>
      </c>
      <c r="D30" s="406"/>
      <c r="E30" s="3075" t="s">
        <v>3152</v>
      </c>
      <c r="F30" s="406"/>
      <c r="G30" s="3075" t="s">
        <v>3153</v>
      </c>
      <c r="H30" s="406"/>
      <c r="I30" s="3075" t="s">
        <v>3152</v>
      </c>
      <c r="J30" s="406"/>
      <c r="K30" s="627"/>
      <c r="L30" s="2944"/>
      <c r="M30" s="2945"/>
      <c r="N30" s="2945"/>
      <c r="O30" s="2999"/>
      <c r="P30" s="3307"/>
      <c r="Q30" s="1525"/>
      <c r="R30" s="709"/>
      <c r="S30" s="710"/>
      <c r="T30" s="709"/>
      <c r="U30" s="710"/>
      <c r="V30" s="709"/>
      <c r="W30" s="710"/>
      <c r="X30" s="711"/>
      <c r="Y30" s="3307"/>
      <c r="Z30" s="55"/>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07"/>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07"/>
      <c r="Z31" s="1538" t="str">
        <f t="shared" ref="Z31:Z45" si="13">Q31</f>
        <v>临街状况</v>
      </c>
      <c r="AA31" s="1535">
        <f t="shared" si="3"/>
        <v>1</v>
      </c>
      <c r="AB31" s="1535">
        <f t="shared" si="4"/>
        <v>1</v>
      </c>
      <c r="AC31" s="1535">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07"/>
      <c r="Q32" s="1534" t="str">
        <f t="shared" si="8"/>
        <v>毗邻道路的类型与等级</v>
      </c>
      <c r="R32" s="713" t="s">
        <v>17</v>
      </c>
      <c r="S32" s="714">
        <f t="shared" si="10"/>
        <v>100</v>
      </c>
      <c r="T32" s="713" t="s">
        <v>17</v>
      </c>
      <c r="U32" s="714">
        <f t="shared" si="11"/>
        <v>100</v>
      </c>
      <c r="V32" s="713" t="s">
        <v>17</v>
      </c>
      <c r="W32" s="714">
        <f t="shared" si="12"/>
        <v>100</v>
      </c>
      <c r="X32" s="1537"/>
      <c r="Y32" s="3307"/>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307"/>
      <c r="Q33" s="1534"/>
      <c r="R33" s="713"/>
      <c r="S33" s="714"/>
      <c r="T33" s="713"/>
      <c r="U33" s="714"/>
      <c r="V33" s="713"/>
      <c r="W33" s="714"/>
      <c r="X33" s="1537"/>
      <c r="Y33" s="3307"/>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07"/>
      <c r="Q34" s="1534" t="str">
        <f t="shared" si="8"/>
        <v>土地级别</v>
      </c>
      <c r="R34" s="713" t="s">
        <v>17</v>
      </c>
      <c r="S34" s="714">
        <f t="shared" si="10"/>
        <v>100</v>
      </c>
      <c r="T34" s="713" t="s">
        <v>17</v>
      </c>
      <c r="U34" s="714">
        <f t="shared" si="11"/>
        <v>100</v>
      </c>
      <c r="V34" s="713" t="s">
        <v>17</v>
      </c>
      <c r="W34" s="714">
        <f t="shared" si="12"/>
        <v>100</v>
      </c>
      <c r="X34" s="1537"/>
      <c r="Y34" s="3307"/>
      <c r="Z34" s="1538" t="str">
        <f t="shared" si="13"/>
        <v>土地级别</v>
      </c>
      <c r="AA34" s="1535">
        <f t="shared" si="3"/>
        <v>1</v>
      </c>
      <c r="AB34" s="1535">
        <f t="shared" si="4"/>
        <v>1</v>
      </c>
      <c r="AC34" s="1535">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07"/>
      <c r="Q35" s="1534">
        <f t="shared" si="8"/>
        <v>111</v>
      </c>
      <c r="R35" s="713" t="s">
        <v>17</v>
      </c>
      <c r="S35" s="714">
        <f t="shared" si="10"/>
        <v>100</v>
      </c>
      <c r="T35" s="713" t="s">
        <v>17</v>
      </c>
      <c r="U35" s="714">
        <f t="shared" si="11"/>
        <v>100</v>
      </c>
      <c r="V35" s="713" t="s">
        <v>17</v>
      </c>
      <c r="W35" s="714">
        <f t="shared" si="12"/>
        <v>100</v>
      </c>
      <c r="X35" s="1537"/>
      <c r="Y35" s="3307"/>
      <c r="Z35" s="1538">
        <f t="shared" si="13"/>
        <v>111</v>
      </c>
      <c r="AA35" s="1535">
        <f t="shared" si="3"/>
        <v>1</v>
      </c>
      <c r="AB35" s="1535">
        <f t="shared" si="4"/>
        <v>1</v>
      </c>
      <c r="AC35" s="1535">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08" t="s">
        <v>2386</v>
      </c>
      <c r="Q36" s="1534">
        <f t="shared" si="8"/>
        <v>111</v>
      </c>
      <c r="R36" s="713" t="s">
        <v>17</v>
      </c>
      <c r="S36" s="714">
        <f t="shared" si="10"/>
        <v>100</v>
      </c>
      <c r="T36" s="713" t="s">
        <v>17</v>
      </c>
      <c r="U36" s="714">
        <f t="shared" si="11"/>
        <v>100</v>
      </c>
      <c r="V36" s="713" t="s">
        <v>17</v>
      </c>
      <c r="W36" s="714">
        <f t="shared" si="12"/>
        <v>100</v>
      </c>
      <c r="X36" s="1537"/>
      <c r="Y36" s="3309" t="s">
        <v>2386</v>
      </c>
      <c r="Z36" s="1538">
        <f t="shared" si="13"/>
        <v>111</v>
      </c>
      <c r="AA36" s="1535">
        <f t="shared" si="3"/>
        <v>1</v>
      </c>
      <c r="AB36" s="1535">
        <f t="shared" si="4"/>
        <v>1</v>
      </c>
      <c r="AC36" s="1535">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09"/>
      <c r="Q37" s="1534">
        <f t="shared" si="8"/>
        <v>111</v>
      </c>
      <c r="R37" s="716" t="s">
        <v>17</v>
      </c>
      <c r="S37" s="717">
        <f t="shared" si="10"/>
        <v>100</v>
      </c>
      <c r="T37" s="716" t="s">
        <v>17</v>
      </c>
      <c r="U37" s="717">
        <f t="shared" si="11"/>
        <v>100</v>
      </c>
      <c r="V37" s="716" t="s">
        <v>17</v>
      </c>
      <c r="W37" s="717">
        <f t="shared" si="12"/>
        <v>100</v>
      </c>
      <c r="X37" s="718"/>
      <c r="Y37" s="3309"/>
      <c r="Z37" s="719">
        <f t="shared" si="13"/>
        <v>111</v>
      </c>
      <c r="AA37" s="1535">
        <f t="shared" si="3"/>
        <v>1</v>
      </c>
      <c r="AB37" s="1535">
        <f t="shared" si="4"/>
        <v>1</v>
      </c>
      <c r="AC37" s="1535">
        <f t="shared" si="5"/>
        <v>1</v>
      </c>
    </row>
    <row r="38" spans="1:29" ht="15">
      <c r="A38" s="430" t="s">
        <v>2384</v>
      </c>
      <c r="B38" s="414" t="s">
        <v>2572</v>
      </c>
      <c r="C38" s="634">
        <f>'数据-基础表'!A3</f>
        <v>18286.599999999999</v>
      </c>
      <c r="D38" s="425">
        <v>100</v>
      </c>
      <c r="E38" s="634">
        <f>Sheet1!$D$41</f>
        <v>3722.53</v>
      </c>
      <c r="F38" s="425">
        <f>LOOKUP(E38,117:117,118:118)-LOOKUP(C38,117:117,118:118)+100</f>
        <v>98</v>
      </c>
      <c r="G38" s="634">
        <f>Sheet1!$D$42</f>
        <v>23288.799999999999</v>
      </c>
      <c r="H38" s="425">
        <f>LOOKUP(G38,117:117,118:118)-LOOKUP(C38,117:117,118:118)+100</f>
        <v>102</v>
      </c>
      <c r="I38" s="486">
        <f>Sheet1!$D$47</f>
        <v>4631.21</v>
      </c>
      <c r="J38" s="425">
        <f>LOOKUP(I38,117:117,118:118)-LOOKUP(C38,117:117,118:118)+100</f>
        <v>98</v>
      </c>
      <c r="K38" s="569"/>
      <c r="L38" s="2949"/>
      <c r="M38" s="2943"/>
      <c r="N38" s="2943"/>
      <c r="O38" s="3001"/>
      <c r="P38" s="3309"/>
      <c r="Q38" s="1534" t="str">
        <f>B38</f>
        <v>宗地面积</v>
      </c>
      <c r="R38" s="713" t="s">
        <v>17</v>
      </c>
      <c r="S38" s="714">
        <f t="shared" si="10"/>
        <v>98</v>
      </c>
      <c r="T38" s="713" t="s">
        <v>17</v>
      </c>
      <c r="U38" s="714">
        <f t="shared" si="11"/>
        <v>102</v>
      </c>
      <c r="V38" s="713" t="s">
        <v>17</v>
      </c>
      <c r="W38" s="714">
        <f t="shared" si="12"/>
        <v>98</v>
      </c>
      <c r="X38" s="1537"/>
      <c r="Y38" s="3309"/>
      <c r="Z38" s="1538" t="str">
        <f t="shared" si="13"/>
        <v>宗地面积</v>
      </c>
      <c r="AA38" s="1535">
        <f t="shared" si="3"/>
        <v>1.0204081632653061</v>
      </c>
      <c r="AB38" s="1535">
        <f t="shared" si="4"/>
        <v>0.98039215686274506</v>
      </c>
      <c r="AC38" s="1535">
        <f t="shared" si="5"/>
        <v>1.0204081632653061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309"/>
      <c r="Q39" s="1534" t="str">
        <f t="shared" ref="Q39:Q45" si="14">B39</f>
        <v>宗地形状</v>
      </c>
      <c r="R39" s="713" t="s">
        <v>17</v>
      </c>
      <c r="S39" s="714">
        <f t="shared" si="10"/>
        <v>100</v>
      </c>
      <c r="T39" s="713" t="s">
        <v>17</v>
      </c>
      <c r="U39" s="714">
        <f t="shared" si="11"/>
        <v>100</v>
      </c>
      <c r="V39" s="713" t="s">
        <v>17</v>
      </c>
      <c r="W39" s="714">
        <f t="shared" si="12"/>
        <v>100</v>
      </c>
      <c r="X39" s="1537"/>
      <c r="Y39" s="3309"/>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309"/>
      <c r="Q40" s="1534" t="str">
        <f t="shared" si="14"/>
        <v>临街宽度及深度</v>
      </c>
      <c r="R40" s="713" t="s">
        <v>17</v>
      </c>
      <c r="S40" s="714">
        <f t="shared" si="10"/>
        <v>100</v>
      </c>
      <c r="T40" s="713" t="s">
        <v>17</v>
      </c>
      <c r="U40" s="714">
        <f t="shared" si="11"/>
        <v>100</v>
      </c>
      <c r="V40" s="713" t="s">
        <v>17</v>
      </c>
      <c r="W40" s="714">
        <f t="shared" si="12"/>
        <v>100</v>
      </c>
      <c r="X40" s="1537"/>
      <c r="Y40" s="3309"/>
      <c r="Z40" s="1538" t="str">
        <f t="shared" si="13"/>
        <v>临街宽度及深度</v>
      </c>
      <c r="AA40" s="1535">
        <f t="shared" si="3"/>
        <v>1</v>
      </c>
      <c r="AB40" s="1535">
        <f t="shared" si="4"/>
        <v>1</v>
      </c>
      <c r="AC40" s="1535">
        <f t="shared" si="5"/>
        <v>1</v>
      </c>
    </row>
    <row r="41" spans="1:29" s="113"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309"/>
      <c r="Q41" s="1534" t="str">
        <f t="shared" si="14"/>
        <v>宗地开发程度</v>
      </c>
      <c r="R41" s="709" t="s">
        <v>17</v>
      </c>
      <c r="S41" s="710">
        <f t="shared" si="10"/>
        <v>100</v>
      </c>
      <c r="T41" s="709" t="s">
        <v>17</v>
      </c>
      <c r="U41" s="710">
        <f t="shared" si="11"/>
        <v>100</v>
      </c>
      <c r="V41" s="709" t="s">
        <v>17</v>
      </c>
      <c r="W41" s="710">
        <f t="shared" si="12"/>
        <v>100</v>
      </c>
      <c r="X41" s="711"/>
      <c r="Y41" s="3309"/>
      <c r="Z41" s="55" t="str">
        <f t="shared" si="13"/>
        <v>宗地开发程度</v>
      </c>
      <c r="AA41" s="712">
        <f t="shared" si="3"/>
        <v>1</v>
      </c>
      <c r="AB41" s="712">
        <f t="shared" si="4"/>
        <v>1</v>
      </c>
      <c r="AC41" s="712">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309" t="s">
        <v>2386</v>
      </c>
      <c r="Q42" s="1534" t="str">
        <f t="shared" si="14"/>
        <v>工程地质条件</v>
      </c>
      <c r="R42" s="713" t="s">
        <v>17</v>
      </c>
      <c r="S42" s="714">
        <f t="shared" si="10"/>
        <v>100</v>
      </c>
      <c r="T42" s="713" t="s">
        <v>17</v>
      </c>
      <c r="U42" s="714">
        <f t="shared" si="11"/>
        <v>100</v>
      </c>
      <c r="V42" s="713" t="s">
        <v>17</v>
      </c>
      <c r="W42" s="714">
        <f t="shared" si="12"/>
        <v>100</v>
      </c>
      <c r="X42" s="1537"/>
      <c r="Y42" s="3309" t="s">
        <v>2386</v>
      </c>
      <c r="Z42" s="1538" t="str">
        <f t="shared" si="13"/>
        <v>工程地质条件</v>
      </c>
      <c r="AA42" s="1535">
        <f t="shared" si="3"/>
        <v>1</v>
      </c>
      <c r="AB42" s="1535">
        <f t="shared" si="4"/>
        <v>1</v>
      </c>
      <c r="AC42" s="1535">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09"/>
      <c r="Q43" s="1534">
        <f t="shared" si="14"/>
        <v>111</v>
      </c>
      <c r="R43" s="713" t="s">
        <v>17</v>
      </c>
      <c r="S43" s="714">
        <f t="shared" si="10"/>
        <v>100</v>
      </c>
      <c r="T43" s="713" t="s">
        <v>17</v>
      </c>
      <c r="U43" s="714">
        <f t="shared" si="11"/>
        <v>100</v>
      </c>
      <c r="V43" s="713" t="s">
        <v>17</v>
      </c>
      <c r="W43" s="714">
        <f t="shared" si="12"/>
        <v>100</v>
      </c>
      <c r="X43" s="1537"/>
      <c r="Y43" s="3309"/>
      <c r="Z43" s="1538">
        <f t="shared" si="13"/>
        <v>111</v>
      </c>
      <c r="AA43" s="1535">
        <f t="shared" si="3"/>
        <v>1</v>
      </c>
      <c r="AB43" s="1535">
        <f t="shared" si="4"/>
        <v>1</v>
      </c>
      <c r="AC43" s="1535">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09"/>
      <c r="Q44" s="1534">
        <f t="shared" si="14"/>
        <v>111</v>
      </c>
      <c r="R44" s="713" t="s">
        <v>17</v>
      </c>
      <c r="S44" s="714">
        <f t="shared" si="10"/>
        <v>100</v>
      </c>
      <c r="T44" s="713" t="s">
        <v>17</v>
      </c>
      <c r="U44" s="714">
        <f t="shared" si="11"/>
        <v>100</v>
      </c>
      <c r="V44" s="713" t="s">
        <v>17</v>
      </c>
      <c r="W44" s="714">
        <f t="shared" si="12"/>
        <v>100</v>
      </c>
      <c r="X44" s="1537"/>
      <c r="Y44" s="3309"/>
      <c r="Z44" s="1538">
        <f t="shared" si="13"/>
        <v>111</v>
      </c>
      <c r="AA44" s="1535">
        <f t="shared" si="3"/>
        <v>1</v>
      </c>
      <c r="AB44" s="1535">
        <f t="shared" si="4"/>
        <v>1</v>
      </c>
      <c r="AC44" s="1535">
        <f t="shared" si="5"/>
        <v>1</v>
      </c>
    </row>
    <row r="45" spans="1:29" s="429" customFormat="1" ht="15.75" thickBot="1">
      <c r="A45" s="426"/>
      <c r="B45" s="1295">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09"/>
      <c r="Q45" s="1534">
        <f t="shared" si="14"/>
        <v>111</v>
      </c>
      <c r="R45" s="716" t="s">
        <v>17</v>
      </c>
      <c r="S45" s="717">
        <f t="shared" si="10"/>
        <v>100</v>
      </c>
      <c r="T45" s="716" t="s">
        <v>17</v>
      </c>
      <c r="U45" s="717">
        <f t="shared" si="11"/>
        <v>100</v>
      </c>
      <c r="V45" s="716" t="s">
        <v>17</v>
      </c>
      <c r="W45" s="717">
        <f t="shared" si="12"/>
        <v>100</v>
      </c>
      <c r="X45" s="718"/>
      <c r="Y45" s="3309"/>
      <c r="Z45" s="719">
        <f t="shared" si="13"/>
        <v>111</v>
      </c>
      <c r="AA45" s="1535">
        <f t="shared" si="3"/>
        <v>1</v>
      </c>
      <c r="AB45" s="1535">
        <f t="shared" si="4"/>
        <v>1</v>
      </c>
      <c r="AC45" s="1535">
        <f t="shared" si="5"/>
        <v>1</v>
      </c>
    </row>
    <row r="46" spans="1:29" ht="15">
      <c r="A46" s="437" t="s">
        <v>2541</v>
      </c>
      <c r="B46" s="2166" t="s">
        <v>2577</v>
      </c>
      <c r="C46" s="637" t="s">
        <v>1</v>
      </c>
      <c r="D46" s="439"/>
      <c r="E46" s="440">
        <v>3265</v>
      </c>
      <c r="F46" s="441"/>
      <c r="G46" s="442">
        <v>3205</v>
      </c>
      <c r="H46" s="443"/>
      <c r="I46" s="440">
        <v>3665</v>
      </c>
      <c r="J46" s="443"/>
      <c r="K46" s="722"/>
      <c r="L46" s="2951"/>
      <c r="M46" s="2952"/>
      <c r="N46" s="2943"/>
      <c r="O46" s="2952"/>
      <c r="P46" s="3291" t="str">
        <f>A46</f>
        <v>成交单价</v>
      </c>
      <c r="Q46" s="3291"/>
      <c r="R46" s="3304">
        <f>E46</f>
        <v>3265</v>
      </c>
      <c r="S46" s="3304"/>
      <c r="T46" s="3304">
        <f>G46</f>
        <v>3205</v>
      </c>
      <c r="U46" s="3304"/>
      <c r="V46" s="3304">
        <f>I46</f>
        <v>3665</v>
      </c>
      <c r="W46" s="3304"/>
      <c r="X46" s="698"/>
      <c r="Y46" s="720"/>
      <c r="Z46" s="698"/>
      <c r="AA46" s="698"/>
      <c r="AB46" s="698"/>
      <c r="AC46" s="698"/>
    </row>
    <row r="47" spans="1:29" ht="15.75" thickBot="1">
      <c r="A47" s="444" t="s">
        <v>2490</v>
      </c>
      <c r="B47" s="638"/>
      <c r="C47" s="447">
        <f>R48</f>
        <v>3214</v>
      </c>
      <c r="D47" s="2536" t="s">
        <v>2881</v>
      </c>
      <c r="E47" s="447">
        <f>R47</f>
        <v>3147</v>
      </c>
      <c r="F47" s="2537"/>
      <c r="G47" s="446">
        <f>T47</f>
        <v>3081</v>
      </c>
      <c r="H47" s="2537"/>
      <c r="I47" s="447">
        <f>V47</f>
        <v>3415</v>
      </c>
      <c r="J47" s="2537"/>
      <c r="K47" s="2539">
        <f>F47+H47+J47</f>
        <v>0</v>
      </c>
      <c r="L47" s="2951"/>
      <c r="M47" s="2952"/>
      <c r="N47" s="2952"/>
      <c r="O47" s="2952"/>
      <c r="P47" s="3291" t="str">
        <f>A47</f>
        <v>比较价值（元/平方米）</v>
      </c>
      <c r="Q47" s="3291"/>
      <c r="R47" s="3310">
        <f>ROUND(PRODUCT(R46,AA7:AA45),0)</f>
        <v>3147</v>
      </c>
      <c r="S47" s="3310"/>
      <c r="T47" s="3310">
        <f>ROUND(PRODUCT(T46,AB7:AB45),0)</f>
        <v>3081</v>
      </c>
      <c r="U47" s="3310"/>
      <c r="V47" s="3310">
        <f>ROUND(PRODUCT(V46,AC7:AC45),0)</f>
        <v>3415</v>
      </c>
      <c r="W47" s="3310"/>
      <c r="X47" s="698"/>
      <c r="Y47" s="698"/>
      <c r="Z47" s="698"/>
      <c r="AA47" s="698"/>
      <c r="AB47" s="698"/>
      <c r="AC47" s="698"/>
    </row>
    <row r="48" spans="1:29" ht="15.75" thickBot="1">
      <c r="A48" s="448" t="s">
        <v>2578</v>
      </c>
      <c r="B48" s="449"/>
      <c r="C48" s="450">
        <f>R48</f>
        <v>3214</v>
      </c>
      <c r="D48" s="450"/>
      <c r="E48" s="450"/>
      <c r="F48" s="450"/>
      <c r="G48" s="450"/>
      <c r="H48" s="450"/>
      <c r="I48" s="450"/>
      <c r="J48" s="450"/>
      <c r="K48" s="723"/>
      <c r="L48" s="2951"/>
      <c r="M48" s="2952"/>
      <c r="N48" s="2952"/>
      <c r="O48" s="2952"/>
      <c r="P48" s="3311" t="str">
        <f>A48</f>
        <v>估价对象XX用房的比较价值（楼面单价，元/平方米）</v>
      </c>
      <c r="Q48" s="3312"/>
      <c r="R48" s="3313">
        <f>ROUND(IF(D47="简单平均",AVERAGE(R47:W47),R47*F47+T47*H47+V47*J47),0)</f>
        <v>3214</v>
      </c>
      <c r="S48" s="3313"/>
      <c r="T48" s="3313"/>
      <c r="U48" s="3313"/>
      <c r="V48" s="3313"/>
      <c r="W48" s="3313"/>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3.7496027963139555E-2</v>
      </c>
      <c r="F51" s="456" t="str">
        <f>IF(OR(E51&gt;=0.3,E51&lt;=-0.3),"超过30%","")</f>
        <v/>
      </c>
      <c r="G51" s="455">
        <f>IF(G46&lt;G47,G47/G46-1,G46/G47-1)</f>
        <v>4.0246673158065516E-2</v>
      </c>
      <c r="H51" s="456" t="str">
        <f>IF(OR(G51&gt;=0.3,G51&lt;=-0.3),"超过30%","")</f>
        <v/>
      </c>
      <c r="I51" s="455">
        <f>IF(I46&lt;I47,I47/I46-1,I46/I47-1)</f>
        <v>7.3206442166910746E-2</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2.142161635832518E-2</v>
      </c>
      <c r="F52" s="456" t="str">
        <f>IF(OR(E52&gt;=0.2,E52&lt;=-0.2),"超过20%","")</f>
        <v/>
      </c>
      <c r="G52" s="455">
        <f>IF(G47&lt;I47,I47/G47-1,G47/I47-1)</f>
        <v>0.10840636157091854</v>
      </c>
      <c r="H52" s="456" t="str">
        <f>IF(OR(G52&gt;=0.2,G52&lt;=-0.2),"超过20%","")</f>
        <v/>
      </c>
      <c r="I52" s="455">
        <f>IF(I47&lt;E47,E47/I47-1,I47/E47-1)</f>
        <v>8.5160470289164181E-2</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1.8720748829953227E-2</v>
      </c>
      <c r="F53" s="456" t="str">
        <f>IF(OR(E53&gt;=0.3,E53&lt;=-0.3),"超过30%","")</f>
        <v/>
      </c>
      <c r="G53" s="455">
        <f>IF(G46&lt;I46,I46/G46-1,G46/I46-1)</f>
        <v>0.14352574102964111</v>
      </c>
      <c r="H53" s="456" t="str">
        <f>IF(OR(G53&gt;=0.3,G53&lt;=-0.3),"超过30%","")</f>
        <v/>
      </c>
      <c r="I53" s="455">
        <f>IF(I46&lt;E46,E46/I46-1,I46/E46-1)</f>
        <v>0.12251148545176105</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92" t="s">
        <v>2585</v>
      </c>
      <c r="H55" s="3314"/>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3214</v>
      </c>
      <c r="C56" s="645">
        <v>1</v>
      </c>
      <c r="D56" s="1074">
        <v>1</v>
      </c>
      <c r="E56" s="645">
        <f>'数据-汇总表'!E8+'数据-汇总表'!E9</f>
        <v>17349.86</v>
      </c>
      <c r="F56" s="1016">
        <f t="shared" ref="F56:F65" si="15">ROUND(B56*E56/10000,0)</f>
        <v>5576</v>
      </c>
      <c r="G56" s="3315"/>
      <c r="H56" s="3291"/>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316"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316"/>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316"/>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316"/>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17349.86</v>
      </c>
      <c r="F66" s="652">
        <f>IF(B46="楼面地价",SUM(F56:F65),ROUND(C48*E66/10000,0))</f>
        <v>5576</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8"/>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3" t="str">
        <f>"北京市平均增长率"&amp;TEXT(SUMIF(基准地价修正!N21:N25,A71,基准地价修正!P21:P25),"0.00%")</f>
        <v>北京市平均增长率1.87%</v>
      </c>
      <c r="C71" s="559">
        <v>100</v>
      </c>
      <c r="D71" s="551">
        <v>99.8</v>
      </c>
      <c r="E71" s="551">
        <v>99.6</v>
      </c>
      <c r="F71" s="551">
        <v>99.4</v>
      </c>
      <c r="G71" s="551">
        <v>99.2</v>
      </c>
      <c r="H71" s="551">
        <v>99</v>
      </c>
      <c r="I71" s="551">
        <v>98.8</v>
      </c>
      <c r="J71" s="551">
        <v>98.6</v>
      </c>
      <c r="K71" s="551">
        <v>98.4</v>
      </c>
      <c r="L71" s="551">
        <v>98.2</v>
      </c>
      <c r="M71" s="551">
        <v>98</v>
      </c>
      <c r="N71" s="551">
        <v>97.8</v>
      </c>
      <c r="O71" s="551">
        <v>97.6</v>
      </c>
      <c r="P71" s="2966"/>
      <c r="Q71" s="2886"/>
      <c r="R71" s="2886"/>
      <c r="S71" s="2886"/>
      <c r="T71" s="2886"/>
      <c r="U71" s="2886"/>
      <c r="V71" s="2886"/>
      <c r="W71" s="2886"/>
      <c r="X71" s="2886"/>
      <c r="Y71" s="2886"/>
      <c r="Z71" s="2886"/>
      <c r="AA71" s="2886"/>
      <c r="AB71" s="2886"/>
      <c r="AC71" s="2886"/>
    </row>
    <row r="72" spans="1:29" s="113"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3"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3065" t="s">
        <v>3141</v>
      </c>
      <c r="D75" s="3065" t="s">
        <v>3144</v>
      </c>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v>100</v>
      </c>
      <c r="D76" s="492">
        <v>98</v>
      </c>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0（含）-2</v>
      </c>
      <c r="D79" s="503" t="str">
        <f t="shared" ref="D79:L79" si="20">D80&amp;"（含）"&amp;"-"&amp;E80</f>
        <v>2（含）-4</v>
      </c>
      <c r="E79" s="503" t="str">
        <f t="shared" si="20"/>
        <v>4（含）-6</v>
      </c>
      <c r="F79" s="503" t="str">
        <f t="shared" si="20"/>
        <v>6（含）-8</v>
      </c>
      <c r="G79" s="503" t="str">
        <f t="shared" si="20"/>
        <v>8（含）-10</v>
      </c>
      <c r="H79" s="503" t="str">
        <f t="shared" si="20"/>
        <v>10（含）-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2</v>
      </c>
      <c r="E80" s="505">
        <v>4</v>
      </c>
      <c r="F80" s="505">
        <v>6</v>
      </c>
      <c r="G80" s="505">
        <v>8</v>
      </c>
      <c r="H80" s="505">
        <v>10</v>
      </c>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2605</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98</v>
      </c>
      <c r="E91" s="500">
        <f>D91-$K17</f>
        <v>96</v>
      </c>
      <c r="F91" s="500">
        <f>E91-$K17</f>
        <v>94</v>
      </c>
      <c r="G91" s="500">
        <f>F91-$K17</f>
        <v>92</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98</v>
      </c>
      <c r="E95" s="500">
        <f>D95-$K21</f>
        <v>96</v>
      </c>
      <c r="F95" s="500">
        <f>E95-$K21</f>
        <v>94</v>
      </c>
      <c r="G95" s="500">
        <f>F95-$K21</f>
        <v>92</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98</v>
      </c>
      <c r="E99" s="500">
        <f>D99-$K25</f>
        <v>96</v>
      </c>
      <c r="F99" s="500">
        <f>E99-$K25</f>
        <v>94</v>
      </c>
      <c r="G99" s="500">
        <f>F99-$K25</f>
        <v>92</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2612</v>
      </c>
      <c r="C116" s="485" t="str">
        <f>C117&amp;"(含)"&amp;"-"&amp;D117</f>
        <v>0(含)-10000</v>
      </c>
      <c r="D116" s="485" t="str">
        <f t="shared" ref="D116:M116" si="25">D117&amp;"(含)"&amp;"-"&amp;E117</f>
        <v>10000(含)-20000</v>
      </c>
      <c r="E116" s="485" t="str">
        <f t="shared" si="25"/>
        <v>20000(含)-30000</v>
      </c>
      <c r="F116" s="485" t="str">
        <f t="shared" si="25"/>
        <v>30000(含)-40000</v>
      </c>
      <c r="G116" s="485" t="str">
        <f t="shared" si="25"/>
        <v>40000(含)-50000</v>
      </c>
      <c r="H116" s="485" t="str">
        <f t="shared" si="25"/>
        <v>50000(含)-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10000</v>
      </c>
      <c r="E117" s="551">
        <v>20000</v>
      </c>
      <c r="F117" s="551">
        <v>30000</v>
      </c>
      <c r="G117" s="551">
        <v>40000</v>
      </c>
      <c r="H117" s="551">
        <v>50000</v>
      </c>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102</v>
      </c>
      <c r="E118" s="547">
        <v>104</v>
      </c>
      <c r="F118" s="547">
        <v>106</v>
      </c>
      <c r="G118" s="547">
        <v>108</v>
      </c>
      <c r="H118" s="547">
        <v>110</v>
      </c>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2613</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2614</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2615</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2616</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N180"/>
  <sheetViews>
    <sheetView zoomScaleNormal="100" workbookViewId="0">
      <selection activeCell="A47" sqref="A47"/>
    </sheetView>
  </sheetViews>
  <sheetFormatPr defaultRowHeight="13.5"/>
  <cols>
    <col min="1" max="1" width="28.625" customWidth="1"/>
    <col min="3" max="3" width="13.375" customWidth="1"/>
    <col min="9" max="9" width="15.25" customWidth="1"/>
  </cols>
  <sheetData>
    <row r="34" spans="1:13">
      <c r="A34" s="3060" t="s">
        <v>3082</v>
      </c>
      <c r="B34" s="3060" t="s">
        <v>3083</v>
      </c>
      <c r="C34" s="3060" t="s">
        <v>3084</v>
      </c>
      <c r="D34" s="3060" t="s">
        <v>3085</v>
      </c>
      <c r="E34" s="3060" t="s">
        <v>3086</v>
      </c>
      <c r="F34" s="3060" t="s">
        <v>3087</v>
      </c>
      <c r="G34" s="3060" t="s">
        <v>3088</v>
      </c>
      <c r="H34" s="3060" t="s">
        <v>3089</v>
      </c>
      <c r="I34" s="3060" t="s">
        <v>3090</v>
      </c>
      <c r="J34" s="3060" t="s">
        <v>3091</v>
      </c>
      <c r="K34" s="3060" t="s">
        <v>3092</v>
      </c>
      <c r="L34" s="3060" t="s">
        <v>3093</v>
      </c>
      <c r="M34" s="3060" t="s">
        <v>3094</v>
      </c>
    </row>
    <row r="35" spans="1:13">
      <c r="A35" s="3060" t="s">
        <v>3095</v>
      </c>
      <c r="B35" s="3060" t="s">
        <v>3096</v>
      </c>
      <c r="C35" s="3060" t="s">
        <v>3097</v>
      </c>
      <c r="D35" s="3060">
        <v>5501.31</v>
      </c>
      <c r="E35" s="3060">
        <v>5501.31</v>
      </c>
      <c r="F35" s="3060" t="s">
        <v>3098</v>
      </c>
      <c r="G35" s="3060" t="s">
        <v>3099</v>
      </c>
      <c r="H35" s="3060" t="s">
        <v>3100</v>
      </c>
      <c r="I35" s="3060" t="s">
        <v>3101</v>
      </c>
      <c r="J35" s="3060">
        <v>466</v>
      </c>
      <c r="K35" s="3060">
        <v>466</v>
      </c>
      <c r="L35" s="3060">
        <v>847.07</v>
      </c>
      <c r="M35" s="3060">
        <v>0</v>
      </c>
    </row>
    <row r="36" spans="1:13">
      <c r="A36" s="3060" t="s">
        <v>3102</v>
      </c>
      <c r="B36" s="3060" t="s">
        <v>3096</v>
      </c>
      <c r="C36" s="3060" t="s">
        <v>3097</v>
      </c>
      <c r="D36" s="3060">
        <v>5345.93</v>
      </c>
      <c r="E36" s="3060">
        <v>35817.730000000003</v>
      </c>
      <c r="F36" s="3060" t="s">
        <v>3103</v>
      </c>
      <c r="G36" s="3060" t="s">
        <v>3099</v>
      </c>
      <c r="H36" s="3060" t="s">
        <v>3104</v>
      </c>
      <c r="I36" s="3060" t="s">
        <v>3105</v>
      </c>
      <c r="J36" s="3060">
        <v>12733</v>
      </c>
      <c r="K36" s="3060">
        <v>12733</v>
      </c>
      <c r="L36" s="3060">
        <v>3554.94</v>
      </c>
      <c r="M36" s="3060">
        <v>0</v>
      </c>
    </row>
    <row r="37" spans="1:13">
      <c r="A37" s="3060" t="s">
        <v>3106</v>
      </c>
      <c r="B37" s="3060" t="s">
        <v>3096</v>
      </c>
      <c r="C37" s="3060" t="s">
        <v>3097</v>
      </c>
      <c r="D37" s="3060">
        <v>10678.1</v>
      </c>
      <c r="E37" s="3060">
        <v>101441.95</v>
      </c>
      <c r="F37" s="3060" t="s">
        <v>3103</v>
      </c>
      <c r="G37" s="3060" t="s">
        <v>3099</v>
      </c>
      <c r="H37" s="3060" t="s">
        <v>3107</v>
      </c>
      <c r="I37" s="3060" t="s">
        <v>3108</v>
      </c>
      <c r="J37" s="3060">
        <v>24463</v>
      </c>
      <c r="K37" s="3060">
        <v>24463</v>
      </c>
      <c r="L37" s="3060">
        <v>2411.5300000000002</v>
      </c>
      <c r="M37" s="3060">
        <v>0</v>
      </c>
    </row>
    <row r="38" spans="1:13">
      <c r="A38" s="3060" t="s">
        <v>3109</v>
      </c>
      <c r="B38" s="3060" t="s">
        <v>3096</v>
      </c>
      <c r="C38" s="3060" t="s">
        <v>3097</v>
      </c>
      <c r="D38" s="3060">
        <v>103366.57</v>
      </c>
      <c r="E38" s="3060">
        <v>62019.94</v>
      </c>
      <c r="F38" s="3060" t="s">
        <v>3110</v>
      </c>
      <c r="G38" s="3060" t="s">
        <v>3099</v>
      </c>
      <c r="H38" s="3060" t="s">
        <v>3111</v>
      </c>
      <c r="I38" s="3060" t="s">
        <v>3112</v>
      </c>
      <c r="J38" s="3060">
        <v>14560</v>
      </c>
      <c r="K38" s="3060">
        <v>14560</v>
      </c>
      <c r="L38" s="3060">
        <v>2347.63</v>
      </c>
      <c r="M38" s="3060">
        <v>0</v>
      </c>
    </row>
    <row r="39" spans="1:13">
      <c r="A39" s="3060" t="s">
        <v>3113</v>
      </c>
      <c r="B39" s="3060" t="s">
        <v>3096</v>
      </c>
      <c r="C39" s="3060" t="s">
        <v>3097</v>
      </c>
      <c r="D39" s="3060">
        <v>86966.59</v>
      </c>
      <c r="E39" s="3060">
        <v>52179.95</v>
      </c>
      <c r="F39" s="3060" t="s">
        <v>3110</v>
      </c>
      <c r="G39" s="3060" t="s">
        <v>3099</v>
      </c>
      <c r="H39" s="3060" t="s">
        <v>3114</v>
      </c>
      <c r="I39" s="3060" t="s">
        <v>3112</v>
      </c>
      <c r="J39" s="3060">
        <v>12765</v>
      </c>
      <c r="K39" s="3060">
        <v>12765</v>
      </c>
      <c r="L39" s="3060">
        <v>2446.34</v>
      </c>
      <c r="M39" s="3060">
        <v>0</v>
      </c>
    </row>
    <row r="40" spans="1:13">
      <c r="A40" s="3060" t="s">
        <v>3115</v>
      </c>
      <c r="B40" s="3060" t="s">
        <v>3096</v>
      </c>
      <c r="C40" s="3060" t="s">
        <v>3097</v>
      </c>
      <c r="D40" s="3060">
        <v>29732.080000000002</v>
      </c>
      <c r="E40" s="3060">
        <v>17839.25</v>
      </c>
      <c r="F40" s="3060" t="s">
        <v>3110</v>
      </c>
      <c r="G40" s="3060" t="s">
        <v>3099</v>
      </c>
      <c r="H40" s="3060" t="s">
        <v>3114</v>
      </c>
      <c r="I40" s="3060" t="s">
        <v>3112</v>
      </c>
      <c r="J40" s="3060">
        <v>3945</v>
      </c>
      <c r="K40" s="3060">
        <v>3945</v>
      </c>
      <c r="L40" s="3060">
        <v>2211.42</v>
      </c>
      <c r="M40" s="3060">
        <v>0</v>
      </c>
    </row>
    <row r="41" spans="1:13" s="3062" customFormat="1">
      <c r="A41" s="3421" t="s">
        <v>3160</v>
      </c>
      <c r="B41" s="3061" t="s">
        <v>3096</v>
      </c>
      <c r="C41" s="3061" t="s">
        <v>3097</v>
      </c>
      <c r="D41" s="3061">
        <v>3722.53</v>
      </c>
      <c r="E41" s="3061">
        <v>21962.93</v>
      </c>
      <c r="F41" s="3061" t="s">
        <v>3103</v>
      </c>
      <c r="G41" s="3061" t="s">
        <v>3099</v>
      </c>
      <c r="H41" s="3061" t="s">
        <v>3116</v>
      </c>
      <c r="I41" s="3061" t="s">
        <v>3117</v>
      </c>
      <c r="J41" s="3061">
        <v>7170</v>
      </c>
      <c r="K41" s="3061">
        <v>7170</v>
      </c>
      <c r="L41" s="3061">
        <v>3264.59</v>
      </c>
      <c r="M41" s="3061">
        <v>0</v>
      </c>
    </row>
    <row r="42" spans="1:13" s="3062" customFormat="1">
      <c r="A42" s="3421" t="s">
        <v>3161</v>
      </c>
      <c r="B42" s="3061" t="s">
        <v>3096</v>
      </c>
      <c r="C42" s="3061" t="s">
        <v>3097</v>
      </c>
      <c r="D42" s="3061">
        <v>23288.799999999999</v>
      </c>
      <c r="E42" s="3061">
        <v>183981.5</v>
      </c>
      <c r="F42" s="3061" t="s">
        <v>3103</v>
      </c>
      <c r="G42" s="3061" t="s">
        <v>3099</v>
      </c>
      <c r="H42" s="3061" t="s">
        <v>3118</v>
      </c>
      <c r="I42" s="3061" t="s">
        <v>3119</v>
      </c>
      <c r="J42" s="3061">
        <v>58959</v>
      </c>
      <c r="K42" s="3061">
        <v>58959</v>
      </c>
      <c r="L42" s="3061">
        <v>3204.61</v>
      </c>
      <c r="M42" s="3061">
        <v>0</v>
      </c>
    </row>
    <row r="43" spans="1:13">
      <c r="A43" s="3060" t="s">
        <v>3120</v>
      </c>
      <c r="B43" s="3060" t="s">
        <v>3096</v>
      </c>
      <c r="C43" s="3060" t="s">
        <v>3097</v>
      </c>
      <c r="D43" s="3060">
        <v>4649.46</v>
      </c>
      <c r="E43" s="3060">
        <v>929.89</v>
      </c>
      <c r="F43" s="3060" t="s">
        <v>3103</v>
      </c>
      <c r="G43" s="3060" t="s">
        <v>3099</v>
      </c>
      <c r="H43" s="3060" t="s">
        <v>3121</v>
      </c>
      <c r="I43" s="3060" t="s">
        <v>3122</v>
      </c>
      <c r="J43" s="3060">
        <v>6987</v>
      </c>
      <c r="K43" s="3060">
        <v>17137</v>
      </c>
      <c r="L43" s="3060">
        <v>184290.61</v>
      </c>
      <c r="M43" s="3060">
        <v>145.27000000000001</v>
      </c>
    </row>
    <row r="44" spans="1:13">
      <c r="A44" s="3060" t="s">
        <v>3123</v>
      </c>
      <c r="B44" s="3060" t="s">
        <v>3096</v>
      </c>
      <c r="C44" s="3060" t="s">
        <v>3097</v>
      </c>
      <c r="D44" s="3060">
        <v>10316</v>
      </c>
      <c r="E44" s="3060">
        <v>54674.8</v>
      </c>
      <c r="F44" s="3060" t="s">
        <v>3103</v>
      </c>
      <c r="G44" s="3060" t="s">
        <v>3124</v>
      </c>
      <c r="H44" s="3060" t="s">
        <v>3125</v>
      </c>
      <c r="I44" s="3060" t="s">
        <v>3122</v>
      </c>
      <c r="J44" s="3060">
        <v>17774</v>
      </c>
      <c r="K44" s="3060">
        <v>17774</v>
      </c>
      <c r="L44" s="3060">
        <v>3250.86</v>
      </c>
      <c r="M44" s="3060">
        <v>0</v>
      </c>
    </row>
    <row r="45" spans="1:13">
      <c r="A45" s="3060" t="s">
        <v>3126</v>
      </c>
      <c r="B45" s="3060" t="s">
        <v>3096</v>
      </c>
      <c r="C45" s="3060" t="s">
        <v>3097</v>
      </c>
      <c r="D45" s="3060">
        <v>43968.03</v>
      </c>
      <c r="E45" s="3060">
        <v>43968.03</v>
      </c>
      <c r="F45" s="3060" t="s">
        <v>3103</v>
      </c>
      <c r="G45" s="3060" t="s">
        <v>3099</v>
      </c>
      <c r="H45" s="3060" t="s">
        <v>3127</v>
      </c>
      <c r="I45" s="3060" t="s">
        <v>3128</v>
      </c>
      <c r="J45" s="3060">
        <v>43695</v>
      </c>
      <c r="K45" s="3060">
        <v>43695</v>
      </c>
      <c r="L45" s="3060">
        <v>9937.89</v>
      </c>
      <c r="M45" s="3060">
        <v>0</v>
      </c>
    </row>
    <row r="46" spans="1:13">
      <c r="A46" s="3060" t="s">
        <v>3129</v>
      </c>
      <c r="B46" s="3060" t="s">
        <v>3096</v>
      </c>
      <c r="C46" s="3060" t="s">
        <v>3097</v>
      </c>
      <c r="D46" s="3060">
        <v>18899.23</v>
      </c>
      <c r="E46" s="3060">
        <v>202221.8</v>
      </c>
      <c r="F46" s="3060" t="s">
        <v>3103</v>
      </c>
      <c r="G46" s="3060" t="s">
        <v>3099</v>
      </c>
      <c r="H46" s="3060" t="s">
        <v>3130</v>
      </c>
      <c r="I46" s="3060" t="s">
        <v>3131</v>
      </c>
      <c r="J46" s="3060">
        <v>44241</v>
      </c>
      <c r="K46" s="3060">
        <v>44241</v>
      </c>
      <c r="L46" s="3060">
        <v>2187.75</v>
      </c>
      <c r="M46" s="3060">
        <v>0</v>
      </c>
    </row>
    <row r="47" spans="1:13" s="3062" customFormat="1">
      <c r="A47" s="3421" t="s">
        <v>3162</v>
      </c>
      <c r="B47" s="3061" t="s">
        <v>3096</v>
      </c>
      <c r="C47" s="3061" t="s">
        <v>3097</v>
      </c>
      <c r="D47" s="3061">
        <v>4631.21</v>
      </c>
      <c r="E47" s="3061">
        <v>18524.84</v>
      </c>
      <c r="F47" s="3061" t="s">
        <v>3103</v>
      </c>
      <c r="G47" s="3061" t="s">
        <v>3099</v>
      </c>
      <c r="H47" s="3061" t="s">
        <v>3132</v>
      </c>
      <c r="I47" s="3061" t="s">
        <v>3133</v>
      </c>
      <c r="J47" s="3061">
        <v>6690</v>
      </c>
      <c r="K47" s="3061">
        <v>6790</v>
      </c>
      <c r="L47" s="3061">
        <v>3665.34</v>
      </c>
      <c r="M47" s="3061">
        <v>1.49</v>
      </c>
    </row>
    <row r="48" spans="1:13">
      <c r="A48" s="3060" t="s">
        <v>3134</v>
      </c>
      <c r="B48" s="3060" t="s">
        <v>3096</v>
      </c>
      <c r="C48" s="3060" t="s">
        <v>3097</v>
      </c>
      <c r="D48" s="3060">
        <v>4290.6000000000004</v>
      </c>
      <c r="E48" s="3060">
        <v>23598.3</v>
      </c>
      <c r="F48" s="3060" t="s">
        <v>3103</v>
      </c>
      <c r="G48" s="3060" t="s">
        <v>3099</v>
      </c>
      <c r="H48" s="3060" t="s">
        <v>3135</v>
      </c>
      <c r="I48" s="3060" t="s">
        <v>3136</v>
      </c>
      <c r="J48" s="3060">
        <v>5901</v>
      </c>
      <c r="K48" s="3060">
        <v>5901</v>
      </c>
      <c r="L48" s="3060">
        <v>2500.59</v>
      </c>
      <c r="M48" s="3060">
        <v>0</v>
      </c>
    </row>
    <row r="135" spans="3:3">
      <c r="C135">
        <f>2966826+1946128.71</f>
        <v>4912954.71</v>
      </c>
    </row>
    <row r="164" spans="3:14">
      <c r="C164">
        <f>167.13+83.22+143.46+92.19+124.92+120.21</f>
        <v>731.13</v>
      </c>
    </row>
    <row r="165" spans="3:14">
      <c r="C165">
        <f>28.67+20.58+25.95+121.59+112.13+240.57</f>
        <v>549.49</v>
      </c>
    </row>
    <row r="166" spans="3:14">
      <c r="C166">
        <f>C165/C164-1</f>
        <v>-0.24843735040280113</v>
      </c>
    </row>
    <row r="168" spans="3:14">
      <c r="C168">
        <f>109.57+91.67+94.56+96.03+91.77+150.81</f>
        <v>634.41000000000008</v>
      </c>
    </row>
    <row r="169" spans="3:14">
      <c r="C169">
        <f>41.65+46.45+91.34+301.23+127.01+191.87</f>
        <v>799.55000000000007</v>
      </c>
    </row>
    <row r="170" spans="3:14">
      <c r="C170">
        <f>C169/C168-1</f>
        <v>0.26030485017575389</v>
      </c>
    </row>
    <row r="172" spans="3:14">
      <c r="C172">
        <v>7</v>
      </c>
      <c r="D172">
        <v>8</v>
      </c>
      <c r="E172">
        <v>9</v>
      </c>
      <c r="F172">
        <v>10</v>
      </c>
      <c r="G172">
        <v>11</v>
      </c>
      <c r="H172">
        <v>12</v>
      </c>
      <c r="I172">
        <v>1</v>
      </c>
      <c r="J172">
        <v>2</v>
      </c>
      <c r="K172">
        <v>3</v>
      </c>
      <c r="L172">
        <v>4</v>
      </c>
      <c r="M172">
        <v>5</v>
      </c>
      <c r="N172">
        <v>6</v>
      </c>
    </row>
    <row r="173" spans="3:14">
      <c r="C173">
        <v>4.91</v>
      </c>
      <c r="D173">
        <v>3.97</v>
      </c>
      <c r="E173">
        <v>4.2699999999999996</v>
      </c>
      <c r="F173">
        <v>5.55</v>
      </c>
      <c r="G173">
        <v>3.43</v>
      </c>
      <c r="H173">
        <v>5.28</v>
      </c>
      <c r="I173">
        <v>2.31</v>
      </c>
      <c r="J173">
        <v>1.91</v>
      </c>
      <c r="K173">
        <v>2.4900000000000002</v>
      </c>
      <c r="L173">
        <v>19.27</v>
      </c>
      <c r="M173">
        <v>3.78</v>
      </c>
      <c r="N173">
        <v>10.53</v>
      </c>
    </row>
    <row r="174" spans="3:14">
      <c r="C174">
        <v>16848</v>
      </c>
      <c r="D174">
        <v>18519</v>
      </c>
      <c r="E174">
        <v>16663</v>
      </c>
      <c r="F174">
        <v>11844</v>
      </c>
      <c r="G174">
        <v>14150</v>
      </c>
      <c r="H174">
        <v>16205</v>
      </c>
      <c r="I174">
        <v>15931</v>
      </c>
      <c r="J174">
        <v>15030</v>
      </c>
      <c r="K174">
        <v>16554</v>
      </c>
      <c r="L174">
        <v>16166</v>
      </c>
      <c r="M174">
        <v>14772</v>
      </c>
      <c r="N174">
        <v>13456</v>
      </c>
    </row>
    <row r="175" spans="3:14">
      <c r="C175">
        <f t="shared" ref="C175:H175" si="0">ROUND(C173*C174,2)</f>
        <v>82723.679999999993</v>
      </c>
      <c r="D175">
        <f t="shared" si="0"/>
        <v>73520.429999999993</v>
      </c>
      <c r="E175">
        <f t="shared" si="0"/>
        <v>71151.009999999995</v>
      </c>
      <c r="F175">
        <f t="shared" si="0"/>
        <v>65734.2</v>
      </c>
      <c r="G175">
        <f t="shared" si="0"/>
        <v>48534.5</v>
      </c>
      <c r="H175">
        <f t="shared" si="0"/>
        <v>85562.4</v>
      </c>
      <c r="I175">
        <f t="shared" ref="I175:N175" si="1">ROUND(I173*I174,2)</f>
        <v>36800.61</v>
      </c>
      <c r="J175">
        <f t="shared" si="1"/>
        <v>28707.3</v>
      </c>
      <c r="K175">
        <f t="shared" si="1"/>
        <v>41219.46</v>
      </c>
      <c r="L175">
        <f t="shared" si="1"/>
        <v>311518.82</v>
      </c>
      <c r="M175">
        <f t="shared" si="1"/>
        <v>55838.16</v>
      </c>
      <c r="N175">
        <f t="shared" si="1"/>
        <v>141691.68</v>
      </c>
    </row>
    <row r="176" spans="3:14">
      <c r="H176">
        <f>ROUND(SUM(C175:H175)/SUM(C173:H173),0)</f>
        <v>15587</v>
      </c>
      <c r="N176">
        <f t="shared" ref="N176" si="2">ROUND(SUM(I175:N175)/SUM(I173:N173),0)</f>
        <v>15284</v>
      </c>
    </row>
    <row r="177" spans="11:14">
      <c r="N177">
        <f>N176/H176-1</f>
        <v>-1.9439276320010301E-2</v>
      </c>
    </row>
    <row r="179" spans="11:14">
      <c r="K179" s="3081" t="s">
        <v>3158</v>
      </c>
      <c r="L179">
        <f>SUM(I173:N173)</f>
        <v>40.29</v>
      </c>
    </row>
    <row r="180" spans="11:14">
      <c r="K180" s="3081" t="s">
        <v>3159</v>
      </c>
      <c r="L180">
        <f>2.84+1.09+3.78+7.6+8.1+24.77</f>
        <v>48.179999999999993</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A33" sqref="A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22.19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9071</v>
      </c>
      <c r="C2" s="1569" t="s">
        <v>1481</v>
      </c>
      <c r="D2" s="1569"/>
      <c r="E2" s="1570"/>
      <c r="F2" s="1571"/>
      <c r="G2" s="2933"/>
      <c r="H2" s="2922"/>
      <c r="I2" s="2922"/>
      <c r="J2" s="2922"/>
      <c r="K2" s="2923"/>
      <c r="L2" s="2922"/>
      <c r="M2" s="2922"/>
    </row>
    <row r="3" spans="1:37" ht="18" customHeight="1" thickBot="1">
      <c r="A3" s="1572" t="s">
        <v>1482</v>
      </c>
      <c r="B3" s="1573">
        <f ca="1">IF(ISERROR(B2*10000/F43),0,ROUND(B2*10000/F43,0))</f>
        <v>5228</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1084</v>
      </c>
      <c r="D5" s="1546" t="s">
        <v>1367</v>
      </c>
      <c r="E5" s="1202"/>
      <c r="F5" s="1203"/>
      <c r="G5" s="1566"/>
      <c r="H5" s="304">
        <v>1</v>
      </c>
      <c r="I5" s="305" t="s">
        <v>1366</v>
      </c>
      <c r="J5" s="1201">
        <f ca="1">J6+J10+J12</f>
        <v>0</v>
      </c>
      <c r="K5" s="1546" t="s">
        <v>1367</v>
      </c>
      <c r="L5" s="1202"/>
      <c r="M5" s="1203"/>
    </row>
    <row r="6" spans="1:37" ht="18" customHeight="1">
      <c r="A6" s="1200" t="s">
        <v>1003</v>
      </c>
      <c r="B6" s="3319" t="s">
        <v>1368</v>
      </c>
      <c r="C6" s="1205">
        <f ca="1">ROUND(F6*F8*F7*(1-F9)/10000,0)</f>
        <v>1083</v>
      </c>
      <c r="D6" s="159" t="s">
        <v>2851</v>
      </c>
      <c r="E6" s="307" t="s">
        <v>1370</v>
      </c>
      <c r="F6" s="308">
        <f ca="1">INDIRECT("'数据-取费表'!u"&amp;$G$1)</f>
        <v>1.9</v>
      </c>
      <c r="G6" s="1566"/>
      <c r="H6" s="1200" t="s">
        <v>1003</v>
      </c>
      <c r="I6" s="3319" t="s">
        <v>1368</v>
      </c>
      <c r="J6" s="306">
        <f ca="1">ROUND(M6*M8*M7*(1-M9)/10000,0)</f>
        <v>0</v>
      </c>
      <c r="K6" s="159" t="s">
        <v>2850</v>
      </c>
      <c r="L6" s="307" t="s">
        <v>1370</v>
      </c>
      <c r="M6" s="308">
        <f ca="1">INDIRECT("'数据-取费表'!z"&amp;$G$1)</f>
        <v>0</v>
      </c>
    </row>
    <row r="7" spans="1:37" ht="18" customHeight="1">
      <c r="A7" s="1204"/>
      <c r="B7" s="3320"/>
      <c r="C7" s="1206"/>
      <c r="D7" s="312"/>
      <c r="E7" s="1207" t="s">
        <v>1371</v>
      </c>
      <c r="F7" s="308">
        <f ca="1">IF(INDIRECT("'数据-取费表'!ah"&amp;$G$1)="",INDIRECT("'数据-取费表'!k"&amp;$G$1),INDIRECT("'数据-取费表'!ah"&amp;$G$1))</f>
        <v>17349.86</v>
      </c>
      <c r="G7" s="1566"/>
      <c r="H7" s="309"/>
      <c r="I7" s="3320"/>
      <c r="J7" s="311"/>
      <c r="K7" s="312"/>
      <c r="L7" s="307" t="s">
        <v>1371</v>
      </c>
      <c r="M7" s="308">
        <f ca="1">F7</f>
        <v>17349.86</v>
      </c>
    </row>
    <row r="8" spans="1:37" ht="18" customHeight="1">
      <c r="A8" s="309"/>
      <c r="B8" s="3320"/>
      <c r="C8" s="311"/>
      <c r="D8" s="312"/>
      <c r="E8" s="307" t="s">
        <v>1372</v>
      </c>
      <c r="F8" s="308">
        <f ca="1">INDIRECT("'数据-取费表'!ai"&amp;$G$1)</f>
        <v>365</v>
      </c>
      <c r="G8" s="1566"/>
      <c r="H8" s="309"/>
      <c r="I8" s="3320"/>
      <c r="J8" s="311"/>
      <c r="K8" s="312"/>
      <c r="L8" s="307" t="s">
        <v>1372</v>
      </c>
      <c r="M8" s="308">
        <f ca="1">INDIRECT("'数据-取费表'!ai"&amp;$G$1)</f>
        <v>365</v>
      </c>
    </row>
    <row r="9" spans="1:37" ht="18" customHeight="1">
      <c r="A9" s="309"/>
      <c r="B9" s="3321"/>
      <c r="C9" s="311"/>
      <c r="D9" s="312"/>
      <c r="E9" s="307" t="s">
        <v>1373</v>
      </c>
      <c r="F9" s="317">
        <f ca="1">INDIRECT("'数据-取费表'!w"&amp;$G$1)</f>
        <v>0.1</v>
      </c>
      <c r="G9" s="1566"/>
      <c r="H9" s="309"/>
      <c r="I9" s="3321"/>
      <c r="J9" s="311"/>
      <c r="K9" s="312"/>
      <c r="L9" s="318" t="s">
        <v>1373</v>
      </c>
      <c r="M9" s="319">
        <f ca="1">INDIRECT("'数据-取费表'!ab"&amp;$G$1)</f>
        <v>0</v>
      </c>
    </row>
    <row r="10" spans="1:37" ht="18" customHeight="1">
      <c r="A10" s="1200" t="s">
        <v>1007</v>
      </c>
      <c r="B10" s="1547" t="s">
        <v>1374</v>
      </c>
      <c r="C10" s="321">
        <f ca="1">ROUND(IF(F10="押一",C6/12*F11,IF(F10="押二",C6/12*2*F11,IF(F10="押三",C6/12*3*F11,C11*F11))),0)</f>
        <v>1</v>
      </c>
      <c r="D10" s="1548" t="s">
        <v>2859</v>
      </c>
      <c r="E10" s="318" t="s">
        <v>1375</v>
      </c>
      <c r="F10" s="1275" t="s">
        <v>3077</v>
      </c>
      <c r="G10" s="1566"/>
      <c r="H10" s="1200" t="s">
        <v>1007</v>
      </c>
      <c r="I10" s="1547" t="s">
        <v>1374</v>
      </c>
      <c r="J10" s="306">
        <f ca="1">ROUND(IF(M10="押一",J6/12*M11,IF(M10="押二",J6/12*2*M11,IF(M10="押三",J6/12*3*M11,J11*M11))),0)</f>
        <v>0</v>
      </c>
      <c r="K10" s="1548" t="s">
        <v>2858</v>
      </c>
      <c r="L10" s="318" t="s">
        <v>1375</v>
      </c>
      <c r="M10" s="1275"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5023</v>
      </c>
      <c r="D13" s="1240" t="s">
        <v>1380</v>
      </c>
      <c r="E13" s="1240" t="s">
        <v>1381</v>
      </c>
      <c r="F13" s="1241">
        <f ca="1">INDIRECT("'数据-取费表'!y"&amp;$G$1)</f>
        <v>0.73</v>
      </c>
      <c r="G13" s="1566"/>
      <c r="H13" s="1238">
        <v>2</v>
      </c>
      <c r="I13" s="1239" t="s">
        <v>1379</v>
      </c>
      <c r="J13" s="1199">
        <f ca="1">ROUND(J14*J15,0)</f>
        <v>0</v>
      </c>
      <c r="K13" s="1246" t="s">
        <v>1380</v>
      </c>
      <c r="L13" s="1574"/>
      <c r="M13" s="1575"/>
    </row>
    <row r="14" spans="1:37" ht="18" customHeight="1">
      <c r="A14" s="1112" t="s">
        <v>1002</v>
      </c>
      <c r="B14" s="307" t="s">
        <v>1382</v>
      </c>
      <c r="C14" s="323">
        <f ca="1">INDIRECT("'数据-取费表'!m"&amp;$G$1)+INDIRECT("'数据-取费表'!t"&amp;$G$1)</f>
        <v>5205</v>
      </c>
      <c r="D14" s="1527" t="s">
        <v>1383</v>
      </c>
      <c r="E14" s="1524"/>
      <c r="F14" s="324"/>
      <c r="G14" s="1566"/>
      <c r="H14" s="1112" t="s">
        <v>1003</v>
      </c>
      <c r="I14" s="307" t="s">
        <v>1384</v>
      </c>
      <c r="J14" s="24">
        <f ca="1">C29</f>
        <v>6881</v>
      </c>
      <c r="K14" s="15"/>
      <c r="L14" s="915"/>
      <c r="M14" s="916"/>
    </row>
    <row r="15" spans="1:37" s="1579" customFormat="1" ht="18" customHeight="1" thickBot="1">
      <c r="A15" s="1112" t="s">
        <v>1004</v>
      </c>
      <c r="B15" s="307" t="s">
        <v>1385</v>
      </c>
      <c r="C15" s="24">
        <f ca="1">ROUND(C14*F15,0)</f>
        <v>156</v>
      </c>
      <c r="D15" s="325" t="s">
        <v>1386</v>
      </c>
      <c r="E15" s="325" t="s">
        <v>1387</v>
      </c>
      <c r="F15" s="326">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6"/>
      <c r="H16" s="1238" t="s">
        <v>998</v>
      </c>
      <c r="I16" s="1239" t="s">
        <v>1389</v>
      </c>
      <c r="J16" s="315">
        <f ca="1">ROUND(J17+J22+J23+J24,0)</f>
        <v>297</v>
      </c>
      <c r="K16" s="1246" t="s">
        <v>1390</v>
      </c>
      <c r="L16" s="1247"/>
      <c r="M16" s="1203"/>
    </row>
    <row r="17" spans="1:37" s="1579" customFormat="1" ht="18" customHeight="1">
      <c r="A17" s="1112" t="s">
        <v>1355</v>
      </c>
      <c r="B17" s="307" t="s">
        <v>1391</v>
      </c>
      <c r="C17" s="24">
        <f ca="1">ROUND(F17*(F43+INDIRECT("'数据-取费表'!S"&amp;$G$1))/10000,0)</f>
        <v>347</v>
      </c>
      <c r="D17" s="307" t="s">
        <v>1392</v>
      </c>
      <c r="E17" s="307" t="s">
        <v>1393</v>
      </c>
      <c r="F17" s="26">
        <f>'数据-取费表'!B35</f>
        <v>200</v>
      </c>
      <c r="G17" s="1578"/>
      <c r="H17" s="1112" t="s">
        <v>1003</v>
      </c>
      <c r="I17" s="307" t="s">
        <v>1394</v>
      </c>
      <c r="J17" s="2532">
        <f ca="1">ROUND(IF(AND(项目基本情况!B11="自然人",项目基本情况!B10="北京市"),J6*M17/(1+'数据-取费表'!C42),J18+J19+J20),0)</f>
        <v>91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78</v>
      </c>
      <c r="D18" s="307" t="s">
        <v>1386</v>
      </c>
      <c r="E18" s="307" t="s">
        <v>1387</v>
      </c>
      <c r="F18" s="327">
        <f>'数据-取费表'!B36</f>
        <v>1.4999999999999999E-2</v>
      </c>
      <c r="G18" s="1578"/>
      <c r="H18" s="1112" t="s">
        <v>1002</v>
      </c>
      <c r="I18" s="307" t="s">
        <v>1398</v>
      </c>
      <c r="J18" s="24">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5786</v>
      </c>
      <c r="D19" s="135" t="s">
        <v>1401</v>
      </c>
      <c r="E19" s="1542"/>
      <c r="F19" s="26"/>
      <c r="G19" s="1566"/>
      <c r="H19" s="1112" t="s">
        <v>1004</v>
      </c>
      <c r="I19" s="307" t="s">
        <v>1402</v>
      </c>
      <c r="J19" s="24">
        <f ca="1">IF(K19="按租金收入计税",ROUND(J6*M19/(1+'数据-取费表'!C42),2),ROUND(C29*M19*0.7,2))</f>
        <v>57.8</v>
      </c>
      <c r="K19" s="1552" t="s">
        <v>1403</v>
      </c>
      <c r="L19" s="307" t="s">
        <v>1387</v>
      </c>
      <c r="M19" s="327">
        <f>IF(K19="按租金收入计税",'数据-取费表'!B51,'数据-取费表'!B50)</f>
        <v>1.2E-2</v>
      </c>
    </row>
    <row r="20" spans="1:37" s="1579" customFormat="1" ht="18" customHeight="1">
      <c r="A20" s="1112" t="s">
        <v>1007</v>
      </c>
      <c r="B20" s="307" t="s">
        <v>1404</v>
      </c>
      <c r="C20" s="24">
        <f ca="1">ROUND(C19*F20,0)</f>
        <v>58</v>
      </c>
      <c r="D20" s="328" t="s">
        <v>1405</v>
      </c>
      <c r="E20" s="307" t="s">
        <v>1387</v>
      </c>
      <c r="F20" s="327">
        <f>'数据-取费表'!B37</f>
        <v>0.01</v>
      </c>
      <c r="G20" s="1578"/>
      <c r="H20" s="1112" t="s">
        <v>1354</v>
      </c>
      <c r="I20" s="159" t="s">
        <v>1406</v>
      </c>
      <c r="J20" s="25">
        <f ca="1">ROUND(M20*M21/10000,2)</f>
        <v>32.92</v>
      </c>
      <c r="K20" s="329" t="s">
        <v>1407</v>
      </c>
      <c r="L20" s="307" t="s">
        <v>1408</v>
      </c>
      <c r="M20" s="330">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18</v>
      </c>
      <c r="D21" s="328" t="s">
        <v>1410</v>
      </c>
      <c r="E21" s="307" t="s">
        <v>1411</v>
      </c>
      <c r="F21" s="327">
        <f>'数据-取费表'!B38</f>
        <v>0.01</v>
      </c>
      <c r="G21" s="1578"/>
      <c r="H21" s="331"/>
      <c r="I21" s="316"/>
      <c r="J21" s="29"/>
      <c r="K21" s="332"/>
      <c r="L21" s="307" t="s">
        <v>1412</v>
      </c>
      <c r="M21" s="308">
        <f ca="1">INDIRECT("'数据-取费表'!r"&amp;$G$1)</f>
        <v>18286.599999999999</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2"/>
      <c r="F22" s="26"/>
      <c r="G22" s="1566"/>
      <c r="H22" s="1112" t="s">
        <v>1007</v>
      </c>
      <c r="I22" s="307" t="s">
        <v>1414</v>
      </c>
      <c r="J22" s="24">
        <f ca="1">ROUND(J14*M22,1)</f>
        <v>206.4</v>
      </c>
      <c r="K22" s="1526" t="s">
        <v>1415</v>
      </c>
      <c r="L22" s="307" t="s">
        <v>1387</v>
      </c>
      <c r="M22" s="333">
        <f ca="1">INDIRECT("'数据-取费表'!Ak"&amp;$G$1)</f>
        <v>0.03</v>
      </c>
    </row>
    <row r="23" spans="1:37" s="1579" customFormat="1" ht="18" customHeight="1">
      <c r="A23" s="1112" t="s">
        <v>1002</v>
      </c>
      <c r="B23" s="307" t="s">
        <v>1416</v>
      </c>
      <c r="C23" s="24">
        <f ca="1">IF('数据-取费表'!B22&lt;=1,ROUND(C19*F24*F23/2,0)+ROUND(C20*F24*F23/2,0),ROUND(C19*(POWER((1+F24),F23/2)-1),0)+ROUND(C20*(POWER((1+F24),F23/2)-1),0))</f>
        <v>127</v>
      </c>
      <c r="D23" s="334" t="str">
        <f>IF(F23&lt;=1,"(建造成本+管理费用)×利率×(建设周期÷2)","(建造成本+管理费用)×((1+利率)^(建设周期÷2)-1)")</f>
        <v>(建造成本+管理费用)×利率×(建设周期÷2)</v>
      </c>
      <c r="E23" s="307" t="s">
        <v>1417</v>
      </c>
      <c r="F23" s="330">
        <f>'数据-取费表'!B20</f>
        <v>1</v>
      </c>
      <c r="G23" s="1578"/>
      <c r="H23" s="1112" t="s">
        <v>1043</v>
      </c>
      <c r="I23" s="307" t="s">
        <v>1418</v>
      </c>
      <c r="J23" s="24">
        <f ca="1">ROUND(J13*M23,1)</f>
        <v>0</v>
      </c>
      <c r="K23" s="1526" t="s">
        <v>1419</v>
      </c>
      <c r="L23" s="307" t="s">
        <v>1420</v>
      </c>
      <c r="M23" s="335">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 ca="1">ROUND(IF('数据-取费表'!B22&lt;=1,F21*F24*F23/2,F21*(POWER((1+F24),F23/2)-1)),4)</f>
        <v>2.0000000000000001E-4</v>
      </c>
      <c r="D24" s="334" t="str">
        <f>IF(F23&lt;=1,"销售费用×利率×(建设周期÷2)","销售费用×((1+利率)^(建设周期÷2)-1)")</f>
        <v>销售费用×利率×(建设周期÷2)</v>
      </c>
      <c r="E24" s="307" t="s">
        <v>1423</v>
      </c>
      <c r="F24" s="336">
        <f ca="1">'数据-取费表'!B40</f>
        <v>4.3499999999999997E-2</v>
      </c>
      <c r="G24" s="1578"/>
      <c r="H24" s="1248" t="s">
        <v>1358</v>
      </c>
      <c r="I24" s="1249" t="s">
        <v>1404</v>
      </c>
      <c r="J24" s="1250">
        <f ca="1">ROUND(J5*M24,1)</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4"/>
      <c r="D25" s="135" t="s">
        <v>1427</v>
      </c>
      <c r="E25" s="1542"/>
      <c r="F25" s="26"/>
      <c r="G25" s="1566"/>
      <c r="H25" s="1238" t="s">
        <v>999</v>
      </c>
      <c r="I25" s="1253" t="s">
        <v>1428</v>
      </c>
      <c r="J25" s="315">
        <f ca="1">J5-J16</f>
        <v>-297</v>
      </c>
      <c r="K25" s="1254" t="s">
        <v>1429</v>
      </c>
      <c r="L25" s="1255"/>
      <c r="M25" s="1256"/>
    </row>
    <row r="26" spans="1:37">
      <c r="A26" s="1112" t="s">
        <v>1002</v>
      </c>
      <c r="B26" s="307" t="s">
        <v>1430</v>
      </c>
      <c r="C26" s="24">
        <f ca="1">ROUND((C19+C20)*F26,0)</f>
        <v>468</v>
      </c>
      <c r="D26" s="328" t="s">
        <v>1431</v>
      </c>
      <c r="E26" s="318" t="s">
        <v>1432</v>
      </c>
      <c r="F26" s="317">
        <f ca="1">INDIRECT("'数据-取费表'!q"&amp;$G$1)</f>
        <v>0.08</v>
      </c>
      <c r="G26" s="1566"/>
      <c r="H26" s="304" t="s">
        <v>1000</v>
      </c>
      <c r="I26" s="305" t="s">
        <v>1433</v>
      </c>
      <c r="J26" s="306">
        <f ca="1">IF(J5&lt;&gt;0,ROUND(J25*(1-((1+M28)/(1+M26))^M27)/(M26-M28),0),0)</f>
        <v>0</v>
      </c>
      <c r="K26" s="329" t="s">
        <v>1434</v>
      </c>
      <c r="L26" s="307" t="s">
        <v>1435</v>
      </c>
      <c r="M26" s="317">
        <f ca="1">INDIRECT("'数据-取费表'!I"&amp;$G$1)</f>
        <v>0.06</v>
      </c>
    </row>
    <row r="27" spans="1:37" ht="18" customHeight="1">
      <c r="A27" s="1112" t="s">
        <v>1004</v>
      </c>
      <c r="B27" s="307" t="s">
        <v>1436</v>
      </c>
      <c r="C27" s="24">
        <f ca="1">ROUND(F21*F26,4)</f>
        <v>8.0000000000000004E-4</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6881</v>
      </c>
      <c r="D29" s="1251"/>
      <c r="E29" s="1249"/>
      <c r="F29" s="1252"/>
      <c r="G29" s="1578"/>
      <c r="H29" s="339" t="s">
        <v>1001</v>
      </c>
      <c r="I29" s="340" t="s">
        <v>1444</v>
      </c>
      <c r="J29" s="341">
        <f ca="1">ROUND(J26/(1+F40)^F41,0)</f>
        <v>0</v>
      </c>
      <c r="K29" s="342" t="s">
        <v>1445</v>
      </c>
      <c r="L29" s="343"/>
      <c r="M29" s="344">
        <f ca="1">INDIRECT("'数据-取费表'!k"&amp;$G$1)</f>
        <v>17349.86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452</v>
      </c>
      <c r="D30" s="1246" t="s">
        <v>1390</v>
      </c>
      <c r="E30" s="1247"/>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214</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4">
        <f ca="1">IF(项目基本情况!B11="自然人","——",ROUND(C6*F32/(1+'数据-取费表'!C42),2))</f>
        <v>57.76</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4">
        <f ca="1">IF(项目基本情况!B11="自然人","——",IF(D33="按租金收入计税",ROUND(C6*F33/(1+'数据-取费表'!C42),2),IF(D33="按房产原值计税",ROUND(C29*F33*0.7,2),INDIRECT("'数据-取费表'!Aj"&amp;$G$1))))</f>
        <v>123.77</v>
      </c>
      <c r="D33" s="1552" t="s">
        <v>3078</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5">
        <f ca="1">IF(项目基本情况!B11="自然人","——",ROUND(F34*F35/10000,2))</f>
        <v>32.92</v>
      </c>
      <c r="D34" s="329" t="s">
        <v>1407</v>
      </c>
      <c r="E34" s="307" t="s">
        <v>1408</v>
      </c>
      <c r="F34" s="330">
        <f>'数据-取费表'!B52</f>
        <v>18</v>
      </c>
      <c r="G34" s="1566"/>
      <c r="H34" s="2924"/>
      <c r="I34" s="1580"/>
      <c r="J34" s="1581"/>
      <c r="K34" s="2929"/>
      <c r="L34" s="2930"/>
      <c r="M34" s="2930"/>
    </row>
    <row r="35" spans="1:18" ht="18" customHeight="1">
      <c r="A35" s="1262"/>
      <c r="B35" s="1260"/>
      <c r="C35" s="29"/>
      <c r="D35" s="332"/>
      <c r="E35" s="307" t="s">
        <v>1412</v>
      </c>
      <c r="F35" s="308">
        <f ca="1">INDIRECT("'数据-取费表'!r"&amp;$G$1)</f>
        <v>18286.599999999999</v>
      </c>
      <c r="G35" s="1566"/>
      <c r="H35" s="2924"/>
      <c r="I35" s="1580"/>
      <c r="J35" s="1581"/>
      <c r="K35" s="2928"/>
      <c r="L35" s="2927"/>
      <c r="M35" s="2927"/>
    </row>
    <row r="36" spans="1:18" ht="18" customHeight="1">
      <c r="A36" s="1261" t="s">
        <v>1007</v>
      </c>
      <c r="B36" s="307" t="s">
        <v>1414</v>
      </c>
      <c r="C36" s="24">
        <f ca="1">ROUND(C29*F36,1)</f>
        <v>206.4</v>
      </c>
      <c r="D36" s="1526" t="s">
        <v>1447</v>
      </c>
      <c r="E36" s="307" t="s">
        <v>1387</v>
      </c>
      <c r="F36" s="333">
        <f ca="1">INDIRECT("'数据-取费表'!Ak"&amp;$G$1)</f>
        <v>0.03</v>
      </c>
      <c r="G36" s="1566"/>
      <c r="H36" s="2927"/>
      <c r="I36" s="1580"/>
      <c r="J36" s="1581"/>
      <c r="K36" s="2768"/>
      <c r="L36" s="2927"/>
      <c r="M36" s="2927"/>
    </row>
    <row r="37" spans="1:18" ht="18" customHeight="1">
      <c r="A37" s="1112" t="s">
        <v>1043</v>
      </c>
      <c r="B37" s="307" t="s">
        <v>1418</v>
      </c>
      <c r="C37" s="24">
        <f ca="1">ROUND(C13*F37,1)</f>
        <v>10</v>
      </c>
      <c r="D37" s="1526" t="s">
        <v>1419</v>
      </c>
      <c r="E37" s="307" t="s">
        <v>1420</v>
      </c>
      <c r="F37" s="335">
        <f ca="1">INDIRECT("'数据-取费表'!Al"&amp;$G$1)</f>
        <v>2E-3</v>
      </c>
      <c r="G37" s="1566"/>
      <c r="H37" s="2927"/>
      <c r="I37" s="1580"/>
      <c r="J37" s="1581"/>
      <c r="K37" s="2768"/>
      <c r="L37" s="2927"/>
      <c r="M37" s="2927"/>
    </row>
    <row r="38" spans="1:18" ht="18" customHeight="1" thickBot="1">
      <c r="A38" s="1248" t="s">
        <v>1358</v>
      </c>
      <c r="B38" s="1249" t="s">
        <v>1404</v>
      </c>
      <c r="C38" s="1250">
        <f ca="1">ROUND(C5*F38,1)</f>
        <v>21.7</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5">
        <f ca="1">C5-C30</f>
        <v>632</v>
      </c>
      <c r="D39" s="1254" t="s">
        <v>1449</v>
      </c>
      <c r="E39" s="1255"/>
      <c r="F39" s="1256"/>
      <c r="G39" s="1566"/>
      <c r="H39" s="2927"/>
      <c r="I39" s="1580"/>
      <c r="J39" s="1581"/>
      <c r="K39" s="2931"/>
      <c r="L39" s="2927"/>
      <c r="M39" s="2927"/>
    </row>
    <row r="40" spans="1:18" ht="18" customHeight="1">
      <c r="A40" s="304" t="s">
        <v>1000</v>
      </c>
      <c r="B40" s="305" t="s">
        <v>1450</v>
      </c>
      <c r="C40" s="306">
        <f ca="1">ROUND(C39*(1-((1+F42)/(1+F40))^F41)/(F40-F42),0)</f>
        <v>9071</v>
      </c>
      <c r="D40" s="329" t="s">
        <v>1434</v>
      </c>
      <c r="E40" s="307" t="s">
        <v>1435</v>
      </c>
      <c r="F40" s="317">
        <f ca="1">INDIRECT("'数据-取费表'!I"&amp;$G$1)</f>
        <v>0.06</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22.19</v>
      </c>
      <c r="G41" s="1566"/>
      <c r="H41" s="1351"/>
      <c r="I41" s="1580"/>
      <c r="J41" s="1581"/>
      <c r="K41" s="2768"/>
      <c r="L41" s="1351"/>
      <c r="M41" s="1351"/>
    </row>
    <row r="42" spans="1:18" ht="18" customHeight="1">
      <c r="A42" s="313"/>
      <c r="B42" s="314"/>
      <c r="C42" s="315"/>
      <c r="D42" s="332"/>
      <c r="E42" s="307" t="s">
        <v>1442</v>
      </c>
      <c r="F42" s="317">
        <f ca="1">INDIRECT("'数据-取费表'!v"&amp;$G$1)</f>
        <v>0.02</v>
      </c>
      <c r="G42" s="1566"/>
      <c r="H42" s="1351"/>
      <c r="I42" s="1580"/>
      <c r="J42" s="1581"/>
      <c r="K42" s="2768"/>
      <c r="L42" s="1351"/>
      <c r="M42" s="1351"/>
    </row>
    <row r="43" spans="1:18" ht="18" customHeight="1" thickBot="1">
      <c r="A43" s="339" t="s">
        <v>1001</v>
      </c>
      <c r="B43" s="340" t="s">
        <v>1452</v>
      </c>
      <c r="C43" s="341">
        <f ca="1">ROUND(C40*10000/F43,0)</f>
        <v>5228</v>
      </c>
      <c r="D43" s="342" t="s">
        <v>1453</v>
      </c>
      <c r="E43" s="343" t="s">
        <v>1454</v>
      </c>
      <c r="F43" s="344">
        <f ca="1">INDIRECT("'数据-取费表'!k"&amp;$G$1)</f>
        <v>17349.86</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-19072</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t="s">
        <v>3079</v>
      </c>
      <c r="K47" s="1598" t="s">
        <v>1492</v>
      </c>
      <c r="L47" s="1599">
        <f ca="1">INDIRECT("'数据-取费表'!d"&amp;$G$1)</f>
        <v>40</v>
      </c>
      <c r="M47" s="1562" t="str">
        <f>IF(ISNUMBER(FIND("住宅",C1)),"住宅","非住宅")</f>
        <v>非住宅</v>
      </c>
      <c r="O47" s="1600" t="s">
        <v>1008</v>
      </c>
      <c r="P47" s="1601" t="s">
        <v>1493</v>
      </c>
      <c r="Q47" s="1602">
        <f ca="1">C40+J29</f>
        <v>9071</v>
      </c>
      <c r="R47" s="1602" t="s">
        <v>1494</v>
      </c>
    </row>
    <row r="48" spans="1:18" s="1566" customFormat="1" ht="28.5" thickBot="1">
      <c r="A48" s="1269" t="s">
        <v>1103</v>
      </c>
      <c r="B48" s="305" t="s">
        <v>1366</v>
      </c>
      <c r="C48" s="1541">
        <f ca="1">C49+C53+C55</f>
        <v>0</v>
      </c>
      <c r="D48" s="1271"/>
      <c r="E48" s="1272"/>
      <c r="F48" s="1092"/>
      <c r="G48" s="730"/>
      <c r="H48" s="731"/>
      <c r="I48" s="1603" t="s">
        <v>1495</v>
      </c>
      <c r="J48" s="1604" t="s">
        <v>3080</v>
      </c>
      <c r="K48" s="1605" t="s">
        <v>1496</v>
      </c>
      <c r="L48" s="1606">
        <f ca="1">INDIRECT("'数据-取费表'!f"&amp;$G$1)</f>
        <v>22.19</v>
      </c>
      <c r="O48" s="1600" t="s">
        <v>1009</v>
      </c>
      <c r="P48" s="1601" t="s">
        <v>1497</v>
      </c>
      <c r="Q48" s="1602" t="str">
        <f ca="1">J60</f>
        <v>0</v>
      </c>
      <c r="R48" s="1602" t="s">
        <v>1498</v>
      </c>
    </row>
    <row r="49" spans="1:18" s="1566" customFormat="1" ht="13.5" thickBot="1">
      <c r="A49" s="1105" t="s">
        <v>1104</v>
      </c>
      <c r="B49" s="1553" t="s">
        <v>1455</v>
      </c>
      <c r="C49" s="1273">
        <f ca="1">ROUND(F49*F51*F50*(1-F52)/10000,0)</f>
        <v>0</v>
      </c>
      <c r="D49" s="1185" t="s">
        <v>2852</v>
      </c>
      <c r="E49" s="1554" t="s">
        <v>1456</v>
      </c>
      <c r="F49" s="1190"/>
      <c r="G49" s="1607"/>
      <c r="H49" s="731"/>
      <c r="I49" s="1603" t="s">
        <v>1499</v>
      </c>
      <c r="J49" s="1608">
        <v>2005</v>
      </c>
      <c r="K49" s="1605" t="s">
        <v>1500</v>
      </c>
      <c r="L49" s="1609"/>
      <c r="O49" s="1610" t="s">
        <v>1010</v>
      </c>
      <c r="P49" s="1601" t="s">
        <v>1501</v>
      </c>
      <c r="Q49" s="1602">
        <f ca="1">C29</f>
        <v>6881</v>
      </c>
      <c r="R49" s="1602" t="s">
        <v>1494</v>
      </c>
    </row>
    <row r="50" spans="1:18" s="1566" customFormat="1" ht="13.5" thickBot="1">
      <c r="A50" s="1106"/>
      <c r="B50" s="1109"/>
      <c r="C50" s="1277"/>
      <c r="D50" s="1083"/>
      <c r="E50" s="1186" t="s">
        <v>1371</v>
      </c>
      <c r="F50" s="1187">
        <f ca="1">F7</f>
        <v>17349.86</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365</v>
      </c>
      <c r="I51" s="1614" t="s">
        <v>1505</v>
      </c>
      <c r="J51" s="1615">
        <f>IF(J49="",J50,J49+J50-YEAR('数据-取费表'!B2))</f>
        <v>44</v>
      </c>
      <c r="K51" s="1616" t="s">
        <v>1506</v>
      </c>
      <c r="L51" s="1617">
        <f ca="1">ROUND(-PV(INDIRECT("'数据-取费表'!h"&amp;$G$1),J51,(C39-C13*C76),0),0)</f>
        <v>3375</v>
      </c>
      <c r="M51" s="1618"/>
      <c r="O51" s="1610" t="s">
        <v>1012</v>
      </c>
      <c r="P51" s="1601" t="s">
        <v>1507</v>
      </c>
      <c r="Q51" s="1613">
        <f>J52</f>
        <v>0.09</v>
      </c>
      <c r="R51" s="1602"/>
    </row>
    <row r="52" spans="1:18" s="1566" customFormat="1" ht="13.5" thickBot="1">
      <c r="A52" s="1107"/>
      <c r="B52" s="1109"/>
      <c r="C52" s="1110"/>
      <c r="D52" s="1083"/>
      <c r="E52" s="1111" t="s">
        <v>1373</v>
      </c>
      <c r="F52" s="1184"/>
      <c r="I52" s="1619" t="s">
        <v>1508</v>
      </c>
      <c r="J52" s="1620">
        <v>0.09</v>
      </c>
      <c r="K52" s="1619" t="s">
        <v>1509</v>
      </c>
      <c r="L52" s="1620"/>
      <c r="O52" s="1610" t="s">
        <v>1013</v>
      </c>
      <c r="P52" s="1601" t="s">
        <v>1510</v>
      </c>
      <c r="Q52" s="1602">
        <f ca="1">J53</f>
        <v>22.19</v>
      </c>
      <c r="R52" s="1602" t="s">
        <v>1511</v>
      </c>
    </row>
    <row r="53" spans="1:18" s="1566" customFormat="1" ht="24.75" thickBot="1">
      <c r="A53" s="1313" t="s">
        <v>1105</v>
      </c>
      <c r="B53" s="1555" t="s">
        <v>1374</v>
      </c>
      <c r="C53" s="321">
        <f ca="1">ROUND(IF(F53="押一",C49/12*F11,IF(F53="押二",C49/12*2*F11,IF(F53="押三",C49/12*3*F11,C54*F11))),0)</f>
        <v>0</v>
      </c>
      <c r="D53" s="1548" t="s">
        <v>2858</v>
      </c>
      <c r="E53" s="318" t="s">
        <v>1375</v>
      </c>
      <c r="F53" s="1275"/>
      <c r="I53" s="1621" t="s">
        <v>1512</v>
      </c>
      <c r="J53" s="2384">
        <f ca="1">IF(M47="住宅",IF(D1="——",MAX(J51,L48),MAX(J51,L48-'数据-取费表'!B24)),IF(D1="——",MIN(J51,L48),MIN(J51,L48-'数据-取费表'!B24)))</f>
        <v>22.19</v>
      </c>
      <c r="K53" s="3317" t="s">
        <v>1513</v>
      </c>
      <c r="L53" s="3318"/>
      <c r="O53" s="1600" t="s">
        <v>1014</v>
      </c>
      <c r="P53" s="1601" t="s">
        <v>1514</v>
      </c>
      <c r="Q53" s="1602">
        <f ca="1">Q47+Q48</f>
        <v>9071</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5023</v>
      </c>
      <c r="D56" s="1629"/>
      <c r="E56" s="1630"/>
      <c r="F56" s="1622"/>
      <c r="I56" s="1631" t="s">
        <v>1519</v>
      </c>
      <c r="J56" s="1632" t="s">
        <v>3070</v>
      </c>
      <c r="K56" s="1603" t="s">
        <v>1520</v>
      </c>
      <c r="L56" s="1606" t="str">
        <f ca="1">IF(L48&lt;J51,"——",L48-J53)</f>
        <v>——</v>
      </c>
      <c r="O56" s="1600" t="s">
        <v>1008</v>
      </c>
      <c r="P56" s="1601" t="s">
        <v>1493</v>
      </c>
      <c r="Q56" s="1602">
        <f ca="1">C40+J29</f>
        <v>9071</v>
      </c>
      <c r="R56" s="1602" t="s">
        <v>1494</v>
      </c>
    </row>
    <row r="57" spans="1:18" s="1566" customFormat="1" ht="24.75" thickBot="1">
      <c r="A57" s="1633"/>
      <c r="B57" s="1080" t="s">
        <v>1443</v>
      </c>
      <c r="C57" s="243">
        <f ca="1">C29</f>
        <v>6881</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827</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611</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578</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32.92</v>
      </c>
      <c r="D62" s="1095" t="s">
        <v>1462</v>
      </c>
      <c r="E62" s="1080" t="s">
        <v>1463</v>
      </c>
      <c r="F62" s="330">
        <f t="shared" si="0"/>
        <v>18</v>
      </c>
      <c r="I62" s="1644" t="s">
        <v>1535</v>
      </c>
      <c r="J62" s="1645" t="s">
        <v>1536</v>
      </c>
      <c r="K62" s="1645" t="s">
        <v>1537</v>
      </c>
      <c r="L62" s="1645" t="s">
        <v>1538</v>
      </c>
      <c r="M62" s="1646" t="s">
        <v>1539</v>
      </c>
      <c r="O62" s="1600" t="s">
        <v>1014</v>
      </c>
      <c r="P62" s="1601" t="s">
        <v>1540</v>
      </c>
      <c r="Q62" s="1602">
        <f ca="1">Q56+Q57</f>
        <v>9071</v>
      </c>
      <c r="R62" s="1602" t="s">
        <v>1015</v>
      </c>
    </row>
    <row r="63" spans="1:18" s="1566" customFormat="1" ht="13.5" thickBot="1">
      <c r="A63" s="331"/>
      <c r="B63" s="1086"/>
      <c r="C63" s="29"/>
      <c r="D63" s="1096"/>
      <c r="E63" s="1080" t="s">
        <v>1464</v>
      </c>
      <c r="F63" s="308">
        <f t="shared" ca="1" si="0"/>
        <v>18286.599999999999</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206.4</v>
      </c>
      <c r="D64" s="1094" t="s">
        <v>1467</v>
      </c>
      <c r="E64" s="1080" t="s">
        <v>1459</v>
      </c>
      <c r="F64" s="333">
        <f t="shared" ca="1" si="0"/>
        <v>0.03</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10</v>
      </c>
      <c r="D65" s="1094" t="s">
        <v>1419</v>
      </c>
      <c r="E65" s="1080" t="s">
        <v>1420</v>
      </c>
      <c r="F65" s="335">
        <f t="shared" ca="1" si="0"/>
        <v>2E-3</v>
      </c>
      <c r="I65" s="1644" t="s">
        <v>1544</v>
      </c>
      <c r="J65" s="1645">
        <v>40</v>
      </c>
      <c r="K65" s="1645">
        <v>30</v>
      </c>
      <c r="L65" s="1645">
        <v>50</v>
      </c>
      <c r="M65" s="1647">
        <v>0.02</v>
      </c>
      <c r="O65" s="1600" t="s">
        <v>1008</v>
      </c>
      <c r="P65" s="1601" t="s">
        <v>1545</v>
      </c>
      <c r="Q65" s="1602">
        <f ca="1">C40+J29</f>
        <v>9071</v>
      </c>
      <c r="R65" s="1602" t="s">
        <v>1494</v>
      </c>
    </row>
    <row r="66" spans="1:18" s="1566" customFormat="1" ht="16.5" thickBot="1">
      <c r="A66" s="1112" t="s">
        <v>1469</v>
      </c>
      <c r="B66" s="1080" t="s">
        <v>1404</v>
      </c>
      <c r="C66" s="24">
        <f ca="1">ROUND(C48*F66,1)</f>
        <v>0</v>
      </c>
      <c r="D66" s="1094" t="s">
        <v>1470</v>
      </c>
      <c r="E66" s="1080" t="s">
        <v>1387</v>
      </c>
      <c r="F66" s="317">
        <f t="shared" ca="1" si="0"/>
        <v>0.02</v>
      </c>
      <c r="O66" s="1600" t="s">
        <v>1009</v>
      </c>
      <c r="P66" s="1601" t="s">
        <v>1523</v>
      </c>
      <c r="Q66" s="1602">
        <f ca="1">L60</f>
        <v>0</v>
      </c>
      <c r="R66" s="1602" t="s">
        <v>1546</v>
      </c>
    </row>
    <row r="67" spans="1:18" s="1566" customFormat="1" ht="16.5" thickBot="1">
      <c r="A67" s="1087" t="s">
        <v>999</v>
      </c>
      <c r="B67" s="1097" t="s">
        <v>1428</v>
      </c>
      <c r="C67" s="321">
        <f ca="1">C48-C58</f>
        <v>-827</v>
      </c>
      <c r="D67" s="1093" t="s">
        <v>1429</v>
      </c>
      <c r="E67" s="1098"/>
      <c r="F67" s="1099"/>
      <c r="O67" s="1610" t="s">
        <v>1010</v>
      </c>
      <c r="P67" s="1601" t="s">
        <v>1527</v>
      </c>
      <c r="Q67" s="1648">
        <f ca="1">L51</f>
        <v>3375</v>
      </c>
      <c r="R67" s="1602" t="s">
        <v>1547</v>
      </c>
    </row>
    <row r="68" spans="1:18" s="1566" customFormat="1" ht="16.5" thickBot="1">
      <c r="A68" s="1077" t="s">
        <v>1000</v>
      </c>
      <c r="B68" s="1078" t="s">
        <v>1450</v>
      </c>
      <c r="C68" s="306">
        <f ca="1">ROUND(C67*(1-((1+F70)/(1+F68))^F69)/(F68-F70),0)</f>
        <v>-10001</v>
      </c>
      <c r="D68" s="1095" t="s">
        <v>1434</v>
      </c>
      <c r="E68" s="1080" t="s">
        <v>1435</v>
      </c>
      <c r="F68" s="317">
        <f ca="1">F40</f>
        <v>0.06</v>
      </c>
      <c r="O68" s="1610" t="s">
        <v>1011</v>
      </c>
      <c r="P68" s="1649" t="s">
        <v>1548</v>
      </c>
      <c r="Q68" s="1602">
        <f ca="1">ROUND(Q69-Q70*Q71,0)</f>
        <v>205</v>
      </c>
      <c r="R68" s="1602" t="s">
        <v>1019</v>
      </c>
    </row>
    <row r="69" spans="1:18" s="1566" customFormat="1" ht="13.5" thickBot="1">
      <c r="A69" s="1081"/>
      <c r="B69" s="1082"/>
      <c r="C69" s="311"/>
      <c r="D69" s="1100" t="s">
        <v>1438</v>
      </c>
      <c r="E69" s="1080" t="s">
        <v>1439</v>
      </c>
      <c r="F69" s="338">
        <f ca="1">F41</f>
        <v>22.19</v>
      </c>
      <c r="O69" s="1610" t="s">
        <v>1016</v>
      </c>
      <c r="P69" s="1649" t="s">
        <v>1549</v>
      </c>
      <c r="Q69" s="1602">
        <f ca="1">C39</f>
        <v>632</v>
      </c>
      <c r="R69" s="1602" t="s">
        <v>1494</v>
      </c>
    </row>
    <row r="70" spans="1:18" s="1566" customFormat="1" ht="13.5" thickBot="1">
      <c r="A70" s="1084"/>
      <c r="B70" s="1085"/>
      <c r="C70" s="315"/>
      <c r="D70" s="1096"/>
      <c r="E70" s="1080" t="s">
        <v>1442</v>
      </c>
      <c r="F70" s="1184"/>
      <c r="O70" s="1610" t="s">
        <v>1017</v>
      </c>
      <c r="P70" s="1649" t="s">
        <v>1550</v>
      </c>
      <c r="Q70" s="1602">
        <f ca="1">C13</f>
        <v>5023</v>
      </c>
      <c r="R70" s="1602" t="s">
        <v>1494</v>
      </c>
    </row>
    <row r="71" spans="1:18" s="1566" customFormat="1" ht="13.5" thickBot="1">
      <c r="A71" s="1101" t="s">
        <v>1001</v>
      </c>
      <c r="B71" s="1102" t="s">
        <v>1452</v>
      </c>
      <c r="C71" s="341">
        <f ca="1">ROUND(C68*10000/F71,0)</f>
        <v>-5764</v>
      </c>
      <c r="D71" s="1103" t="s">
        <v>1453</v>
      </c>
      <c r="E71" s="1104" t="s">
        <v>1454</v>
      </c>
      <c r="F71" s="344">
        <f ca="1">F43</f>
        <v>17349.86</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427</v>
      </c>
      <c r="D75" s="1566"/>
      <c r="E75" s="1566"/>
      <c r="F75" s="1566"/>
      <c r="K75" s="1584"/>
      <c r="L75" s="1566"/>
      <c r="O75" s="1600" t="s">
        <v>1014</v>
      </c>
      <c r="P75" s="1601" t="s">
        <v>1514</v>
      </c>
      <c r="Q75" s="1602">
        <f ca="1">Q65+Q66</f>
        <v>9071</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0.32399999999999995</v>
      </c>
    </row>
    <row r="80" spans="1:18">
      <c r="B80" s="345" t="s">
        <v>1476</v>
      </c>
      <c r="C80" s="279">
        <f ca="1">ROUND(C75/C39,3)</f>
        <v>0.67600000000000005</v>
      </c>
    </row>
    <row r="81" spans="2:3">
      <c r="B81" s="275" t="s">
        <v>1477</v>
      </c>
      <c r="C81" s="243"/>
    </row>
    <row r="82" spans="2:3">
      <c r="B82" s="278" t="s">
        <v>1478</v>
      </c>
      <c r="C82" s="280">
        <f ca="1">1-C83</f>
        <v>0.44599999999999995</v>
      </c>
    </row>
    <row r="83" spans="2:3">
      <c r="B83" s="278" t="s">
        <v>1479</v>
      </c>
      <c r="C83" s="279">
        <f ca="1">ROUND(C13/C40,3)</f>
        <v>0.55400000000000005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19" t="s">
        <v>1368</v>
      </c>
      <c r="C6" s="1205">
        <f ca="1">ROUND(F6*F8*F7*(1-F9),0)</f>
        <v>0</v>
      </c>
      <c r="D6" s="159" t="s">
        <v>2848</v>
      </c>
      <c r="E6" s="307" t="s">
        <v>1370</v>
      </c>
      <c r="F6" s="308">
        <f ca="1">INDIRECT("'数据-取费表'!u"&amp;$G$1)</f>
        <v>0</v>
      </c>
      <c r="G6" s="1566"/>
      <c r="H6" s="1200" t="s">
        <v>1003</v>
      </c>
      <c r="I6" s="3319" t="s">
        <v>1368</v>
      </c>
      <c r="J6" s="306">
        <f ca="1">ROUND(M6*M8*M7*(1-M9),0)</f>
        <v>0</v>
      </c>
      <c r="K6" s="1558" t="s">
        <v>2849</v>
      </c>
      <c r="L6" s="307" t="s">
        <v>1370</v>
      </c>
      <c r="M6" s="308">
        <f ca="1">INDIRECT("'数据-取费表'!z"&amp;$G$1)</f>
        <v>0</v>
      </c>
    </row>
    <row r="7" spans="1:37" ht="18" customHeight="1">
      <c r="A7" s="1204"/>
      <c r="B7" s="3320"/>
      <c r="C7" s="1206"/>
      <c r="D7" s="312"/>
      <c r="E7" s="1207" t="s">
        <v>1371</v>
      </c>
      <c r="F7" s="308">
        <f ca="1">IF(INDIRECT("'数据-取费表'!ah"&amp;$G$1)="",INDIRECT("'数据-取费表'!k"&amp;$G$1),INDIRECT("'数据-取费表'!ah"&amp;$G$1))</f>
        <v>0</v>
      </c>
      <c r="G7" s="1566"/>
      <c r="H7" s="309"/>
      <c r="I7" s="3320"/>
      <c r="J7" s="311"/>
      <c r="K7" s="312"/>
      <c r="L7" s="307" t="s">
        <v>1371</v>
      </c>
      <c r="M7" s="308">
        <f ca="1">F7</f>
        <v>0</v>
      </c>
    </row>
    <row r="8" spans="1:37" ht="18" customHeight="1">
      <c r="A8" s="309"/>
      <c r="B8" s="3320"/>
      <c r="C8" s="311"/>
      <c r="D8" s="312"/>
      <c r="E8" s="307" t="s">
        <v>1372</v>
      </c>
      <c r="F8" s="308">
        <f ca="1">INDIRECT("'数据-取费表'!ai"&amp;$G$1)</f>
        <v>0</v>
      </c>
      <c r="G8" s="1566"/>
      <c r="H8" s="309"/>
      <c r="I8" s="3320"/>
      <c r="J8" s="311"/>
      <c r="K8" s="312"/>
      <c r="L8" s="307" t="s">
        <v>1372</v>
      </c>
      <c r="M8" s="308">
        <f ca="1">INDIRECT("'数据-取费表'!ai"&amp;$G$1)</f>
        <v>0</v>
      </c>
    </row>
    <row r="9" spans="1:37" ht="18" customHeight="1">
      <c r="A9" s="309"/>
      <c r="B9" s="3321"/>
      <c r="C9" s="311"/>
      <c r="D9" s="312"/>
      <c r="E9" s="307" t="s">
        <v>1373</v>
      </c>
      <c r="F9" s="317">
        <f ca="1">INDIRECT("'数据-取费表'!w"&amp;$G$1)</f>
        <v>0</v>
      </c>
      <c r="G9" s="1566"/>
      <c r="H9" s="309"/>
      <c r="I9" s="3321"/>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2858</v>
      </c>
      <c r="E10" s="318" t="s">
        <v>1375</v>
      </c>
      <c r="F10" s="1275"/>
      <c r="G10" s="1566"/>
      <c r="H10" s="1200" t="s">
        <v>1007</v>
      </c>
      <c r="I10" s="1547" t="s">
        <v>1374</v>
      </c>
      <c r="J10" s="306">
        <f ca="1">ROUND(IF(M10="押一",J6/12*M11,IF(M10="押二",J6/12*2*M11,IF(M10="押三",J6/12*3*M11,J11*M11))),0)</f>
        <v>0</v>
      </c>
      <c r="K10" s="1559" t="s">
        <v>2860</v>
      </c>
      <c r="L10" s="318" t="s">
        <v>1375</v>
      </c>
      <c r="M10" s="1275"/>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4">
        <f ca="1">C29</f>
        <v>0</v>
      </c>
      <c r="K14" s="15"/>
      <c r="L14" s="915"/>
      <c r="M14" s="916"/>
    </row>
    <row r="15" spans="1:37" s="1579" customFormat="1" ht="18" customHeight="1" thickBot="1">
      <c r="A15" s="1112" t="s">
        <v>1004</v>
      </c>
      <c r="B15" s="307" t="s">
        <v>1385</v>
      </c>
      <c r="C15" s="24">
        <f ca="1">ROUND(C14*F15,0)</f>
        <v>0</v>
      </c>
      <c r="D15" s="325" t="s">
        <v>1386</v>
      </c>
      <c r="E15" s="325" t="s">
        <v>1387</v>
      </c>
      <c r="F15" s="326">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6"/>
      <c r="H16" s="1238" t="s">
        <v>998</v>
      </c>
      <c r="I16" s="1239" t="s">
        <v>1389</v>
      </c>
      <c r="J16" s="315">
        <f ca="1">ROUND(J17+J22+J23+J24,0)</f>
        <v>0</v>
      </c>
      <c r="K16" s="1246" t="s">
        <v>1390</v>
      </c>
      <c r="L16" s="1247"/>
      <c r="M16" s="1203"/>
    </row>
    <row r="17" spans="1:37" s="1579" customFormat="1" ht="18" customHeight="1">
      <c r="A17" s="1112" t="s">
        <v>1355</v>
      </c>
      <c r="B17" s="307" t="s">
        <v>1391</v>
      </c>
      <c r="C17" s="24">
        <f ca="1">ROUND(F17*(F43+INDIRECT("'数据-取费表'!S"&amp;$G$1)),0)</f>
        <v>0</v>
      </c>
      <c r="D17" s="307" t="s">
        <v>1392</v>
      </c>
      <c r="E17" s="307" t="s">
        <v>1393</v>
      </c>
      <c r="F17" s="26">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4">
        <f ca="1">ROUND(C14*F18,0)</f>
        <v>0</v>
      </c>
      <c r="D18" s="307" t="s">
        <v>1386</v>
      </c>
      <c r="E18" s="307" t="s">
        <v>1387</v>
      </c>
      <c r="F18" s="327">
        <f>'数据-取费表'!B36</f>
        <v>1.4999999999999999E-2</v>
      </c>
      <c r="G18" s="1578"/>
      <c r="H18" s="1112" t="s">
        <v>1002</v>
      </c>
      <c r="I18" s="307" t="s">
        <v>1398</v>
      </c>
      <c r="J18" s="24">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4">
        <f ca="1">SUM(C14:C18)</f>
        <v>0</v>
      </c>
      <c r="D19" s="135" t="s">
        <v>1401</v>
      </c>
      <c r="E19" s="1542"/>
      <c r="F19" s="26"/>
      <c r="G19" s="1566"/>
      <c r="H19" s="1112" t="s">
        <v>1004</v>
      </c>
      <c r="I19" s="307" t="s">
        <v>1402</v>
      </c>
      <c r="J19" s="24">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4">
        <f ca="1">ROUND(C19*F20,0)</f>
        <v>0</v>
      </c>
      <c r="D20" s="328" t="s">
        <v>1405</v>
      </c>
      <c r="E20" s="307" t="s">
        <v>1387</v>
      </c>
      <c r="F20" s="327">
        <f>'数据-取费表'!B37</f>
        <v>0.01</v>
      </c>
      <c r="G20" s="1578"/>
      <c r="H20" s="1112" t="s">
        <v>1354</v>
      </c>
      <c r="I20" s="159" t="s">
        <v>1406</v>
      </c>
      <c r="J20" s="25">
        <f ca="1">ROUND(M20*M21,0)</f>
        <v>0</v>
      </c>
      <c r="K20" s="329" t="s">
        <v>1407</v>
      </c>
      <c r="L20" s="307" t="s">
        <v>1408</v>
      </c>
      <c r="M20" s="330">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4" t="s">
        <v>1</v>
      </c>
      <c r="D21" s="328" t="s">
        <v>1410</v>
      </c>
      <c r="E21" s="307" t="s">
        <v>1411</v>
      </c>
      <c r="F21" s="327">
        <f>'数据-取费表'!B38</f>
        <v>0.01</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2"/>
      <c r="F22" s="26"/>
      <c r="G22" s="1566"/>
      <c r="H22" s="1112" t="s">
        <v>1007</v>
      </c>
      <c r="I22" s="307" t="s">
        <v>1414</v>
      </c>
      <c r="J22" s="24">
        <f ca="1">ROUND(J14*M22,0)</f>
        <v>0</v>
      </c>
      <c r="K22" s="1526" t="s">
        <v>1415</v>
      </c>
      <c r="L22" s="307" t="s">
        <v>1387</v>
      </c>
      <c r="M22" s="333">
        <f ca="1">INDIRECT("'数据-取费表'!Ak"&amp;$G$1)</f>
        <v>0</v>
      </c>
    </row>
    <row r="23" spans="1:37" s="1579"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8"/>
      <c r="H23" s="1112" t="s">
        <v>1043</v>
      </c>
      <c r="I23" s="307" t="s">
        <v>1418</v>
      </c>
      <c r="J23" s="24">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4">
        <f ca="1">ROUND(IF('数据-取费表'!B22&lt;=1,F21*F24*F23/2,F21*(POWER((1+F24),F23/2)-1)),4)</f>
        <v>2.0000000000000001E-4</v>
      </c>
      <c r="D24" s="334" t="str">
        <f>IF(F23&lt;=1,"销售费用×利率×(建设周期÷2)","销售费用×((1+利率)^(建设周期÷2)-1)")</f>
        <v>销售费用×利率×(建设周期÷2)</v>
      </c>
      <c r="E24" s="307" t="s">
        <v>1423</v>
      </c>
      <c r="F24" s="336">
        <f ca="1">'数据-取费表'!B40</f>
        <v>4.3499999999999997E-2</v>
      </c>
      <c r="G24" s="1578"/>
      <c r="H24" s="1248" t="s">
        <v>1358</v>
      </c>
      <c r="I24" s="1249" t="s">
        <v>1404</v>
      </c>
      <c r="J24" s="1250">
        <f ca="1">ROUND(J5*M24,0)</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4"/>
      <c r="D25" s="135" t="s">
        <v>1427</v>
      </c>
      <c r="E25" s="1542"/>
      <c r="F25" s="26"/>
      <c r="G25" s="1566"/>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5">
        <f ca="1">ROUND(C31+C36+C37+C38,0)</f>
        <v>0</v>
      </c>
      <c r="D30" s="1246" t="s">
        <v>1390</v>
      </c>
      <c r="E30" s="1247"/>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4">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5">
        <f ca="1">IF(项目基本情况!B11="自然人","——",ROUND(F34*F35,))</f>
        <v>0</v>
      </c>
      <c r="D34" s="329" t="s">
        <v>1407</v>
      </c>
      <c r="E34" s="307" t="s">
        <v>1408</v>
      </c>
      <c r="F34" s="330">
        <f>'数据-取费表'!B52</f>
        <v>18</v>
      </c>
      <c r="G34" s="1566"/>
      <c r="H34" s="2924"/>
      <c r="I34" s="1580"/>
      <c r="J34" s="1581"/>
      <c r="K34" s="2929"/>
      <c r="L34" s="2930"/>
      <c r="M34" s="2930"/>
    </row>
    <row r="35" spans="1:18" ht="18" customHeight="1">
      <c r="A35" s="1262"/>
      <c r="B35" s="1260"/>
      <c r="C35" s="29"/>
      <c r="D35" s="332"/>
      <c r="E35" s="307" t="s">
        <v>1412</v>
      </c>
      <c r="F35" s="308">
        <f ca="1">INDIRECT("'数据-取费表'!r"&amp;$G$1)</f>
        <v>0</v>
      </c>
      <c r="G35" s="1566"/>
      <c r="H35" s="2924"/>
      <c r="I35" s="1580"/>
      <c r="J35" s="1581"/>
      <c r="K35" s="2928"/>
      <c r="L35" s="2927"/>
      <c r="M35" s="2927"/>
    </row>
    <row r="36" spans="1:18" ht="18" customHeight="1">
      <c r="A36" s="1261" t="s">
        <v>1007</v>
      </c>
      <c r="B36" s="307" t="s">
        <v>1414</v>
      </c>
      <c r="C36" s="24">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4">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5">
        <f ca="1">C5-C30</f>
        <v>0</v>
      </c>
      <c r="D39" s="1254" t="s">
        <v>1449</v>
      </c>
      <c r="E39" s="1255"/>
      <c r="F39" s="1256"/>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5"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70" t="s">
        <v>1105</v>
      </c>
      <c r="B53" s="328" t="s">
        <v>1374</v>
      </c>
      <c r="C53" s="321">
        <f ca="1">ROUND(IF(F53="押一",C49/12*F11,IF(F53="押二",C49/12*2*F11,IF(F53="押三",C49/12*3*F11,C54*F11))),0)</f>
        <v>0</v>
      </c>
      <c r="D53" s="1548" t="s">
        <v>2861</v>
      </c>
      <c r="E53" s="318" t="s">
        <v>1375</v>
      </c>
      <c r="F53" s="1275"/>
      <c r="I53" s="1621" t="s">
        <v>1512</v>
      </c>
      <c r="J53" s="2384">
        <f ca="1">IF(M47="住宅",IF(D1="——",MAX(J51,L48),MAX(J51,L48-'数据-取费表'!B24)),IF(D1="——",MIN(J51,L48),MIN(J51,L48-'数据-取费表'!B24)))</f>
        <v>0</v>
      </c>
      <c r="K53" s="3317" t="s">
        <v>1513</v>
      </c>
      <c r="L53" s="3318"/>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0">
        <f t="shared" si="0"/>
        <v>18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9"/>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9071</v>
      </c>
      <c r="C2" s="2056" t="s">
        <v>2340</v>
      </c>
      <c r="D2" s="2057" t="s">
        <v>2341</v>
      </c>
      <c r="E2" s="2831">
        <f>SUM(E6:E13)</f>
        <v>17349.86</v>
      </c>
      <c r="F2" s="2934"/>
      <c r="G2" s="1672"/>
      <c r="H2" s="1672"/>
      <c r="I2" s="1672"/>
      <c r="J2" s="1672"/>
      <c r="K2" s="1672"/>
      <c r="L2" s="1672"/>
      <c r="M2" s="1672"/>
      <c r="N2" s="1672"/>
      <c r="O2" s="1672"/>
      <c r="P2" s="1672"/>
      <c r="Q2" s="1672"/>
      <c r="R2" s="1672"/>
      <c r="S2" s="1672"/>
    </row>
    <row r="3" spans="1:22" ht="15.75">
      <c r="A3" s="2054" t="s">
        <v>1360</v>
      </c>
      <c r="B3" s="2825">
        <f ca="1">ROUND(B2*10000/E2,0)</f>
        <v>5228</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2" t="s">
        <v>2343</v>
      </c>
      <c r="C5" s="3323"/>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9071</v>
      </c>
      <c r="C6" s="2056" t="s">
        <v>2340</v>
      </c>
      <c r="D6" s="2936"/>
      <c r="E6" s="2830">
        <f>IF(OR(A6=0,F6="否"),0,'数据-取费表'!K6+'数据-取费表'!S6)</f>
        <v>17349.86</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4" t="s">
        <v>1044</v>
      </c>
      <c r="B1" s="3325"/>
      <c r="C1" s="3326"/>
      <c r="D1" s="3327">
        <f>SUM(I10,I15,I20,I21,I23)</f>
        <v>0</v>
      </c>
      <c r="E1" s="3327"/>
      <c r="F1" s="3327"/>
      <c r="G1" s="3327"/>
      <c r="H1" s="3327"/>
      <c r="I1" s="3328"/>
    </row>
    <row r="2" spans="1:9">
      <c r="A2" s="3329" t="s">
        <v>1045</v>
      </c>
      <c r="B2" s="3330" t="s">
        <v>1046</v>
      </c>
      <c r="C2" s="3330"/>
      <c r="D2" s="1210" t="s">
        <v>1047</v>
      </c>
      <c r="E2" s="1210" t="s">
        <v>1048</v>
      </c>
      <c r="F2" s="1210" t="s">
        <v>1049</v>
      </c>
      <c r="G2" s="1210" t="s">
        <v>1050</v>
      </c>
      <c r="H2" s="1210" t="s">
        <v>1051</v>
      </c>
      <c r="I2" s="1211" t="s">
        <v>1052</v>
      </c>
    </row>
    <row r="3" spans="1:9">
      <c r="A3" s="3329"/>
      <c r="B3" s="3330" t="s">
        <v>1053</v>
      </c>
      <c r="C3" s="3330"/>
      <c r="D3" s="1212"/>
      <c r="E3" s="1210"/>
      <c r="F3" s="1213"/>
      <c r="G3" s="1213"/>
      <c r="H3" s="1214"/>
      <c r="I3" s="1215">
        <f>ROUND(D3*E3*F3*G3*H3/10000,0)</f>
        <v>0</v>
      </c>
    </row>
    <row r="4" spans="1:9">
      <c r="A4" s="3329"/>
      <c r="B4" s="3330" t="s">
        <v>1054</v>
      </c>
      <c r="C4" s="3330"/>
      <c r="D4" s="1212"/>
      <c r="E4" s="1210"/>
      <c r="F4" s="1213"/>
      <c r="G4" s="1213"/>
      <c r="H4" s="1214"/>
      <c r="I4" s="1215">
        <f t="shared" ref="I4:I9" si="0">ROUND(D4*E4*F4*G4*H4/10000,0)</f>
        <v>0</v>
      </c>
    </row>
    <row r="5" spans="1:9">
      <c r="A5" s="3329"/>
      <c r="B5" s="3330" t="s">
        <v>1055</v>
      </c>
      <c r="C5" s="3330"/>
      <c r="D5" s="1212"/>
      <c r="E5" s="1210"/>
      <c r="F5" s="1213"/>
      <c r="G5" s="1213"/>
      <c r="H5" s="1214"/>
      <c r="I5" s="1215">
        <f t="shared" si="0"/>
        <v>0</v>
      </c>
    </row>
    <row r="6" spans="1:9">
      <c r="A6" s="3329"/>
      <c r="B6" s="3330" t="s">
        <v>1056</v>
      </c>
      <c r="C6" s="3330"/>
      <c r="D6" s="1212"/>
      <c r="E6" s="1210"/>
      <c r="F6" s="1213"/>
      <c r="G6" s="1213"/>
      <c r="H6" s="1214"/>
      <c r="I6" s="1215">
        <f t="shared" si="0"/>
        <v>0</v>
      </c>
    </row>
    <row r="7" spans="1:9">
      <c r="A7" s="3329"/>
      <c r="B7" s="3330" t="s">
        <v>1057</v>
      </c>
      <c r="C7" s="3330"/>
      <c r="D7" s="1212"/>
      <c r="E7" s="1210"/>
      <c r="F7" s="1213"/>
      <c r="G7" s="1213"/>
      <c r="H7" s="1214"/>
      <c r="I7" s="1215">
        <f t="shared" si="0"/>
        <v>0</v>
      </c>
    </row>
    <row r="8" spans="1:9">
      <c r="A8" s="3329"/>
      <c r="B8" s="3330" t="s">
        <v>1058</v>
      </c>
      <c r="C8" s="3330"/>
      <c r="D8" s="1212"/>
      <c r="E8" s="1210"/>
      <c r="F8" s="1213"/>
      <c r="G8" s="1213"/>
      <c r="H8" s="1214"/>
      <c r="I8" s="1215">
        <f t="shared" si="0"/>
        <v>0</v>
      </c>
    </row>
    <row r="9" spans="1:9">
      <c r="A9" s="3329"/>
      <c r="B9" s="3330" t="s">
        <v>1059</v>
      </c>
      <c r="C9" s="3330"/>
      <c r="D9" s="1212"/>
      <c r="E9" s="1210"/>
      <c r="F9" s="1213"/>
      <c r="G9" s="1213"/>
      <c r="H9" s="1214"/>
      <c r="I9" s="1215">
        <f t="shared" si="0"/>
        <v>0</v>
      </c>
    </row>
    <row r="10" spans="1:9">
      <c r="A10" s="3329"/>
      <c r="B10" s="3331" t="s">
        <v>1060</v>
      </c>
      <c r="C10" s="3331"/>
      <c r="D10" s="1216"/>
      <c r="E10" s="1216" t="e">
        <f>ROUND(D1*10000/D10/H9,0)</f>
        <v>#DIV/0!</v>
      </c>
      <c r="F10" s="1217"/>
      <c r="G10" s="1217"/>
      <c r="H10" s="1218"/>
      <c r="I10" s="1219">
        <f>SUM(I3:I9)</f>
        <v>0</v>
      </c>
    </row>
    <row r="11" spans="1:9" ht="14.25">
      <c r="A11" s="3329" t="s">
        <v>1061</v>
      </c>
      <c r="B11" s="3330" t="s">
        <v>1062</v>
      </c>
      <c r="C11" s="3330"/>
      <c r="D11" s="1212" t="s">
        <v>1063</v>
      </c>
      <c r="E11" s="1212" t="s">
        <v>1064</v>
      </c>
      <c r="F11" s="1213" t="s">
        <v>1065</v>
      </c>
      <c r="G11" s="1213" t="s">
        <v>1051</v>
      </c>
      <c r="H11" s="1220" t="s">
        <v>1066</v>
      </c>
      <c r="I11" s="1211" t="s">
        <v>1052</v>
      </c>
    </row>
    <row r="12" spans="1:9">
      <c r="A12" s="3329"/>
      <c r="B12" s="3330" t="s">
        <v>1067</v>
      </c>
      <c r="C12" s="3330"/>
      <c r="D12" s="1212"/>
      <c r="E12" s="1212"/>
      <c r="F12" s="1213"/>
      <c r="G12" s="1214"/>
      <c r="H12" s="1221"/>
      <c r="I12" s="1211">
        <f>ROUND(D12*E12*F12*G12/10000,0)</f>
        <v>0</v>
      </c>
    </row>
    <row r="13" spans="1:9">
      <c r="A13" s="3329"/>
      <c r="B13" s="3330" t="s">
        <v>1068</v>
      </c>
      <c r="C13" s="3330"/>
      <c r="D13" s="1212"/>
      <c r="E13" s="1212"/>
      <c r="F13" s="1213"/>
      <c r="G13" s="1214"/>
      <c r="H13" s="1221"/>
      <c r="I13" s="1211">
        <f>ROUND(D13*E13*F13*G13/10000,0)</f>
        <v>0</v>
      </c>
    </row>
    <row r="14" spans="1:9">
      <c r="A14" s="3329"/>
      <c r="B14" s="3330" t="s">
        <v>1069</v>
      </c>
      <c r="C14" s="3330"/>
      <c r="D14" s="1212"/>
      <c r="E14" s="1212"/>
      <c r="F14" s="1213"/>
      <c r="G14" s="1214"/>
      <c r="H14" s="1221"/>
      <c r="I14" s="1211">
        <f>ROUND(D14*E14*F14*G14/10000,0)</f>
        <v>0</v>
      </c>
    </row>
    <row r="15" spans="1:9">
      <c r="A15" s="3329"/>
      <c r="B15" s="3331" t="s">
        <v>1060</v>
      </c>
      <c r="C15" s="3331"/>
      <c r="D15" s="1216"/>
      <c r="E15" s="1216">
        <f>SUM(E12:E14)</f>
        <v>0</v>
      </c>
      <c r="F15" s="1217"/>
      <c r="G15" s="1214"/>
      <c r="H15" s="1221"/>
      <c r="I15" s="1222">
        <f>SUM(I12:I14)</f>
        <v>0</v>
      </c>
    </row>
    <row r="16" spans="1:9" ht="24">
      <c r="A16" s="3329" t="s">
        <v>1070</v>
      </c>
      <c r="B16" s="3330" t="s">
        <v>1071</v>
      </c>
      <c r="C16" s="3330"/>
      <c r="D16" s="1212" t="s">
        <v>1047</v>
      </c>
      <c r="E16" s="1223" t="s">
        <v>1072</v>
      </c>
      <c r="F16" s="1213" t="s">
        <v>1073</v>
      </c>
      <c r="G16" s="1214" t="s">
        <v>1051</v>
      </c>
      <c r="H16" s="1220" t="s">
        <v>1066</v>
      </c>
      <c r="I16" s="1211" t="s">
        <v>1052</v>
      </c>
    </row>
    <row r="17" spans="1:9" ht="14.25">
      <c r="A17" s="3329"/>
      <c r="B17" s="3330" t="s">
        <v>1074</v>
      </c>
      <c r="C17" s="3330"/>
      <c r="D17" s="1212"/>
      <c r="E17" s="1212"/>
      <c r="F17" s="1213"/>
      <c r="G17" s="1214"/>
      <c r="H17" s="1224"/>
      <c r="I17" s="1225">
        <f>ROUND(D17*E17*F17*G17/10000,0)</f>
        <v>0</v>
      </c>
    </row>
    <row r="18" spans="1:9" ht="14.25">
      <c r="A18" s="3329"/>
      <c r="B18" s="3330" t="s">
        <v>1075</v>
      </c>
      <c r="C18" s="3330"/>
      <c r="D18" s="1212"/>
      <c r="E18" s="1212"/>
      <c r="F18" s="1213"/>
      <c r="G18" s="1214"/>
      <c r="H18" s="1224"/>
      <c r="I18" s="1225">
        <f>ROUND(D18*E18*F18*G18/10000,0)</f>
        <v>0</v>
      </c>
    </row>
    <row r="19" spans="1:9" ht="14.25">
      <c r="A19" s="3329"/>
      <c r="B19" s="3330" t="s">
        <v>1076</v>
      </c>
      <c r="C19" s="3330"/>
      <c r="D19" s="1212"/>
      <c r="E19" s="1212"/>
      <c r="F19" s="1213"/>
      <c r="G19" s="1214"/>
      <c r="H19" s="1224"/>
      <c r="I19" s="1225">
        <f>ROUND(D19*E19*F19*G19/10000,0)</f>
        <v>0</v>
      </c>
    </row>
    <row r="20" spans="1:9">
      <c r="A20" s="3329"/>
      <c r="B20" s="3331" t="s">
        <v>1060</v>
      </c>
      <c r="C20" s="3331"/>
      <c r="D20" s="1216">
        <f>SUM(D17:D19)</f>
        <v>0</v>
      </c>
      <c r="E20" s="1216"/>
      <c r="F20" s="1217"/>
      <c r="G20" s="1214"/>
      <c r="H20" s="1221"/>
      <c r="I20" s="1222">
        <f>SUM(I17:I19)</f>
        <v>0</v>
      </c>
    </row>
    <row r="21" spans="1:9">
      <c r="A21" s="3329" t="s">
        <v>1077</v>
      </c>
      <c r="B21" s="3333"/>
      <c r="C21" s="3333"/>
      <c r="D21" s="3333"/>
      <c r="E21" s="3333"/>
      <c r="F21" s="3333"/>
      <c r="G21" s="3333"/>
      <c r="H21" s="1500">
        <v>0.1</v>
      </c>
      <c r="I21" s="1219">
        <f>ROUND(I10*H21,0)</f>
        <v>0</v>
      </c>
    </row>
    <row r="22" spans="1:9" ht="14.25">
      <c r="A22" s="3334" t="s">
        <v>1078</v>
      </c>
      <c r="B22" s="3335"/>
      <c r="C22" s="3336"/>
      <c r="D22" s="1226" t="s">
        <v>1079</v>
      </c>
      <c r="E22" s="1226" t="s">
        <v>1080</v>
      </c>
      <c r="F22" s="1227" t="s">
        <v>1081</v>
      </c>
      <c r="G22" s="1227" t="s">
        <v>1082</v>
      </c>
      <c r="H22" s="1220" t="s">
        <v>1083</v>
      </c>
      <c r="I22" s="1211" t="s">
        <v>1084</v>
      </c>
    </row>
    <row r="23" spans="1:9" ht="14.25" thickBot="1">
      <c r="A23" s="3337"/>
      <c r="B23" s="3338"/>
      <c r="C23" s="3339"/>
      <c r="D23" s="1228"/>
      <c r="E23" s="1228"/>
      <c r="F23" s="1228"/>
      <c r="G23" s="1229"/>
      <c r="H23" s="1230"/>
      <c r="I23" s="1231">
        <f>ROUND(E23*D23*F23*(1-G23)/10000,0)</f>
        <v>0</v>
      </c>
    </row>
    <row r="26" spans="1:9">
      <c r="A26" s="1232" t="s">
        <v>1085</v>
      </c>
      <c r="B26" s="1232"/>
      <c r="C26" s="1232"/>
      <c r="D26" s="1232"/>
      <c r="E26" s="3340">
        <f>C27-C30-C31-C32</f>
        <v>0</v>
      </c>
      <c r="F26" s="3340"/>
      <c r="G26" s="3340"/>
      <c r="H26" s="1497" t="s">
        <v>1306</v>
      </c>
    </row>
    <row r="27" spans="1:9">
      <c r="A27" s="1233">
        <v>1</v>
      </c>
      <c r="B27" s="1234" t="s">
        <v>1086</v>
      </c>
      <c r="C27" s="1234">
        <f>C28+C29</f>
        <v>0</v>
      </c>
      <c r="D27" s="1234"/>
      <c r="E27" s="3341"/>
      <c r="F27" s="3341"/>
      <c r="G27" s="3341"/>
    </row>
    <row r="28" spans="1:9">
      <c r="A28" s="1235" t="s">
        <v>1087</v>
      </c>
      <c r="B28" s="1234" t="s">
        <v>1088</v>
      </c>
      <c r="C28" s="1234"/>
      <c r="D28" s="1234"/>
      <c r="E28" s="3341"/>
      <c r="F28" s="3341"/>
      <c r="G28" s="334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2"/>
      <c r="F32" s="3332"/>
      <c r="G32" s="3332"/>
    </row>
    <row r="33" spans="1:7" hidden="1">
      <c r="A33" s="3342" t="s">
        <v>1097</v>
      </c>
      <c r="B33" s="3343"/>
      <c r="C33" s="3343"/>
      <c r="D33" s="3344"/>
      <c r="E33" s="3340"/>
      <c r="F33" s="3340"/>
      <c r="G33" s="3340"/>
    </row>
    <row r="34" spans="1:7" hidden="1">
      <c r="A34" s="1237">
        <v>1</v>
      </c>
      <c r="B34" s="1234" t="s">
        <v>1098</v>
      </c>
      <c r="C34" s="1234"/>
      <c r="D34" s="1234"/>
      <c r="E34" s="3341"/>
      <c r="F34" s="3341"/>
      <c r="G34" s="3341"/>
    </row>
    <row r="35" spans="1:7" hidden="1">
      <c r="A35" s="1237">
        <v>2</v>
      </c>
      <c r="B35" s="1234" t="s">
        <v>1099</v>
      </c>
      <c r="C35" s="1234"/>
      <c r="D35" s="1234"/>
      <c r="E35" s="3341"/>
      <c r="F35" s="3341"/>
      <c r="G35" s="3341"/>
    </row>
    <row r="36" spans="1:7" hidden="1">
      <c r="A36" s="1237">
        <v>3</v>
      </c>
      <c r="B36" s="1234" t="s">
        <v>1100</v>
      </c>
      <c r="C36" s="1234"/>
      <c r="D36" s="1234"/>
      <c r="E36" s="3341"/>
      <c r="F36" s="3341"/>
      <c r="G36" s="3341"/>
    </row>
    <row r="37" spans="1:7" hidden="1">
      <c r="A37" s="1237">
        <v>4</v>
      </c>
      <c r="B37" s="1234" t="s">
        <v>1101</v>
      </c>
      <c r="C37" s="1234"/>
      <c r="D37" s="1234"/>
      <c r="E37" s="3341"/>
      <c r="F37" s="3341"/>
      <c r="G37" s="3341"/>
    </row>
    <row r="38" spans="1:7" hidden="1">
      <c r="A38" s="3342" t="s">
        <v>1102</v>
      </c>
      <c r="B38" s="3343"/>
      <c r="C38" s="3343"/>
      <c r="D38" s="3344"/>
      <c r="E38" s="3340"/>
      <c r="F38" s="3340"/>
      <c r="G38" s="33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17349.86</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92" t="s">
        <v>2357</v>
      </c>
      <c r="D4" s="3293"/>
      <c r="E4" s="3294" t="s">
        <v>2358</v>
      </c>
      <c r="F4" s="3295"/>
      <c r="G4" s="3292" t="s">
        <v>2359</v>
      </c>
      <c r="H4" s="3293"/>
      <c r="I4" s="3292" t="s">
        <v>2360</v>
      </c>
      <c r="J4" s="3293"/>
      <c r="K4" s="2073" t="s">
        <v>2361</v>
      </c>
      <c r="L4" s="2942"/>
      <c r="M4" s="2943"/>
      <c r="N4" s="2943"/>
      <c r="O4" s="2943"/>
      <c r="P4" s="3296" t="s">
        <v>2362</v>
      </c>
      <c r="Q4" s="3297"/>
      <c r="R4" s="3279" t="s">
        <v>2358</v>
      </c>
      <c r="S4" s="3280"/>
      <c r="T4" s="3279" t="s">
        <v>2359</v>
      </c>
      <c r="U4" s="3280"/>
      <c r="V4" s="3304" t="s">
        <v>2360</v>
      </c>
      <c r="W4" s="3304"/>
      <c r="X4" s="1537"/>
      <c r="Y4" s="3279" t="s">
        <v>2362</v>
      </c>
      <c r="Z4" s="3280"/>
      <c r="AA4" s="3274" t="s">
        <v>2358</v>
      </c>
      <c r="AB4" s="3274" t="s">
        <v>2359</v>
      </c>
      <c r="AC4" s="3274" t="s">
        <v>2360</v>
      </c>
    </row>
    <row r="5" spans="1:29" ht="15">
      <c r="A5" s="363"/>
      <c r="B5" s="364"/>
      <c r="C5" s="3285" t="s">
        <v>2363</v>
      </c>
      <c r="D5" s="3286"/>
      <c r="E5" s="3283" t="s">
        <v>2364</v>
      </c>
      <c r="F5" s="3284"/>
      <c r="G5" s="3285" t="s">
        <v>2365</v>
      </c>
      <c r="H5" s="3286"/>
      <c r="I5" s="3285" t="s">
        <v>2366</v>
      </c>
      <c r="J5" s="3286"/>
      <c r="K5" s="2074"/>
      <c r="L5" s="2942"/>
      <c r="M5" s="2943"/>
      <c r="N5" s="2943"/>
      <c r="O5" s="2943"/>
      <c r="P5" s="3298"/>
      <c r="Q5" s="3299"/>
      <c r="R5" s="3281"/>
      <c r="S5" s="3282"/>
      <c r="T5" s="3281"/>
      <c r="U5" s="3282"/>
      <c r="V5" s="3304"/>
      <c r="W5" s="3304"/>
      <c r="X5" s="1537"/>
      <c r="Y5" s="3281"/>
      <c r="Z5" s="3282"/>
      <c r="AA5" s="3275"/>
      <c r="AB5" s="3275"/>
      <c r="AC5" s="3275"/>
    </row>
    <row r="6" spans="1:29" ht="15.75" thickBot="1">
      <c r="A6" s="365"/>
      <c r="B6" s="366"/>
      <c r="C6" s="3287" t="s">
        <v>2367</v>
      </c>
      <c r="D6" s="3288"/>
      <c r="E6" s="3289" t="s">
        <v>2367</v>
      </c>
      <c r="F6" s="3290"/>
      <c r="G6" s="3287" t="s">
        <v>2367</v>
      </c>
      <c r="H6" s="3288"/>
      <c r="I6" s="3287" t="s">
        <v>2367</v>
      </c>
      <c r="J6" s="3288"/>
      <c r="K6" s="2074" t="s">
        <v>2368</v>
      </c>
      <c r="L6" s="2942"/>
      <c r="M6" s="2943"/>
      <c r="N6" s="2943"/>
      <c r="O6" s="2943"/>
      <c r="P6" s="3300"/>
      <c r="Q6" s="3301"/>
      <c r="R6" s="3281"/>
      <c r="S6" s="3282"/>
      <c r="T6" s="3302"/>
      <c r="U6" s="3303"/>
      <c r="V6" s="3304"/>
      <c r="W6" s="3304"/>
      <c r="X6" s="1537"/>
      <c r="Y6" s="3302"/>
      <c r="Z6" s="3303"/>
      <c r="AA6" s="3276"/>
      <c r="AB6" s="3276"/>
      <c r="AC6" s="3276"/>
    </row>
    <row r="7" spans="1:29" s="113" customFormat="1" ht="15.75" thickBot="1">
      <c r="A7" s="367" t="s">
        <v>2369</v>
      </c>
      <c r="B7" s="368"/>
      <c r="C7" s="369">
        <f>'数据-取费表'!B2</f>
        <v>44421</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277" t="s">
        <v>2370</v>
      </c>
      <c r="Q7" s="3305"/>
      <c r="R7" s="709" t="s">
        <v>23</v>
      </c>
      <c r="S7" s="710">
        <f t="shared" ref="S7:S15" si="0">F7</f>
        <v>0</v>
      </c>
      <c r="T7" s="709" t="s">
        <v>23</v>
      </c>
      <c r="U7" s="710">
        <f t="shared" ref="U7:U15" si="1">H7</f>
        <v>0</v>
      </c>
      <c r="V7" s="709" t="s">
        <v>23</v>
      </c>
      <c r="W7" s="710">
        <f t="shared" ref="W7:W15" si="2">J7</f>
        <v>0</v>
      </c>
      <c r="X7" s="711"/>
      <c r="Y7" s="3277" t="s">
        <v>2370</v>
      </c>
      <c r="Z7" s="3278"/>
      <c r="AA7" s="712" t="e">
        <f>D7/F7</f>
        <v>#DIV/0!</v>
      </c>
      <c r="AB7" s="712" t="e">
        <f>D7/H7</f>
        <v>#DIV/0!</v>
      </c>
      <c r="AC7" s="712"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277" t="s">
        <v>2373</v>
      </c>
      <c r="Q8" s="3278"/>
      <c r="R8" s="709" t="s">
        <v>23</v>
      </c>
      <c r="S8" s="710">
        <f t="shared" si="0"/>
        <v>0</v>
      </c>
      <c r="T8" s="709" t="s">
        <v>23</v>
      </c>
      <c r="U8" s="710">
        <f t="shared" si="1"/>
        <v>0</v>
      </c>
      <c r="V8" s="709" t="s">
        <v>23</v>
      </c>
      <c r="W8" s="710">
        <f t="shared" si="2"/>
        <v>0</v>
      </c>
      <c r="X8" s="711"/>
      <c r="Y8" s="3277" t="s">
        <v>2373</v>
      </c>
      <c r="Z8" s="3278"/>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315" t="s">
        <v>2376</v>
      </c>
      <c r="Q9" s="1525" t="str">
        <f t="shared" ref="Q9:Q15" si="6">B9</f>
        <v>用途</v>
      </c>
      <c r="R9" s="709" t="s">
        <v>17</v>
      </c>
      <c r="S9" s="710">
        <f t="shared" si="0"/>
        <v>100</v>
      </c>
      <c r="T9" s="709" t="s">
        <v>17</v>
      </c>
      <c r="U9" s="710">
        <f t="shared" si="1"/>
        <v>100</v>
      </c>
      <c r="V9" s="709" t="s">
        <v>17</v>
      </c>
      <c r="W9" s="710">
        <f t="shared" si="2"/>
        <v>100</v>
      </c>
      <c r="X9" s="711"/>
      <c r="Y9" s="3247"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15"/>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15"/>
      <c r="Q11" s="1525" t="str">
        <f t="shared" si="6"/>
        <v>容积率</v>
      </c>
      <c r="R11" s="709" t="s">
        <v>21</v>
      </c>
      <c r="S11" s="710" t="e">
        <f t="shared" si="0"/>
        <v>#N/A</v>
      </c>
      <c r="T11" s="709" t="s">
        <v>21</v>
      </c>
      <c r="U11" s="710" t="e">
        <f t="shared" si="1"/>
        <v>#N/A</v>
      </c>
      <c r="V11" s="709" t="s">
        <v>21</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315"/>
      <c r="Q12" s="1525">
        <f t="shared" si="6"/>
        <v>111</v>
      </c>
      <c r="R12" s="709" t="s">
        <v>21</v>
      </c>
      <c r="S12" s="710">
        <f t="shared" si="0"/>
        <v>100</v>
      </c>
      <c r="T12" s="709" t="s">
        <v>21</v>
      </c>
      <c r="U12" s="710">
        <f t="shared" si="1"/>
        <v>100</v>
      </c>
      <c r="V12" s="709" t="s">
        <v>21</v>
      </c>
      <c r="W12" s="710">
        <f t="shared" si="2"/>
        <v>100</v>
      </c>
      <c r="X12" s="711"/>
      <c r="Y12" s="3247"/>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315"/>
      <c r="Q13" s="1525">
        <f t="shared" si="6"/>
        <v>111</v>
      </c>
      <c r="R13" s="709" t="s">
        <v>21</v>
      </c>
      <c r="S13" s="710">
        <f t="shared" si="0"/>
        <v>100</v>
      </c>
      <c r="T13" s="709" t="s">
        <v>21</v>
      </c>
      <c r="U13" s="710">
        <f t="shared" si="1"/>
        <v>100</v>
      </c>
      <c r="V13" s="709" t="s">
        <v>21</v>
      </c>
      <c r="W13" s="710">
        <f t="shared" si="2"/>
        <v>100</v>
      </c>
      <c r="X13" s="711"/>
      <c r="Y13" s="3247"/>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315"/>
      <c r="Q14" s="1525">
        <f t="shared" si="6"/>
        <v>111</v>
      </c>
      <c r="R14" s="709" t="s">
        <v>21</v>
      </c>
      <c r="S14" s="710">
        <f t="shared" si="0"/>
        <v>100</v>
      </c>
      <c r="T14" s="709" t="s">
        <v>21</v>
      </c>
      <c r="U14" s="710">
        <f t="shared" si="1"/>
        <v>100</v>
      </c>
      <c r="V14" s="709" t="s">
        <v>21</v>
      </c>
      <c r="W14" s="710">
        <f t="shared" si="2"/>
        <v>100</v>
      </c>
      <c r="X14" s="711"/>
      <c r="Y14" s="3247"/>
      <c r="Z14" s="55">
        <f t="shared" si="7"/>
        <v>111</v>
      </c>
      <c r="AA14" s="712">
        <f t="shared" si="3"/>
        <v>1</v>
      </c>
      <c r="AB14" s="712">
        <f t="shared" si="4"/>
        <v>1</v>
      </c>
      <c r="AC14" s="712">
        <f t="shared" si="5"/>
        <v>1</v>
      </c>
    </row>
    <row r="15" spans="1:29" ht="99.75">
      <c r="A15" s="398" t="s">
        <v>2380</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51" t="s">
        <v>2381</v>
      </c>
      <c r="Q15" s="1534" t="str">
        <f t="shared" si="6"/>
        <v>居住社区成熟度</v>
      </c>
      <c r="R15" s="713" t="s">
        <v>21</v>
      </c>
      <c r="S15" s="714">
        <f t="shared" si="0"/>
        <v>100</v>
      </c>
      <c r="T15" s="713" t="s">
        <v>21</v>
      </c>
      <c r="U15" s="714">
        <f t="shared" si="1"/>
        <v>100</v>
      </c>
      <c r="V15" s="713" t="s">
        <v>21</v>
      </c>
      <c r="W15" s="714">
        <f t="shared" si="2"/>
        <v>100</v>
      </c>
      <c r="X15" s="1537"/>
      <c r="Y15" s="3306"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52"/>
      <c r="Q16" s="1534"/>
      <c r="R16" s="713"/>
      <c r="S16" s="714"/>
      <c r="T16" s="713"/>
      <c r="U16" s="714"/>
      <c r="V16" s="713"/>
      <c r="W16" s="714"/>
      <c r="X16" s="1537"/>
      <c r="Y16" s="330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52"/>
      <c r="Q17" s="1534" t="str">
        <f>B17</f>
        <v>交通便捷度</v>
      </c>
      <c r="R17" s="713" t="s">
        <v>21</v>
      </c>
      <c r="S17" s="714">
        <f>F17</f>
        <v>100</v>
      </c>
      <c r="T17" s="713" t="s">
        <v>21</v>
      </c>
      <c r="U17" s="714">
        <f>H17</f>
        <v>100</v>
      </c>
      <c r="V17" s="713" t="s">
        <v>21</v>
      </c>
      <c r="W17" s="714">
        <f>J17</f>
        <v>100</v>
      </c>
      <c r="X17" s="1537"/>
      <c r="Y17" s="3307"/>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52"/>
      <c r="Q18" s="1534"/>
      <c r="R18" s="713"/>
      <c r="S18" s="714"/>
      <c r="T18" s="713"/>
      <c r="U18" s="714"/>
      <c r="V18" s="713"/>
      <c r="W18" s="714"/>
      <c r="X18" s="1537"/>
      <c r="Y18" s="3307"/>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52"/>
      <c r="Q19" s="1534" t="str">
        <f>B19</f>
        <v>公共配套设施</v>
      </c>
      <c r="R19" s="713" t="s">
        <v>21</v>
      </c>
      <c r="S19" s="714">
        <f>F19</f>
        <v>100</v>
      </c>
      <c r="T19" s="713" t="s">
        <v>21</v>
      </c>
      <c r="U19" s="714">
        <f>H19</f>
        <v>100</v>
      </c>
      <c r="V19" s="713" t="s">
        <v>21</v>
      </c>
      <c r="W19" s="714">
        <f>J19</f>
        <v>100</v>
      </c>
      <c r="X19" s="1537"/>
      <c r="Y19" s="3307"/>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52"/>
      <c r="Q20" s="1534"/>
      <c r="R20" s="713"/>
      <c r="S20" s="714"/>
      <c r="T20" s="713"/>
      <c r="U20" s="714"/>
      <c r="V20" s="713"/>
      <c r="W20" s="714"/>
      <c r="X20" s="1537"/>
      <c r="Y20" s="3307"/>
      <c r="Z20" s="1538"/>
      <c r="AA20" s="1535">
        <v>1</v>
      </c>
      <c r="AB20" s="1535">
        <v>1</v>
      </c>
      <c r="AC20" s="1535">
        <v>1</v>
      </c>
    </row>
    <row r="21" spans="1:29" ht="28.5">
      <c r="A21" s="386"/>
      <c r="B21" s="1292"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52"/>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6"/>
      <c r="G22" s="2088"/>
      <c r="H22" s="406"/>
      <c r="I22" s="405"/>
      <c r="J22" s="406"/>
      <c r="K22" s="2089"/>
      <c r="L22" s="2949"/>
      <c r="M22" s="2943"/>
      <c r="N22" s="2943"/>
      <c r="O22" s="2943"/>
      <c r="P22" s="3352"/>
      <c r="Q22" s="1534"/>
      <c r="R22" s="713"/>
      <c r="S22" s="714"/>
      <c r="T22" s="713"/>
      <c r="U22" s="714"/>
      <c r="V22" s="713"/>
      <c r="W22" s="714"/>
      <c r="X22" s="1537"/>
      <c r="Y22" s="3307"/>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52"/>
      <c r="Q23" s="1534" t="str">
        <f>B23</f>
        <v>自然及人文环境</v>
      </c>
      <c r="R23" s="713" t="s">
        <v>21</v>
      </c>
      <c r="S23" s="714">
        <f>F23</f>
        <v>100</v>
      </c>
      <c r="T23" s="713" t="s">
        <v>21</v>
      </c>
      <c r="U23" s="714">
        <f>H23</f>
        <v>100</v>
      </c>
      <c r="V23" s="713" t="s">
        <v>21</v>
      </c>
      <c r="W23" s="714">
        <f>J23</f>
        <v>100</v>
      </c>
      <c r="X23" s="1537"/>
      <c r="Y23" s="3307"/>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52"/>
      <c r="Q24" s="1534"/>
      <c r="R24" s="713"/>
      <c r="S24" s="714"/>
      <c r="T24" s="713"/>
      <c r="U24" s="714"/>
      <c r="V24" s="713"/>
      <c r="W24" s="714"/>
      <c r="X24" s="1537"/>
      <c r="Y24" s="3307"/>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52"/>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07"/>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52"/>
      <c r="Q26" s="1534" t="str">
        <f t="shared" si="11"/>
        <v>朝向</v>
      </c>
      <c r="R26" s="713" t="s">
        <v>21</v>
      </c>
      <c r="S26" s="714">
        <f t="shared" si="12"/>
        <v>100</v>
      </c>
      <c r="T26" s="713" t="s">
        <v>21</v>
      </c>
      <c r="U26" s="714">
        <f t="shared" si="13"/>
        <v>100</v>
      </c>
      <c r="V26" s="713" t="s">
        <v>21</v>
      </c>
      <c r="W26" s="714">
        <f t="shared" si="14"/>
        <v>100</v>
      </c>
      <c r="X26" s="1537"/>
      <c r="Y26" s="3307"/>
      <c r="Z26" s="1538" t="str">
        <f>Q26</f>
        <v>朝向</v>
      </c>
      <c r="AA26" s="1535">
        <f t="shared" si="15"/>
        <v>1</v>
      </c>
      <c r="AB26" s="1535">
        <f t="shared" si="16"/>
        <v>1</v>
      </c>
      <c r="AC26" s="1535">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52"/>
      <c r="Q27" s="1525">
        <f t="shared" si="11"/>
        <v>111</v>
      </c>
      <c r="R27" s="709" t="s">
        <v>21</v>
      </c>
      <c r="S27" s="710">
        <f t="shared" si="12"/>
        <v>100</v>
      </c>
      <c r="T27" s="709" t="s">
        <v>21</v>
      </c>
      <c r="U27" s="710">
        <f t="shared" si="13"/>
        <v>100</v>
      </c>
      <c r="V27" s="709" t="s">
        <v>21</v>
      </c>
      <c r="W27" s="710">
        <f t="shared" si="14"/>
        <v>100</v>
      </c>
      <c r="X27" s="711"/>
      <c r="Y27" s="3307"/>
      <c r="Z27" s="55">
        <f>Q27</f>
        <v>111</v>
      </c>
      <c r="AA27" s="1535">
        <f t="shared" si="15"/>
        <v>1</v>
      </c>
      <c r="AB27" s="1535">
        <f t="shared" si="16"/>
        <v>1</v>
      </c>
      <c r="AC27" s="1535">
        <f t="shared" si="17"/>
        <v>1</v>
      </c>
    </row>
    <row r="28" spans="1:29" ht="15">
      <c r="A28" s="386"/>
      <c r="B28" s="1294">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52"/>
      <c r="Q28" s="1534">
        <f t="shared" si="11"/>
        <v>111</v>
      </c>
      <c r="R28" s="713" t="s">
        <v>21</v>
      </c>
      <c r="S28" s="714">
        <f t="shared" si="12"/>
        <v>100</v>
      </c>
      <c r="T28" s="713" t="s">
        <v>21</v>
      </c>
      <c r="U28" s="714">
        <f t="shared" si="13"/>
        <v>100</v>
      </c>
      <c r="V28" s="713" t="s">
        <v>21</v>
      </c>
      <c r="W28" s="714">
        <f t="shared" si="14"/>
        <v>100</v>
      </c>
      <c r="X28" s="1537"/>
      <c r="Y28" s="3307"/>
      <c r="Z28" s="1538">
        <f t="shared" ref="Z28:Z46" si="18">Q28</f>
        <v>111</v>
      </c>
      <c r="AA28" s="1535">
        <f t="shared" si="15"/>
        <v>1</v>
      </c>
      <c r="AB28" s="1535">
        <f t="shared" si="16"/>
        <v>1</v>
      </c>
      <c r="AC28" s="1535">
        <f t="shared" si="17"/>
        <v>1</v>
      </c>
    </row>
    <row r="29" spans="1:29" ht="15">
      <c r="A29" s="386"/>
      <c r="B29" s="1294">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52"/>
      <c r="Q29" s="1534">
        <f t="shared" si="11"/>
        <v>111</v>
      </c>
      <c r="R29" s="713" t="s">
        <v>21</v>
      </c>
      <c r="S29" s="714">
        <f t="shared" si="12"/>
        <v>100</v>
      </c>
      <c r="T29" s="713" t="s">
        <v>21</v>
      </c>
      <c r="U29" s="714">
        <f t="shared" si="13"/>
        <v>100</v>
      </c>
      <c r="V29" s="713" t="s">
        <v>21</v>
      </c>
      <c r="W29" s="714">
        <f t="shared" si="14"/>
        <v>100</v>
      </c>
      <c r="X29" s="1537"/>
      <c r="Y29" s="3307"/>
      <c r="Z29" s="1538">
        <f t="shared" si="18"/>
        <v>111</v>
      </c>
      <c r="AA29" s="1535">
        <f t="shared" si="15"/>
        <v>1</v>
      </c>
      <c r="AB29" s="1535">
        <f t="shared" si="16"/>
        <v>1</v>
      </c>
      <c r="AC29" s="1535">
        <f t="shared" si="17"/>
        <v>1</v>
      </c>
    </row>
    <row r="30" spans="1:29" ht="15">
      <c r="A30" s="386"/>
      <c r="B30" s="1294">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52"/>
      <c r="Q30" s="1534">
        <f t="shared" si="11"/>
        <v>111</v>
      </c>
      <c r="R30" s="713" t="s">
        <v>21</v>
      </c>
      <c r="S30" s="714">
        <f t="shared" si="12"/>
        <v>100</v>
      </c>
      <c r="T30" s="713" t="s">
        <v>21</v>
      </c>
      <c r="U30" s="714">
        <f t="shared" si="13"/>
        <v>100</v>
      </c>
      <c r="V30" s="713" t="s">
        <v>21</v>
      </c>
      <c r="W30" s="714">
        <f t="shared" si="14"/>
        <v>100</v>
      </c>
      <c r="X30" s="1537"/>
      <c r="Y30" s="3307"/>
      <c r="Z30" s="1538">
        <f t="shared" si="18"/>
        <v>111</v>
      </c>
      <c r="AA30" s="1535">
        <f t="shared" si="15"/>
        <v>1</v>
      </c>
      <c r="AB30" s="1535">
        <f t="shared" si="16"/>
        <v>1</v>
      </c>
      <c r="AC30" s="1535">
        <f t="shared" si="17"/>
        <v>1</v>
      </c>
    </row>
    <row r="31" spans="1:29" ht="15.75" thickBot="1">
      <c r="A31" s="394"/>
      <c r="B31" s="1294">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52"/>
      <c r="Q31" s="1534">
        <f t="shared" si="11"/>
        <v>111</v>
      </c>
      <c r="R31" s="713" t="s">
        <v>21</v>
      </c>
      <c r="S31" s="714">
        <f t="shared" si="12"/>
        <v>100</v>
      </c>
      <c r="T31" s="713" t="s">
        <v>21</v>
      </c>
      <c r="U31" s="714">
        <f t="shared" si="13"/>
        <v>100</v>
      </c>
      <c r="V31" s="713" t="s">
        <v>21</v>
      </c>
      <c r="W31" s="714">
        <f t="shared" si="14"/>
        <v>100</v>
      </c>
      <c r="X31" s="1537"/>
      <c r="Y31" s="3307"/>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47" t="s">
        <v>2386</v>
      </c>
      <c r="Q32" s="1534" t="str">
        <f t="shared" si="11"/>
        <v>建筑类型</v>
      </c>
      <c r="R32" s="713" t="s">
        <v>21</v>
      </c>
      <c r="S32" s="714">
        <f t="shared" si="12"/>
        <v>100</v>
      </c>
      <c r="T32" s="713" t="s">
        <v>21</v>
      </c>
      <c r="U32" s="714">
        <f t="shared" si="13"/>
        <v>100</v>
      </c>
      <c r="V32" s="713" t="s">
        <v>21</v>
      </c>
      <c r="W32" s="714">
        <f t="shared" si="14"/>
        <v>100</v>
      </c>
      <c r="X32" s="1537"/>
      <c r="Y32" s="3309"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48"/>
      <c r="Q33" s="715" t="str">
        <f t="shared" si="11"/>
        <v>项目建筑规模</v>
      </c>
      <c r="R33" s="716" t="s">
        <v>21</v>
      </c>
      <c r="S33" s="717" t="e">
        <f t="shared" si="12"/>
        <v>#N/A</v>
      </c>
      <c r="T33" s="716" t="s">
        <v>21</v>
      </c>
      <c r="U33" s="717" t="e">
        <f t="shared" si="13"/>
        <v>#N/A</v>
      </c>
      <c r="V33" s="716" t="s">
        <v>21</v>
      </c>
      <c r="W33" s="717" t="e">
        <f t="shared" si="14"/>
        <v>#N/A</v>
      </c>
      <c r="X33" s="718"/>
      <c r="Y33" s="3309"/>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48"/>
      <c r="Q34" s="1534" t="str">
        <f t="shared" si="11"/>
        <v>建筑结构</v>
      </c>
      <c r="R34" s="713" t="s">
        <v>21</v>
      </c>
      <c r="S34" s="714">
        <f t="shared" si="12"/>
        <v>100</v>
      </c>
      <c r="T34" s="713" t="s">
        <v>21</v>
      </c>
      <c r="U34" s="714">
        <f t="shared" si="13"/>
        <v>100</v>
      </c>
      <c r="V34" s="713" t="s">
        <v>21</v>
      </c>
      <c r="W34" s="714">
        <f t="shared" si="14"/>
        <v>100</v>
      </c>
      <c r="X34" s="1537"/>
      <c r="Y34" s="3309"/>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48"/>
      <c r="Q35" s="1534" t="str">
        <f t="shared" si="11"/>
        <v>建筑品质</v>
      </c>
      <c r="R35" s="713" t="s">
        <v>21</v>
      </c>
      <c r="S35" s="714">
        <f t="shared" si="12"/>
        <v>100</v>
      </c>
      <c r="T35" s="713" t="s">
        <v>21</v>
      </c>
      <c r="U35" s="714">
        <f t="shared" si="13"/>
        <v>100</v>
      </c>
      <c r="V35" s="713" t="s">
        <v>21</v>
      </c>
      <c r="W35" s="714">
        <f t="shared" si="14"/>
        <v>100</v>
      </c>
      <c r="X35" s="1537"/>
      <c r="Y35" s="3309"/>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48"/>
      <c r="Q36" s="1534" t="str">
        <f t="shared" si="11"/>
        <v>公共部分装修</v>
      </c>
      <c r="R36" s="713" t="s">
        <v>21</v>
      </c>
      <c r="S36" s="714">
        <f t="shared" si="12"/>
        <v>100</v>
      </c>
      <c r="T36" s="713" t="s">
        <v>21</v>
      </c>
      <c r="U36" s="714">
        <f t="shared" si="13"/>
        <v>100</v>
      </c>
      <c r="V36" s="713" t="s">
        <v>21</v>
      </c>
      <c r="W36" s="714">
        <f t="shared" si="14"/>
        <v>100</v>
      </c>
      <c r="X36" s="1537"/>
      <c r="Y36" s="3309"/>
      <c r="Z36" s="1538" t="str">
        <f t="shared" si="18"/>
        <v>公共部分装修</v>
      </c>
      <c r="AA36" s="1535">
        <f t="shared" si="15"/>
        <v>1</v>
      </c>
      <c r="AB36" s="1535">
        <f t="shared" si="16"/>
        <v>1</v>
      </c>
      <c r="AC36" s="1535">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48"/>
      <c r="Q37" s="1525" t="str">
        <f t="shared" si="11"/>
        <v>成新度</v>
      </c>
      <c r="R37" s="709" t="s">
        <v>21</v>
      </c>
      <c r="S37" s="710" t="e">
        <f t="shared" si="12"/>
        <v>#N/A</v>
      </c>
      <c r="T37" s="709" t="s">
        <v>21</v>
      </c>
      <c r="U37" s="710" t="e">
        <f t="shared" si="13"/>
        <v>#N/A</v>
      </c>
      <c r="V37" s="709" t="s">
        <v>21</v>
      </c>
      <c r="W37" s="710" t="e">
        <f t="shared" si="14"/>
        <v>#N/A</v>
      </c>
      <c r="X37" s="711"/>
      <c r="Y37" s="3309"/>
      <c r="Z37" s="55"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48" t="s">
        <v>2386</v>
      </c>
      <c r="Q38" s="1534" t="str">
        <f t="shared" si="11"/>
        <v>物业管理</v>
      </c>
      <c r="R38" s="713" t="s">
        <v>21</v>
      </c>
      <c r="S38" s="714">
        <f t="shared" si="12"/>
        <v>100</v>
      </c>
      <c r="T38" s="713" t="s">
        <v>21</v>
      </c>
      <c r="U38" s="714">
        <f t="shared" si="13"/>
        <v>100</v>
      </c>
      <c r="V38" s="713" t="s">
        <v>21</v>
      </c>
      <c r="W38" s="714">
        <f t="shared" si="14"/>
        <v>100</v>
      </c>
      <c r="X38" s="1537"/>
      <c r="Y38" s="3309"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48"/>
      <c r="Q39" s="1534" t="str">
        <f t="shared" si="11"/>
        <v>市政基础设施</v>
      </c>
      <c r="R39" s="713" t="s">
        <v>21</v>
      </c>
      <c r="S39" s="714">
        <f t="shared" si="12"/>
        <v>100</v>
      </c>
      <c r="T39" s="713" t="s">
        <v>21</v>
      </c>
      <c r="U39" s="714">
        <f t="shared" si="13"/>
        <v>100</v>
      </c>
      <c r="V39" s="713" t="s">
        <v>21</v>
      </c>
      <c r="W39" s="714">
        <f t="shared" si="14"/>
        <v>100</v>
      </c>
      <c r="X39" s="1537"/>
      <c r="Y39" s="3309"/>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48"/>
      <c r="Q40" s="1534" t="str">
        <f t="shared" si="11"/>
        <v>房型</v>
      </c>
      <c r="R40" s="713" t="s">
        <v>21</v>
      </c>
      <c r="S40" s="714">
        <f t="shared" si="12"/>
        <v>100</v>
      </c>
      <c r="T40" s="713" t="s">
        <v>21</v>
      </c>
      <c r="U40" s="714">
        <f t="shared" si="13"/>
        <v>100</v>
      </c>
      <c r="V40" s="713" t="s">
        <v>21</v>
      </c>
      <c r="W40" s="714">
        <f t="shared" si="14"/>
        <v>100</v>
      </c>
      <c r="X40" s="1537"/>
      <c r="Y40" s="3309"/>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48"/>
      <c r="Q41" s="715" t="str">
        <f t="shared" si="11"/>
        <v>单套/主力户型建筑面积</v>
      </c>
      <c r="R41" s="716" t="s">
        <v>21</v>
      </c>
      <c r="S41" s="717">
        <f t="shared" si="12"/>
        <v>100</v>
      </c>
      <c r="T41" s="716" t="s">
        <v>21</v>
      </c>
      <c r="U41" s="717">
        <f t="shared" si="13"/>
        <v>100</v>
      </c>
      <c r="V41" s="716" t="s">
        <v>21</v>
      </c>
      <c r="W41" s="717">
        <f t="shared" si="14"/>
        <v>100</v>
      </c>
      <c r="X41" s="718"/>
      <c r="Y41" s="3309"/>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48"/>
      <c r="Q42" s="1534" t="str">
        <f t="shared" si="11"/>
        <v>内部装修</v>
      </c>
      <c r="R42" s="713" t="s">
        <v>21</v>
      </c>
      <c r="S42" s="714">
        <f t="shared" si="12"/>
        <v>100</v>
      </c>
      <c r="T42" s="713" t="s">
        <v>21</v>
      </c>
      <c r="U42" s="714">
        <f t="shared" si="13"/>
        <v>100</v>
      </c>
      <c r="V42" s="713" t="s">
        <v>21</v>
      </c>
      <c r="W42" s="714">
        <f t="shared" si="14"/>
        <v>100</v>
      </c>
      <c r="X42" s="1537"/>
      <c r="Y42" s="3309"/>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48"/>
      <c r="Q43" s="1534" t="str">
        <f t="shared" si="11"/>
        <v>内部装修维护情况</v>
      </c>
      <c r="R43" s="713" t="s">
        <v>21</v>
      </c>
      <c r="S43" s="714">
        <f t="shared" si="12"/>
        <v>100</v>
      </c>
      <c r="T43" s="713" t="s">
        <v>21</v>
      </c>
      <c r="U43" s="714">
        <f t="shared" si="13"/>
        <v>100</v>
      </c>
      <c r="V43" s="713" t="s">
        <v>21</v>
      </c>
      <c r="W43" s="714">
        <f t="shared" si="14"/>
        <v>100</v>
      </c>
      <c r="X43" s="1537"/>
      <c r="Y43" s="3309"/>
      <c r="Z43" s="1538" t="str">
        <f t="shared" si="18"/>
        <v>内部装修维护情况</v>
      </c>
      <c r="AA43" s="1535">
        <f t="shared" si="15"/>
        <v>1</v>
      </c>
      <c r="AB43" s="1535">
        <f t="shared" si="16"/>
        <v>1</v>
      </c>
      <c r="AC43" s="1535">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48"/>
      <c r="Q44" s="1525">
        <f t="shared" si="11"/>
        <v>111</v>
      </c>
      <c r="R44" s="709" t="s">
        <v>21</v>
      </c>
      <c r="S44" s="710">
        <f t="shared" si="12"/>
        <v>100</v>
      </c>
      <c r="T44" s="709" t="s">
        <v>21</v>
      </c>
      <c r="U44" s="710">
        <f t="shared" si="13"/>
        <v>100</v>
      </c>
      <c r="V44" s="709" t="s">
        <v>21</v>
      </c>
      <c r="W44" s="710">
        <f t="shared" si="14"/>
        <v>100</v>
      </c>
      <c r="X44" s="711"/>
      <c r="Y44" s="3309"/>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48"/>
      <c r="Q45" s="1534">
        <f t="shared" si="11"/>
        <v>111</v>
      </c>
      <c r="R45" s="713" t="s">
        <v>21</v>
      </c>
      <c r="S45" s="714">
        <f t="shared" si="12"/>
        <v>100</v>
      </c>
      <c r="T45" s="713" t="s">
        <v>21</v>
      </c>
      <c r="U45" s="714">
        <f t="shared" si="13"/>
        <v>100</v>
      </c>
      <c r="V45" s="713" t="s">
        <v>21</v>
      </c>
      <c r="W45" s="714">
        <f t="shared" si="14"/>
        <v>100</v>
      </c>
      <c r="X45" s="1537"/>
      <c r="Y45" s="3309"/>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49"/>
      <c r="Q46" s="1534">
        <f t="shared" si="11"/>
        <v>111</v>
      </c>
      <c r="R46" s="713" t="s">
        <v>20</v>
      </c>
      <c r="S46" s="714">
        <f t="shared" si="12"/>
        <v>100</v>
      </c>
      <c r="T46" s="713" t="s">
        <v>20</v>
      </c>
      <c r="U46" s="714">
        <f t="shared" si="13"/>
        <v>100</v>
      </c>
      <c r="V46" s="713" t="s">
        <v>20</v>
      </c>
      <c r="W46" s="714">
        <f t="shared" si="14"/>
        <v>100</v>
      </c>
      <c r="X46" s="1537"/>
      <c r="Y46" s="3350"/>
      <c r="Z46" s="1538">
        <f t="shared" si="18"/>
        <v>111</v>
      </c>
      <c r="AA46" s="1535">
        <f t="shared" si="15"/>
        <v>1</v>
      </c>
      <c r="AB46" s="1535">
        <f t="shared" si="16"/>
        <v>1</v>
      </c>
      <c r="AC46" s="1535">
        <f t="shared" si="17"/>
        <v>1</v>
      </c>
    </row>
    <row r="47" spans="1:29" ht="15">
      <c r="A47" s="437" t="s">
        <v>2398</v>
      </c>
      <c r="B47" s="438"/>
      <c r="C47" s="1315" t="s">
        <v>19</v>
      </c>
      <c r="D47" s="1316"/>
      <c r="E47" s="1317"/>
      <c r="F47" s="1318"/>
      <c r="G47" s="1319"/>
      <c r="H47" s="1320"/>
      <c r="I47" s="1317"/>
      <c r="J47" s="1320"/>
      <c r="K47" s="2098"/>
      <c r="L47" s="2951"/>
      <c r="M47" s="2952"/>
      <c r="N47" s="2943"/>
      <c r="O47" s="2952"/>
      <c r="P47" s="3291" t="str">
        <f>A47</f>
        <v>成交单价（元/平方米）</v>
      </c>
      <c r="Q47" s="3291"/>
      <c r="R47" s="3346">
        <f>E47</f>
        <v>0</v>
      </c>
      <c r="S47" s="3346"/>
      <c r="T47" s="3346">
        <f>G47</f>
        <v>0</v>
      </c>
      <c r="U47" s="3346"/>
      <c r="V47" s="3346">
        <f>I47</f>
        <v>0</v>
      </c>
      <c r="W47" s="3346"/>
      <c r="X47" s="698"/>
      <c r="Y47" s="720"/>
      <c r="Z47" s="698"/>
      <c r="AA47" s="698"/>
      <c r="AB47" s="698"/>
      <c r="AC47" s="698"/>
    </row>
    <row r="48" spans="1:29" ht="15.75" thickBot="1">
      <c r="A48" s="444" t="s">
        <v>2399</v>
      </c>
      <c r="B48" s="445"/>
      <c r="C48" s="1321" t="e">
        <f>R49</f>
        <v>#DIV/0!</v>
      </c>
      <c r="D48" s="2536" t="s">
        <v>2881</v>
      </c>
      <c r="E48" s="1322" t="e">
        <f>R48</f>
        <v>#DIV/0!</v>
      </c>
      <c r="F48" s="2537"/>
      <c r="G48" s="1321" t="e">
        <f>T48</f>
        <v>#DIV/0!</v>
      </c>
      <c r="H48" s="2537"/>
      <c r="I48" s="1322" t="e">
        <f>V48</f>
        <v>#DIV/0!</v>
      </c>
      <c r="J48" s="2537"/>
      <c r="K48" s="2538">
        <f>F48+H48+J48</f>
        <v>0</v>
      </c>
      <c r="L48" s="2951"/>
      <c r="M48" s="2952"/>
      <c r="N48" s="2952"/>
      <c r="O48" s="2952"/>
      <c r="P48" s="3291" t="str">
        <f>A48</f>
        <v>比较价值（元/平方米）</v>
      </c>
      <c r="Q48" s="3291"/>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099"/>
      <c r="L49" s="2951"/>
      <c r="M49" s="2952"/>
      <c r="N49" s="2952"/>
      <c r="O49" s="2952"/>
      <c r="P49" s="3311" t="str">
        <f>A49</f>
        <v>估价对象XX用房的比较价值（楼面单价，元/平方米）</v>
      </c>
      <c r="Q49" s="3312"/>
      <c r="R49" s="3345" t="e">
        <f>IF(F1="售价",ROUND(IF(D48="简单平均",AVERAGE(R48:V48),R48*F48+T48*H48+V48*J48),0),ROUND(IF(D48="简单平均",AVERAGE(R48:V48),R48*F48+T48*H48+V48*J48),1))</f>
        <v>#DIV/0!</v>
      </c>
      <c r="S49" s="3345"/>
      <c r="T49" s="3345"/>
      <c r="U49" s="3345"/>
      <c r="V49" s="3345"/>
      <c r="W49" s="334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2"/>
      <c r="O61" s="1062"/>
      <c r="P61" s="2105"/>
      <c r="Q61" s="460"/>
    </row>
    <row r="62" spans="1:29" s="113"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3" customFormat="1" ht="15.75" thickTop="1">
      <c r="A86" s="535"/>
      <c r="B86" s="494" t="s">
        <v>2431</v>
      </c>
      <c r="C86" s="510"/>
      <c r="D86" s="510"/>
      <c r="E86" s="510"/>
      <c r="F86" s="510"/>
      <c r="G86" s="510"/>
      <c r="H86" s="510"/>
      <c r="I86" s="510"/>
      <c r="J86" s="510"/>
      <c r="K86" s="510"/>
      <c r="L86" s="536"/>
      <c r="M86" s="537"/>
      <c r="N86" s="1062"/>
      <c r="O86" s="1062"/>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3" customFormat="1" ht="15.75" thickTop="1">
      <c r="A88" s="535"/>
      <c r="B88" s="494" t="s">
        <v>2432</v>
      </c>
      <c r="C88" s="510"/>
      <c r="D88" s="510"/>
      <c r="E88" s="510"/>
      <c r="F88" s="2111"/>
      <c r="G88" s="510"/>
      <c r="H88" s="510"/>
      <c r="I88" s="510"/>
      <c r="J88" s="510"/>
      <c r="K88" s="510"/>
      <c r="L88" s="510"/>
      <c r="M88" s="537"/>
      <c r="N88" s="1062"/>
      <c r="O88" s="1062"/>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5" t="e">
        <f ca="1">IF(C2="——",ROUND(C49*D3/10000,0),ROUND(C49*D3/10000,0)-D2)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17349.86</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92" t="s">
        <v>2467</v>
      </c>
      <c r="D4" s="3293"/>
      <c r="E4" s="3294" t="s">
        <v>2468</v>
      </c>
      <c r="F4" s="3295"/>
      <c r="G4" s="3292" t="s">
        <v>2469</v>
      </c>
      <c r="H4" s="3293"/>
      <c r="I4" s="3292" t="s">
        <v>2470</v>
      </c>
      <c r="J4" s="3293"/>
      <c r="K4" s="566" t="s">
        <v>2471</v>
      </c>
      <c r="L4" s="2942"/>
      <c r="M4" s="2943"/>
      <c r="N4" s="2943"/>
      <c r="O4" s="2943"/>
      <c r="P4" s="3296" t="s">
        <v>2472</v>
      </c>
      <c r="Q4" s="3297"/>
      <c r="R4" s="3279" t="s">
        <v>2468</v>
      </c>
      <c r="S4" s="3280"/>
      <c r="T4" s="3279" t="s">
        <v>2469</v>
      </c>
      <c r="U4" s="3280"/>
      <c r="V4" s="3304" t="s">
        <v>2470</v>
      </c>
      <c r="W4" s="3304"/>
      <c r="X4" s="1537"/>
      <c r="Y4" s="3279" t="s">
        <v>2472</v>
      </c>
      <c r="Z4" s="3280"/>
      <c r="AA4" s="3274" t="s">
        <v>2468</v>
      </c>
      <c r="AB4" s="3304" t="s">
        <v>2469</v>
      </c>
      <c r="AC4" s="3274" t="s">
        <v>2470</v>
      </c>
    </row>
    <row r="5" spans="1:29" ht="15">
      <c r="A5" s="363"/>
      <c r="B5" s="364"/>
      <c r="C5" s="3285" t="s">
        <v>2363</v>
      </c>
      <c r="D5" s="3286"/>
      <c r="E5" s="3283" t="s">
        <v>2364</v>
      </c>
      <c r="F5" s="3284"/>
      <c r="G5" s="3285" t="s">
        <v>2365</v>
      </c>
      <c r="H5" s="3286"/>
      <c r="I5" s="3285" t="s">
        <v>2366</v>
      </c>
      <c r="J5" s="3286"/>
      <c r="K5" s="566"/>
      <c r="L5" s="2942"/>
      <c r="M5" s="2943"/>
      <c r="N5" s="2943"/>
      <c r="O5" s="2943"/>
      <c r="P5" s="3298"/>
      <c r="Q5" s="3299"/>
      <c r="R5" s="3281"/>
      <c r="S5" s="3282"/>
      <c r="T5" s="3281"/>
      <c r="U5" s="3282"/>
      <c r="V5" s="3304"/>
      <c r="W5" s="3304"/>
      <c r="X5" s="1537"/>
      <c r="Y5" s="3281"/>
      <c r="Z5" s="3282"/>
      <c r="AA5" s="3275"/>
      <c r="AB5" s="3304"/>
      <c r="AC5" s="3275"/>
    </row>
    <row r="6" spans="1:29" ht="15.75" thickBot="1">
      <c r="A6" s="365"/>
      <c r="B6" s="366"/>
      <c r="C6" s="3287" t="s">
        <v>2367</v>
      </c>
      <c r="D6" s="3288"/>
      <c r="E6" s="3289" t="s">
        <v>2367</v>
      </c>
      <c r="F6" s="3290"/>
      <c r="G6" s="3287" t="s">
        <v>2367</v>
      </c>
      <c r="H6" s="3288"/>
      <c r="I6" s="3287" t="s">
        <v>2367</v>
      </c>
      <c r="J6" s="3288"/>
      <c r="K6" s="566" t="s">
        <v>2368</v>
      </c>
      <c r="L6" s="2942"/>
      <c r="M6" s="2943"/>
      <c r="N6" s="2943"/>
      <c r="O6" s="2943"/>
      <c r="P6" s="3300"/>
      <c r="Q6" s="3301"/>
      <c r="R6" s="3281"/>
      <c r="S6" s="3282"/>
      <c r="T6" s="3302"/>
      <c r="U6" s="3303"/>
      <c r="V6" s="3304"/>
      <c r="W6" s="3304"/>
      <c r="X6" s="1537"/>
      <c r="Y6" s="3302"/>
      <c r="Z6" s="3303"/>
      <c r="AA6" s="3276"/>
      <c r="AB6" s="3304"/>
      <c r="AC6" s="3276"/>
    </row>
    <row r="7" spans="1:29" s="113" customFormat="1" ht="15.75" thickBot="1">
      <c r="A7" s="367" t="s">
        <v>2369</v>
      </c>
      <c r="B7" s="368"/>
      <c r="C7" s="369">
        <f>'数据-取费表'!B2</f>
        <v>44421</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77" t="s">
        <v>2370</v>
      </c>
      <c r="Q7" s="3305"/>
      <c r="R7" s="709" t="s">
        <v>17</v>
      </c>
      <c r="S7" s="710">
        <f t="shared" ref="S7:S15" si="0">F7</f>
        <v>0</v>
      </c>
      <c r="T7" s="709" t="s">
        <v>17</v>
      </c>
      <c r="U7" s="710">
        <f t="shared" ref="U7:U15" si="1">H7</f>
        <v>0</v>
      </c>
      <c r="V7" s="709" t="s">
        <v>17</v>
      </c>
      <c r="W7" s="710">
        <f t="shared" ref="W7:W15" si="2">J7</f>
        <v>0</v>
      </c>
      <c r="X7" s="711"/>
      <c r="Y7" s="3277" t="s">
        <v>2370</v>
      </c>
      <c r="Z7" s="3278"/>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77" t="s">
        <v>2373</v>
      </c>
      <c r="Q8" s="3278"/>
      <c r="R8" s="709" t="s">
        <v>17</v>
      </c>
      <c r="S8" s="710">
        <f t="shared" si="0"/>
        <v>0</v>
      </c>
      <c r="T8" s="709" t="s">
        <v>17</v>
      </c>
      <c r="U8" s="710">
        <f t="shared" si="1"/>
        <v>0</v>
      </c>
      <c r="V8" s="709" t="s">
        <v>17</v>
      </c>
      <c r="W8" s="710">
        <f t="shared" si="2"/>
        <v>0</v>
      </c>
      <c r="X8" s="711"/>
      <c r="Y8" s="3277" t="s">
        <v>2373</v>
      </c>
      <c r="Z8" s="3278"/>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15" t="s">
        <v>2376</v>
      </c>
      <c r="Q9" s="1525" t="str">
        <f t="shared" ref="Q9:Q15" si="6">B9</f>
        <v>用途</v>
      </c>
      <c r="R9" s="709" t="s">
        <v>17</v>
      </c>
      <c r="S9" s="710">
        <f t="shared" si="0"/>
        <v>100</v>
      </c>
      <c r="T9" s="709" t="s">
        <v>17</v>
      </c>
      <c r="U9" s="710">
        <f t="shared" si="1"/>
        <v>100</v>
      </c>
      <c r="V9" s="709" t="s">
        <v>17</v>
      </c>
      <c r="W9" s="710">
        <f t="shared" si="2"/>
        <v>100</v>
      </c>
      <c r="X9" s="711"/>
      <c r="Y9" s="3247"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15"/>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15"/>
      <c r="Q11" s="1525"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15"/>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15"/>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15"/>
      <c r="Q14" s="1525">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71.25">
      <c r="A15" s="398" t="s">
        <v>2380</v>
      </c>
      <c r="B15" s="65"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51" t="s">
        <v>2381</v>
      </c>
      <c r="Q15" s="1534" t="str">
        <f t="shared" si="6"/>
        <v>商业繁华度</v>
      </c>
      <c r="R15" s="713" t="s">
        <v>17</v>
      </c>
      <c r="S15" s="714">
        <f t="shared" si="0"/>
        <v>100</v>
      </c>
      <c r="T15" s="713" t="s">
        <v>17</v>
      </c>
      <c r="U15" s="714">
        <f t="shared" si="1"/>
        <v>100</v>
      </c>
      <c r="V15" s="713" t="s">
        <v>17</v>
      </c>
      <c r="W15" s="714">
        <f t="shared" si="2"/>
        <v>100</v>
      </c>
      <c r="X15" s="1537"/>
      <c r="Y15" s="3306"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52"/>
      <c r="Q16" s="1534"/>
      <c r="R16" s="713"/>
      <c r="S16" s="714"/>
      <c r="T16" s="713"/>
      <c r="U16" s="714"/>
      <c r="V16" s="713"/>
      <c r="W16" s="714"/>
      <c r="X16" s="1537"/>
      <c r="Y16" s="330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52"/>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52"/>
      <c r="Q18" s="1534"/>
      <c r="R18" s="713"/>
      <c r="S18" s="714"/>
      <c r="T18" s="713"/>
      <c r="U18" s="714"/>
      <c r="V18" s="713"/>
      <c r="W18" s="714"/>
      <c r="X18" s="1537"/>
      <c r="Y18" s="3307"/>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52"/>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52"/>
      <c r="Q20" s="1534"/>
      <c r="R20" s="713"/>
      <c r="S20" s="714"/>
      <c r="T20" s="713"/>
      <c r="U20" s="714"/>
      <c r="V20" s="713"/>
      <c r="W20" s="714"/>
      <c r="X20" s="1537"/>
      <c r="Y20" s="3307"/>
      <c r="Z20" s="1538"/>
      <c r="AA20" s="1535">
        <v>1</v>
      </c>
      <c r="AB20" s="1535">
        <v>1</v>
      </c>
      <c r="AC20" s="1535">
        <v>1</v>
      </c>
    </row>
    <row r="21" spans="1:29" ht="28.5">
      <c r="A21" s="386"/>
      <c r="B21" s="1292"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52"/>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7"/>
      <c r="G22" s="405"/>
      <c r="H22" s="406"/>
      <c r="I22" s="405"/>
      <c r="J22" s="406"/>
      <c r="K22" s="1291"/>
      <c r="L22" s="2949"/>
      <c r="M22" s="2943"/>
      <c r="N22" s="2943"/>
      <c r="O22" s="2943"/>
      <c r="P22" s="3352"/>
      <c r="Q22" s="1534"/>
      <c r="R22" s="713"/>
      <c r="S22" s="714"/>
      <c r="T22" s="713"/>
      <c r="U22" s="714"/>
      <c r="V22" s="713"/>
      <c r="W22" s="714"/>
      <c r="X22" s="1537"/>
      <c r="Y22" s="3307"/>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52"/>
      <c r="Q23" s="1534" t="str">
        <f>B23</f>
        <v>自然及人文环境</v>
      </c>
      <c r="R23" s="713" t="s">
        <v>17</v>
      </c>
      <c r="S23" s="714">
        <f>F23</f>
        <v>100</v>
      </c>
      <c r="T23" s="713" t="s">
        <v>17</v>
      </c>
      <c r="U23" s="714">
        <f>H23</f>
        <v>100</v>
      </c>
      <c r="V23" s="713" t="s">
        <v>17</v>
      </c>
      <c r="W23" s="714">
        <f>J23</f>
        <v>100</v>
      </c>
      <c r="X23" s="1537"/>
      <c r="Y23" s="3307"/>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52"/>
      <c r="Q24" s="1534"/>
      <c r="R24" s="713"/>
      <c r="S24" s="714"/>
      <c r="T24" s="713"/>
      <c r="U24" s="714"/>
      <c r="V24" s="713"/>
      <c r="W24" s="714"/>
      <c r="X24" s="1537"/>
      <c r="Y24" s="3307"/>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52"/>
      <c r="Q25" s="1534" t="str">
        <f t="shared" ref="Q25:Q46" si="11">B25</f>
        <v>临街状况</v>
      </c>
      <c r="R25" s="713" t="s">
        <v>17</v>
      </c>
      <c r="S25" s="714">
        <f>F25</f>
        <v>100</v>
      </c>
      <c r="T25" s="713" t="s">
        <v>17</v>
      </c>
      <c r="U25" s="714">
        <f>H25</f>
        <v>100</v>
      </c>
      <c r="V25" s="713" t="s">
        <v>17</v>
      </c>
      <c r="W25" s="714">
        <f>J25</f>
        <v>100</v>
      </c>
      <c r="X25" s="1537"/>
      <c r="Y25" s="3307"/>
      <c r="Z25" s="1538" t="str">
        <f>Q25</f>
        <v>临街状况</v>
      </c>
      <c r="AA25" s="1535">
        <f t="shared" si="3"/>
        <v>1</v>
      </c>
      <c r="AB25" s="1535">
        <f t="shared" si="4"/>
        <v>1</v>
      </c>
      <c r="AC25" s="1535">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52"/>
      <c r="Q26" s="1534" t="str">
        <f t="shared" si="11"/>
        <v>平面位置/可视性</v>
      </c>
      <c r="R26" s="713" t="s">
        <v>17</v>
      </c>
      <c r="S26" s="714">
        <f>F26</f>
        <v>100</v>
      </c>
      <c r="T26" s="713" t="s">
        <v>17</v>
      </c>
      <c r="U26" s="714">
        <f>H26</f>
        <v>100</v>
      </c>
      <c r="V26" s="713" t="s">
        <v>17</v>
      </c>
      <c r="W26" s="714">
        <f>J26</f>
        <v>100</v>
      </c>
      <c r="X26" s="1537"/>
      <c r="Y26" s="3307"/>
      <c r="Z26" s="1538" t="str">
        <f>Q26</f>
        <v>平面位置/可视性</v>
      </c>
      <c r="AA26" s="1535">
        <f t="shared" si="3"/>
        <v>1</v>
      </c>
      <c r="AB26" s="1535">
        <f t="shared" si="4"/>
        <v>1</v>
      </c>
      <c r="AC26" s="1535">
        <f t="shared" si="5"/>
        <v>1</v>
      </c>
    </row>
    <row r="27" spans="1:29" s="113"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52"/>
      <c r="Q27" s="1525" t="str">
        <f t="shared" si="11"/>
        <v>人流量</v>
      </c>
      <c r="R27" s="709" t="s">
        <v>17</v>
      </c>
      <c r="S27" s="710">
        <f>F27</f>
        <v>100</v>
      </c>
      <c r="T27" s="709" t="s">
        <v>17</v>
      </c>
      <c r="U27" s="710">
        <f>H27</f>
        <v>100</v>
      </c>
      <c r="V27" s="709" t="s">
        <v>17</v>
      </c>
      <c r="W27" s="710">
        <f>J27</f>
        <v>100</v>
      </c>
      <c r="X27" s="711"/>
      <c r="Y27" s="3307"/>
      <c r="Z27" s="55"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52"/>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07"/>
      <c r="Z28" s="1538" t="str">
        <f t="shared" ref="Z28:Z46" si="15">Q28</f>
        <v>楼层</v>
      </c>
      <c r="AA28" s="1535">
        <f t="shared" si="3"/>
        <v>1</v>
      </c>
      <c r="AB28" s="1535">
        <f t="shared" si="4"/>
        <v>1</v>
      </c>
      <c r="AC28" s="1535">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52"/>
      <c r="Q29" s="1534">
        <f t="shared" si="11"/>
        <v>111</v>
      </c>
      <c r="R29" s="713" t="s">
        <v>17</v>
      </c>
      <c r="S29" s="714">
        <f t="shared" si="12"/>
        <v>100</v>
      </c>
      <c r="T29" s="713" t="s">
        <v>17</v>
      </c>
      <c r="U29" s="714">
        <f t="shared" si="13"/>
        <v>100</v>
      </c>
      <c r="V29" s="713" t="s">
        <v>17</v>
      </c>
      <c r="W29" s="714">
        <f t="shared" si="14"/>
        <v>100</v>
      </c>
      <c r="X29" s="1537"/>
      <c r="Y29" s="3307"/>
      <c r="Z29" s="1538">
        <f t="shared" si="15"/>
        <v>111</v>
      </c>
      <c r="AA29" s="1535">
        <f t="shared" si="3"/>
        <v>1</v>
      </c>
      <c r="AB29" s="1535">
        <f t="shared" si="4"/>
        <v>1</v>
      </c>
      <c r="AC29" s="1535">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52"/>
      <c r="Q30" s="1534">
        <f t="shared" si="11"/>
        <v>111</v>
      </c>
      <c r="R30" s="713" t="s">
        <v>17</v>
      </c>
      <c r="S30" s="714">
        <f t="shared" si="12"/>
        <v>100</v>
      </c>
      <c r="T30" s="713" t="s">
        <v>17</v>
      </c>
      <c r="U30" s="714">
        <f t="shared" si="13"/>
        <v>100</v>
      </c>
      <c r="V30" s="713" t="s">
        <v>17</v>
      </c>
      <c r="W30" s="714">
        <f t="shared" si="14"/>
        <v>100</v>
      </c>
      <c r="X30" s="1537"/>
      <c r="Y30" s="3307"/>
      <c r="Z30" s="1538">
        <f t="shared" si="15"/>
        <v>111</v>
      </c>
      <c r="AA30" s="1535">
        <f t="shared" si="3"/>
        <v>1</v>
      </c>
      <c r="AB30" s="1535">
        <f t="shared" si="4"/>
        <v>1</v>
      </c>
      <c r="AC30" s="1535">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52"/>
      <c r="Q31" s="1534">
        <f t="shared" si="11"/>
        <v>111</v>
      </c>
      <c r="R31" s="713" t="s">
        <v>17</v>
      </c>
      <c r="S31" s="714">
        <f t="shared" si="12"/>
        <v>100</v>
      </c>
      <c r="T31" s="713" t="s">
        <v>17</v>
      </c>
      <c r="U31" s="714">
        <f t="shared" si="13"/>
        <v>100</v>
      </c>
      <c r="V31" s="713" t="s">
        <v>17</v>
      </c>
      <c r="W31" s="714">
        <f t="shared" si="14"/>
        <v>100</v>
      </c>
      <c r="X31" s="1537"/>
      <c r="Y31" s="3307"/>
      <c r="Z31" s="1538">
        <f t="shared" si="15"/>
        <v>111</v>
      </c>
      <c r="AA31" s="1535">
        <f t="shared" si="3"/>
        <v>1</v>
      </c>
      <c r="AB31" s="1535">
        <f t="shared" si="4"/>
        <v>1</v>
      </c>
      <c r="AC31" s="1535">
        <f t="shared" si="5"/>
        <v>1</v>
      </c>
    </row>
    <row r="32" spans="1:29" ht="15">
      <c r="A32" s="398" t="s">
        <v>2384</v>
      </c>
      <c r="B32" s="67"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47" t="s">
        <v>2386</v>
      </c>
      <c r="Q32" s="1534" t="str">
        <f t="shared" si="11"/>
        <v>商业类型</v>
      </c>
      <c r="R32" s="713" t="s">
        <v>17</v>
      </c>
      <c r="S32" s="714">
        <f t="shared" si="12"/>
        <v>100</v>
      </c>
      <c r="T32" s="713" t="s">
        <v>17</v>
      </c>
      <c r="U32" s="714">
        <f t="shared" si="13"/>
        <v>100</v>
      </c>
      <c r="V32" s="713" t="s">
        <v>17</v>
      </c>
      <c r="W32" s="714">
        <f t="shared" si="14"/>
        <v>100</v>
      </c>
      <c r="X32" s="1537"/>
      <c r="Y32" s="3309"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48"/>
      <c r="Q33" s="715" t="str">
        <f t="shared" si="11"/>
        <v>项目建筑规模</v>
      </c>
      <c r="R33" s="716" t="s">
        <v>17</v>
      </c>
      <c r="S33" s="717" t="e">
        <f t="shared" si="12"/>
        <v>#N/A</v>
      </c>
      <c r="T33" s="716" t="s">
        <v>17</v>
      </c>
      <c r="U33" s="717" t="e">
        <f t="shared" si="13"/>
        <v>#N/A</v>
      </c>
      <c r="V33" s="716" t="s">
        <v>17</v>
      </c>
      <c r="W33" s="717" t="e">
        <f t="shared" si="14"/>
        <v>#N/A</v>
      </c>
      <c r="X33" s="718"/>
      <c r="Y33" s="3309"/>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48"/>
      <c r="Q34" s="1534" t="str">
        <f t="shared" si="11"/>
        <v>建筑结构</v>
      </c>
      <c r="R34" s="713" t="s">
        <v>17</v>
      </c>
      <c r="S34" s="714">
        <f t="shared" si="12"/>
        <v>100</v>
      </c>
      <c r="T34" s="713" t="s">
        <v>17</v>
      </c>
      <c r="U34" s="714">
        <f t="shared" si="13"/>
        <v>100</v>
      </c>
      <c r="V34" s="713" t="s">
        <v>17</v>
      </c>
      <c r="W34" s="714">
        <f t="shared" si="14"/>
        <v>100</v>
      </c>
      <c r="X34" s="1537"/>
      <c r="Y34" s="3309"/>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48"/>
      <c r="Q35" s="1534" t="str">
        <f t="shared" si="11"/>
        <v>公共部分装修</v>
      </c>
      <c r="R35" s="713" t="s">
        <v>17</v>
      </c>
      <c r="S35" s="714">
        <f t="shared" si="12"/>
        <v>100</v>
      </c>
      <c r="T35" s="713" t="s">
        <v>17</v>
      </c>
      <c r="U35" s="714">
        <f t="shared" si="13"/>
        <v>100</v>
      </c>
      <c r="V35" s="713" t="s">
        <v>17</v>
      </c>
      <c r="W35" s="714">
        <f t="shared" si="14"/>
        <v>100</v>
      </c>
      <c r="X35" s="1537"/>
      <c r="Y35" s="3309"/>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48"/>
      <c r="Q36" s="1534" t="str">
        <f t="shared" si="11"/>
        <v>成新度</v>
      </c>
      <c r="R36" s="713" t="s">
        <v>17</v>
      </c>
      <c r="S36" s="714" t="e">
        <f t="shared" si="12"/>
        <v>#N/A</v>
      </c>
      <c r="T36" s="713" t="s">
        <v>17</v>
      </c>
      <c r="U36" s="714" t="e">
        <f t="shared" si="13"/>
        <v>#N/A</v>
      </c>
      <c r="V36" s="713" t="s">
        <v>17</v>
      </c>
      <c r="W36" s="714" t="e">
        <f t="shared" si="14"/>
        <v>#N/A</v>
      </c>
      <c r="X36" s="1537"/>
      <c r="Y36" s="3309"/>
      <c r="Z36" s="1538" t="str">
        <f t="shared" si="15"/>
        <v>成新度</v>
      </c>
      <c r="AA36" s="1535" t="e">
        <f t="shared" si="3"/>
        <v>#N/A</v>
      </c>
      <c r="AB36" s="1535" t="e">
        <f t="shared" si="4"/>
        <v>#N/A</v>
      </c>
      <c r="AC36" s="1535" t="e">
        <f t="shared" si="5"/>
        <v>#N/A</v>
      </c>
    </row>
    <row r="37" spans="1:29" s="113"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48"/>
      <c r="Q37" s="1525" t="str">
        <f t="shared" si="11"/>
        <v>市政基础设施</v>
      </c>
      <c r="R37" s="709" t="s">
        <v>17</v>
      </c>
      <c r="S37" s="710">
        <f t="shared" si="12"/>
        <v>100</v>
      </c>
      <c r="T37" s="709" t="s">
        <v>17</v>
      </c>
      <c r="U37" s="710">
        <f t="shared" si="13"/>
        <v>100</v>
      </c>
      <c r="V37" s="709" t="s">
        <v>17</v>
      </c>
      <c r="W37" s="710">
        <f t="shared" si="14"/>
        <v>100</v>
      </c>
      <c r="X37" s="711"/>
      <c r="Y37" s="3309"/>
      <c r="Z37" s="55"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48" t="s">
        <v>2386</v>
      </c>
      <c r="Q38" s="1534" t="str">
        <f t="shared" si="11"/>
        <v>业态</v>
      </c>
      <c r="R38" s="713" t="s">
        <v>17</v>
      </c>
      <c r="S38" s="714">
        <f t="shared" si="12"/>
        <v>100</v>
      </c>
      <c r="T38" s="713" t="s">
        <v>17</v>
      </c>
      <c r="U38" s="714">
        <f t="shared" si="13"/>
        <v>100</v>
      </c>
      <c r="V38" s="713" t="s">
        <v>17</v>
      </c>
      <c r="W38" s="714">
        <f t="shared" si="14"/>
        <v>100</v>
      </c>
      <c r="X38" s="1537"/>
      <c r="Y38" s="3309"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48"/>
      <c r="Q39" s="1534" t="str">
        <f t="shared" si="11"/>
        <v>层高</v>
      </c>
      <c r="R39" s="713" t="s">
        <v>17</v>
      </c>
      <c r="S39" s="714">
        <f t="shared" si="12"/>
        <v>100</v>
      </c>
      <c r="T39" s="713" t="s">
        <v>17</v>
      </c>
      <c r="U39" s="714">
        <f t="shared" si="13"/>
        <v>100</v>
      </c>
      <c r="V39" s="713" t="s">
        <v>17</v>
      </c>
      <c r="W39" s="714">
        <f t="shared" si="14"/>
        <v>100</v>
      </c>
      <c r="X39" s="1537"/>
      <c r="Y39" s="3309"/>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48"/>
      <c r="Q40" s="1534" t="str">
        <f t="shared" si="11"/>
        <v>单套建筑面积</v>
      </c>
      <c r="R40" s="713" t="s">
        <v>17</v>
      </c>
      <c r="S40" s="714">
        <f t="shared" si="12"/>
        <v>100</v>
      </c>
      <c r="T40" s="713" t="s">
        <v>17</v>
      </c>
      <c r="U40" s="714">
        <f t="shared" si="13"/>
        <v>100</v>
      </c>
      <c r="V40" s="713" t="s">
        <v>17</v>
      </c>
      <c r="W40" s="714">
        <f t="shared" si="14"/>
        <v>100</v>
      </c>
      <c r="X40" s="1537"/>
      <c r="Y40" s="3309"/>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48"/>
      <c r="Q41" s="715" t="str">
        <f t="shared" si="11"/>
        <v>进深比</v>
      </c>
      <c r="R41" s="716" t="s">
        <v>17</v>
      </c>
      <c r="S41" s="717">
        <f t="shared" si="12"/>
        <v>100</v>
      </c>
      <c r="T41" s="716" t="s">
        <v>17</v>
      </c>
      <c r="U41" s="717">
        <f t="shared" si="13"/>
        <v>100</v>
      </c>
      <c r="V41" s="716" t="s">
        <v>17</v>
      </c>
      <c r="W41" s="717">
        <f t="shared" si="14"/>
        <v>100</v>
      </c>
      <c r="X41" s="718"/>
      <c r="Y41" s="3309"/>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48"/>
      <c r="Q42" s="1534" t="str">
        <f t="shared" si="11"/>
        <v>内部装修</v>
      </c>
      <c r="R42" s="713" t="s">
        <v>17</v>
      </c>
      <c r="S42" s="714">
        <f t="shared" si="12"/>
        <v>100</v>
      </c>
      <c r="T42" s="713" t="s">
        <v>17</v>
      </c>
      <c r="U42" s="714">
        <f t="shared" si="13"/>
        <v>100</v>
      </c>
      <c r="V42" s="713" t="s">
        <v>17</v>
      </c>
      <c r="W42" s="714">
        <f t="shared" si="14"/>
        <v>100</v>
      </c>
      <c r="X42" s="1537"/>
      <c r="Y42" s="3309"/>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48"/>
      <c r="Q43" s="1534" t="str">
        <f t="shared" si="11"/>
        <v>内部装修维护情况</v>
      </c>
      <c r="R43" s="713" t="s">
        <v>17</v>
      </c>
      <c r="S43" s="714">
        <f t="shared" si="12"/>
        <v>100</v>
      </c>
      <c r="T43" s="713" t="s">
        <v>17</v>
      </c>
      <c r="U43" s="714">
        <f t="shared" si="13"/>
        <v>100</v>
      </c>
      <c r="V43" s="713" t="s">
        <v>17</v>
      </c>
      <c r="W43" s="714">
        <f t="shared" si="14"/>
        <v>100</v>
      </c>
      <c r="X43" s="1537"/>
      <c r="Y43" s="3309"/>
      <c r="Z43" s="1538" t="str">
        <f t="shared" si="15"/>
        <v>内部装修维护情况</v>
      </c>
      <c r="AA43" s="1535">
        <f t="shared" si="3"/>
        <v>1</v>
      </c>
      <c r="AB43" s="1535">
        <f t="shared" si="4"/>
        <v>1</v>
      </c>
      <c r="AC43" s="1535">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48"/>
      <c r="Q44" s="1525">
        <f t="shared" si="11"/>
        <v>111</v>
      </c>
      <c r="R44" s="709" t="s">
        <v>17</v>
      </c>
      <c r="S44" s="710">
        <f t="shared" si="12"/>
        <v>100</v>
      </c>
      <c r="T44" s="709" t="s">
        <v>17</v>
      </c>
      <c r="U44" s="710">
        <f t="shared" si="13"/>
        <v>100</v>
      </c>
      <c r="V44" s="709" t="s">
        <v>17</v>
      </c>
      <c r="W44" s="710">
        <f t="shared" si="14"/>
        <v>100</v>
      </c>
      <c r="X44" s="711"/>
      <c r="Y44" s="3309"/>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48"/>
      <c r="Q45" s="1534">
        <f t="shared" si="11"/>
        <v>111</v>
      </c>
      <c r="R45" s="713" t="s">
        <v>17</v>
      </c>
      <c r="S45" s="714">
        <f t="shared" si="12"/>
        <v>100</v>
      </c>
      <c r="T45" s="713" t="s">
        <v>17</v>
      </c>
      <c r="U45" s="714">
        <f t="shared" si="13"/>
        <v>100</v>
      </c>
      <c r="V45" s="713" t="s">
        <v>17</v>
      </c>
      <c r="W45" s="714">
        <f t="shared" si="14"/>
        <v>100</v>
      </c>
      <c r="X45" s="1537"/>
      <c r="Y45" s="3309"/>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49"/>
      <c r="Q46" s="1534">
        <f t="shared" si="11"/>
        <v>111</v>
      </c>
      <c r="R46" s="713" t="s">
        <v>17</v>
      </c>
      <c r="S46" s="714">
        <f t="shared" si="12"/>
        <v>100</v>
      </c>
      <c r="T46" s="713" t="s">
        <v>17</v>
      </c>
      <c r="U46" s="714">
        <f t="shared" si="13"/>
        <v>100</v>
      </c>
      <c r="V46" s="713" t="s">
        <v>17</v>
      </c>
      <c r="W46" s="714">
        <f t="shared" si="14"/>
        <v>100</v>
      </c>
      <c r="X46" s="1537"/>
      <c r="Y46" s="3350"/>
      <c r="Z46" s="1538">
        <f t="shared" si="15"/>
        <v>111</v>
      </c>
      <c r="AA46" s="1535">
        <f t="shared" si="3"/>
        <v>1</v>
      </c>
      <c r="AB46" s="1535">
        <f t="shared" si="4"/>
        <v>1</v>
      </c>
      <c r="AC46" s="1535">
        <f t="shared" si="5"/>
        <v>1</v>
      </c>
    </row>
    <row r="47" spans="1:29" ht="15">
      <c r="A47" s="437" t="s">
        <v>2398</v>
      </c>
      <c r="B47" s="438"/>
      <c r="C47" s="1315" t="s">
        <v>1</v>
      </c>
      <c r="D47" s="1316"/>
      <c r="E47" s="1317"/>
      <c r="F47" s="1318"/>
      <c r="G47" s="1319"/>
      <c r="H47" s="1320"/>
      <c r="I47" s="1317"/>
      <c r="J47" s="1320"/>
      <c r="K47" s="722"/>
      <c r="L47" s="2951"/>
      <c r="M47" s="2952"/>
      <c r="N47" s="2943"/>
      <c r="O47" s="2952"/>
      <c r="P47" s="3291" t="str">
        <f>A47</f>
        <v>成交单价（元/平方米）</v>
      </c>
      <c r="Q47" s="3291"/>
      <c r="R47" s="3304">
        <f>E47</f>
        <v>0</v>
      </c>
      <c r="S47" s="3304"/>
      <c r="T47" s="3304">
        <f>G47</f>
        <v>0</v>
      </c>
      <c r="U47" s="3304"/>
      <c r="V47" s="3304">
        <f>I47</f>
        <v>0</v>
      </c>
      <c r="W47" s="3304"/>
      <c r="X47" s="698"/>
      <c r="Y47" s="720"/>
      <c r="Z47" s="698"/>
      <c r="AA47" s="698"/>
      <c r="AB47" s="698"/>
      <c r="AC47" s="698"/>
    </row>
    <row r="48" spans="1:29" ht="15.75" thickBot="1">
      <c r="A48" s="444" t="s">
        <v>2490</v>
      </c>
      <c r="B48" s="445"/>
      <c r="C48" s="1321" t="e">
        <f>R49</f>
        <v>#DIV/0!</v>
      </c>
      <c r="D48" s="2536" t="s">
        <v>2881</v>
      </c>
      <c r="E48" s="1322" t="e">
        <f>R48</f>
        <v>#DIV/0!</v>
      </c>
      <c r="F48" s="2537"/>
      <c r="G48" s="1321" t="e">
        <f>T48</f>
        <v>#DIV/0!</v>
      </c>
      <c r="H48" s="2537"/>
      <c r="I48" s="1322" t="e">
        <f>V48</f>
        <v>#DIV/0!</v>
      </c>
      <c r="J48" s="2537"/>
      <c r="K48" s="2539">
        <f>F48+H48+J48</f>
        <v>0</v>
      </c>
      <c r="L48" s="2951"/>
      <c r="M48" s="2952"/>
      <c r="N48" s="2943"/>
      <c r="O48" s="2952"/>
      <c r="P48" s="3291" t="str">
        <f>A48</f>
        <v>比较价值（元/平方米）</v>
      </c>
      <c r="Q48" s="3291"/>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51"/>
      <c r="M49" s="2952"/>
      <c r="N49" s="2943"/>
      <c r="O49" s="2952"/>
      <c r="P49" s="3311" t="str">
        <f>A49</f>
        <v>估价对象XX用房的比较价值（楼面单价，元/平方米）</v>
      </c>
      <c r="Q49" s="3312"/>
      <c r="R49" s="3345" t="e">
        <f>IF(F1="售价",ROUND(IF(D48="简单平均",AVERAGE(R48:V48),R48*F48+T48*H48+V48*J48),0),ROUND(IF(D48="简单平均",AVERAGE(R48:V48),R48*F48+T48*H48+V48*J48),1))</f>
        <v>#DIV/0!</v>
      </c>
      <c r="S49" s="3345"/>
      <c r="T49" s="3345"/>
      <c r="U49" s="3345"/>
      <c r="V49" s="3345"/>
      <c r="W49" s="334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3"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3"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3"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90"/>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3"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估价对象为房地产，为所有。根据《国有土地使用证》[]，估价对象（分摊）出让国有建设用地使用权面积为18286.6平方米，建筑面积为17349.86平方米。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估价对象为房地产,属开发建设的，该项目尚在开发建设中。根据《国有土地使用证》[]，估价对象（分摊）出让国有建设用地使用权面积为18286.6平方米，规划建筑面积为17349.86平方米。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1583</v>
      </c>
    </row>
    <row r="15" spans="1:1" ht="18">
      <c r="A15" s="1669" t="str">
        <f>TEXT(项目基本情况!D3,"yyyy年m月d日;;")&amp;IF(项目基本情况!D3=项目基本情况!B3,"（评估专业人员实地查勘之日）","")</f>
        <v>2021年8月13日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13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17349.86</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92" t="s">
        <v>2467</v>
      </c>
      <c r="D4" s="3293"/>
      <c r="E4" s="3294" t="s">
        <v>2468</v>
      </c>
      <c r="F4" s="3295"/>
      <c r="G4" s="3292" t="s">
        <v>2469</v>
      </c>
      <c r="H4" s="3293"/>
      <c r="I4" s="3292" t="s">
        <v>2470</v>
      </c>
      <c r="J4" s="3293"/>
      <c r="K4" s="566" t="s">
        <v>2471</v>
      </c>
      <c r="L4" s="2942"/>
      <c r="M4" s="2943"/>
      <c r="N4" s="2943"/>
      <c r="O4" s="2943"/>
      <c r="P4" s="3359" t="s">
        <v>2472</v>
      </c>
      <c r="Q4" s="3360"/>
      <c r="R4" s="3354" t="s">
        <v>2468</v>
      </c>
      <c r="S4" s="3355"/>
      <c r="T4" s="3354" t="s">
        <v>2469</v>
      </c>
      <c r="U4" s="3355"/>
      <c r="V4" s="3363" t="s">
        <v>2470</v>
      </c>
      <c r="W4" s="3363"/>
      <c r="X4" s="2142"/>
      <c r="Y4" s="3354" t="s">
        <v>2472</v>
      </c>
      <c r="Z4" s="3355"/>
      <c r="AA4" s="3353" t="s">
        <v>2468</v>
      </c>
      <c r="AB4" s="3353" t="s">
        <v>2469</v>
      </c>
      <c r="AC4" s="3356" t="s">
        <v>2470</v>
      </c>
    </row>
    <row r="5" spans="1:29" ht="15">
      <c r="A5" s="363"/>
      <c r="B5" s="364"/>
      <c r="C5" s="3285" t="s">
        <v>2363</v>
      </c>
      <c r="D5" s="3286"/>
      <c r="E5" s="3283" t="s">
        <v>2364</v>
      </c>
      <c r="F5" s="3284"/>
      <c r="G5" s="3285" t="s">
        <v>2365</v>
      </c>
      <c r="H5" s="3286"/>
      <c r="I5" s="3285" t="s">
        <v>2366</v>
      </c>
      <c r="J5" s="3286"/>
      <c r="K5" s="566"/>
      <c r="L5" s="2942"/>
      <c r="M5" s="2943"/>
      <c r="N5" s="2943"/>
      <c r="O5" s="2943"/>
      <c r="P5" s="3361"/>
      <c r="Q5" s="3299"/>
      <c r="R5" s="3281"/>
      <c r="S5" s="3282"/>
      <c r="T5" s="3281"/>
      <c r="U5" s="3282"/>
      <c r="V5" s="3304"/>
      <c r="W5" s="3304"/>
      <c r="X5" s="1537"/>
      <c r="Y5" s="3281"/>
      <c r="Z5" s="3282"/>
      <c r="AA5" s="3275"/>
      <c r="AB5" s="3275"/>
      <c r="AC5" s="3357"/>
    </row>
    <row r="6" spans="1:29" ht="15.75" thickBot="1">
      <c r="A6" s="365"/>
      <c r="B6" s="366"/>
      <c r="C6" s="3287" t="s">
        <v>2367</v>
      </c>
      <c r="D6" s="3288"/>
      <c r="E6" s="3289" t="s">
        <v>2367</v>
      </c>
      <c r="F6" s="3290"/>
      <c r="G6" s="3287" t="s">
        <v>2367</v>
      </c>
      <c r="H6" s="3288"/>
      <c r="I6" s="3287" t="s">
        <v>2367</v>
      </c>
      <c r="J6" s="3288"/>
      <c r="K6" s="566" t="s">
        <v>2368</v>
      </c>
      <c r="L6" s="2942"/>
      <c r="M6" s="2943"/>
      <c r="N6" s="2943"/>
      <c r="O6" s="2943"/>
      <c r="P6" s="3362"/>
      <c r="Q6" s="3301"/>
      <c r="R6" s="3281"/>
      <c r="S6" s="3282"/>
      <c r="T6" s="3302"/>
      <c r="U6" s="3303"/>
      <c r="V6" s="3304"/>
      <c r="W6" s="3304"/>
      <c r="X6" s="1537"/>
      <c r="Y6" s="3302"/>
      <c r="Z6" s="3303"/>
      <c r="AA6" s="3276"/>
      <c r="AB6" s="3276"/>
      <c r="AC6" s="3358"/>
    </row>
    <row r="7" spans="1:29" s="113" customFormat="1" ht="15.75" thickBot="1">
      <c r="A7" s="367" t="s">
        <v>2369</v>
      </c>
      <c r="B7" s="368"/>
      <c r="C7" s="369">
        <f>'数据-取费表'!B2</f>
        <v>44421</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64" t="s">
        <v>2370</v>
      </c>
      <c r="Q7" s="3305"/>
      <c r="R7" s="709" t="s">
        <v>17</v>
      </c>
      <c r="S7" s="710">
        <f t="shared" ref="S7:S15" si="0">F7</f>
        <v>0</v>
      </c>
      <c r="T7" s="709" t="s">
        <v>17</v>
      </c>
      <c r="U7" s="710">
        <f t="shared" ref="U7:U15" si="1">H7</f>
        <v>0</v>
      </c>
      <c r="V7" s="709" t="s">
        <v>17</v>
      </c>
      <c r="W7" s="710">
        <f t="shared" ref="W7:W15" si="2">J7</f>
        <v>0</v>
      </c>
      <c r="X7" s="711"/>
      <c r="Y7" s="3277" t="s">
        <v>2370</v>
      </c>
      <c r="Z7" s="3278"/>
      <c r="AA7" s="712" t="e">
        <f>D7/F7</f>
        <v>#DIV/0!</v>
      </c>
      <c r="AB7" s="712"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64" t="s">
        <v>2373</v>
      </c>
      <c r="Q8" s="3278"/>
      <c r="R8" s="709" t="s">
        <v>17</v>
      </c>
      <c r="S8" s="710">
        <f t="shared" si="0"/>
        <v>0</v>
      </c>
      <c r="T8" s="709" t="s">
        <v>17</v>
      </c>
      <c r="U8" s="710">
        <f t="shared" si="1"/>
        <v>0</v>
      </c>
      <c r="V8" s="709" t="s">
        <v>17</v>
      </c>
      <c r="W8" s="710">
        <f t="shared" si="2"/>
        <v>0</v>
      </c>
      <c r="X8" s="711"/>
      <c r="Y8" s="3277" t="s">
        <v>2373</v>
      </c>
      <c r="Z8" s="3278"/>
      <c r="AA8" s="712" t="e">
        <f t="shared" ref="AA8:AA47" si="3">D8/F8</f>
        <v>#DIV/0!</v>
      </c>
      <c r="AB8" s="712" t="e">
        <f t="shared" ref="AB8:AB47" si="4">D8/H8</f>
        <v>#DIV/0!</v>
      </c>
      <c r="AC8" s="2143"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15" t="s">
        <v>2376</v>
      </c>
      <c r="Q9" s="1525" t="str">
        <f t="shared" ref="Q9:Q15" si="6">B9</f>
        <v>用途</v>
      </c>
      <c r="R9" s="709" t="s">
        <v>17</v>
      </c>
      <c r="S9" s="710">
        <f t="shared" si="0"/>
        <v>100</v>
      </c>
      <c r="T9" s="709" t="s">
        <v>17</v>
      </c>
      <c r="U9" s="710">
        <f t="shared" si="1"/>
        <v>100</v>
      </c>
      <c r="V9" s="709" t="s">
        <v>17</v>
      </c>
      <c r="W9" s="710">
        <f t="shared" si="2"/>
        <v>100</v>
      </c>
      <c r="X9" s="711"/>
      <c r="Y9" s="3247" t="s">
        <v>2377</v>
      </c>
      <c r="Z9" s="55"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15"/>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15"/>
      <c r="Q11" s="1525"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2143" t="e">
        <f t="shared" si="5"/>
        <v>#N/A</v>
      </c>
    </row>
    <row r="12" spans="1:29" s="113"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315"/>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315"/>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315"/>
      <c r="Q14" s="1525">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51" t="s">
        <v>2381</v>
      </c>
      <c r="Q15" s="1534" t="str">
        <f t="shared" si="6"/>
        <v>办公集聚程度</v>
      </c>
      <c r="R15" s="713" t="s">
        <v>17</v>
      </c>
      <c r="S15" s="714">
        <f t="shared" si="0"/>
        <v>100</v>
      </c>
      <c r="T15" s="713" t="s">
        <v>17</v>
      </c>
      <c r="U15" s="714">
        <f t="shared" si="1"/>
        <v>100</v>
      </c>
      <c r="V15" s="713" t="s">
        <v>17</v>
      </c>
      <c r="W15" s="714">
        <f t="shared" si="2"/>
        <v>100</v>
      </c>
      <c r="X15" s="1537"/>
      <c r="Y15" s="3306"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52"/>
      <c r="Q16" s="1534"/>
      <c r="R16" s="713"/>
      <c r="S16" s="714"/>
      <c r="T16" s="713"/>
      <c r="U16" s="714"/>
      <c r="V16" s="713"/>
      <c r="W16" s="714"/>
      <c r="X16" s="1537"/>
      <c r="Y16" s="3307"/>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52"/>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52"/>
      <c r="Q18" s="1534"/>
      <c r="R18" s="713"/>
      <c r="S18" s="714"/>
      <c r="T18" s="713"/>
      <c r="U18" s="714"/>
      <c r="V18" s="713"/>
      <c r="W18" s="714"/>
      <c r="X18" s="1537"/>
      <c r="Y18" s="3307"/>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52"/>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52"/>
      <c r="Q20" s="1534"/>
      <c r="R20" s="713"/>
      <c r="S20" s="714"/>
      <c r="T20" s="713"/>
      <c r="U20" s="714"/>
      <c r="V20" s="713"/>
      <c r="W20" s="714"/>
      <c r="X20" s="1537"/>
      <c r="Y20" s="3307"/>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52"/>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1"/>
      <c r="L22" s="2949"/>
      <c r="M22" s="2943"/>
      <c r="N22" s="2943"/>
      <c r="O22" s="2943"/>
      <c r="P22" s="3352"/>
      <c r="Q22" s="1534"/>
      <c r="R22" s="713"/>
      <c r="S22" s="714"/>
      <c r="T22" s="713"/>
      <c r="U22" s="714"/>
      <c r="V22" s="713"/>
      <c r="W22" s="714"/>
      <c r="X22" s="1537"/>
      <c r="Y22" s="3307"/>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52"/>
      <c r="Q23" s="1534" t="str">
        <f>B23</f>
        <v>环境质量</v>
      </c>
      <c r="R23" s="713" t="s">
        <v>17</v>
      </c>
      <c r="S23" s="714">
        <f>F23</f>
        <v>100</v>
      </c>
      <c r="T23" s="713" t="s">
        <v>17</v>
      </c>
      <c r="U23" s="714">
        <f>H23</f>
        <v>100</v>
      </c>
      <c r="V23" s="713" t="s">
        <v>17</v>
      </c>
      <c r="W23" s="714">
        <f>J23</f>
        <v>100</v>
      </c>
      <c r="X23" s="1537"/>
      <c r="Y23" s="3307"/>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52"/>
      <c r="Q24" s="1534"/>
      <c r="R24" s="713"/>
      <c r="S24" s="714"/>
      <c r="T24" s="713"/>
      <c r="U24" s="714"/>
      <c r="V24" s="713"/>
      <c r="W24" s="714"/>
      <c r="X24" s="1537"/>
      <c r="Y24" s="3307"/>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52"/>
      <c r="Q25" s="1534" t="str">
        <f>B25</f>
        <v>毗邻道路的类型与等级</v>
      </c>
      <c r="R25" s="713" t="s">
        <v>17</v>
      </c>
      <c r="S25" s="714">
        <f>F25</f>
        <v>100</v>
      </c>
      <c r="T25" s="713" t="s">
        <v>17</v>
      </c>
      <c r="U25" s="714">
        <f>H25</f>
        <v>100</v>
      </c>
      <c r="V25" s="713" t="s">
        <v>17</v>
      </c>
      <c r="W25" s="714">
        <f>J25</f>
        <v>100</v>
      </c>
      <c r="X25" s="1537"/>
      <c r="Y25" s="3307"/>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52"/>
      <c r="Q26" s="1534"/>
      <c r="R26" s="713"/>
      <c r="S26" s="714"/>
      <c r="T26" s="713"/>
      <c r="U26" s="714"/>
      <c r="V26" s="713"/>
      <c r="W26" s="714"/>
      <c r="X26" s="1537"/>
      <c r="Y26" s="3307"/>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52"/>
      <c r="Q27" s="1534" t="str">
        <f t="shared" ref="Q27:Q47" si="11">B27</f>
        <v>楼层</v>
      </c>
      <c r="R27" s="713" t="s">
        <v>17</v>
      </c>
      <c r="S27" s="714">
        <f>F27</f>
        <v>100</v>
      </c>
      <c r="T27" s="713" t="s">
        <v>17</v>
      </c>
      <c r="U27" s="714">
        <f>H27</f>
        <v>100</v>
      </c>
      <c r="V27" s="713" t="s">
        <v>17</v>
      </c>
      <c r="W27" s="714">
        <f>J27</f>
        <v>100</v>
      </c>
      <c r="X27" s="1537"/>
      <c r="Y27" s="3307"/>
      <c r="Z27" s="1538" t="str">
        <f>Q27</f>
        <v>楼层</v>
      </c>
      <c r="AA27" s="1535">
        <f t="shared" si="3"/>
        <v>1</v>
      </c>
      <c r="AB27" s="1535">
        <f t="shared" si="4"/>
        <v>1</v>
      </c>
      <c r="AC27" s="2146">
        <f t="shared" si="5"/>
        <v>1</v>
      </c>
    </row>
    <row r="28" spans="1:29" s="113"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52"/>
      <c r="Q28" s="1525" t="str">
        <f t="shared" si="11"/>
        <v>朝向</v>
      </c>
      <c r="R28" s="709" t="s">
        <v>17</v>
      </c>
      <c r="S28" s="710">
        <f>F28</f>
        <v>100</v>
      </c>
      <c r="T28" s="709" t="s">
        <v>17</v>
      </c>
      <c r="U28" s="710">
        <f>H28</f>
        <v>100</v>
      </c>
      <c r="V28" s="709" t="s">
        <v>17</v>
      </c>
      <c r="W28" s="710">
        <f>J28</f>
        <v>100</v>
      </c>
      <c r="X28" s="711"/>
      <c r="Y28" s="3307"/>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52"/>
      <c r="Q29" s="1534">
        <f t="shared" si="11"/>
        <v>111</v>
      </c>
      <c r="R29" s="713" t="s">
        <v>17</v>
      </c>
      <c r="S29" s="714">
        <f t="shared" ref="S29:S47" si="12">F29</f>
        <v>100</v>
      </c>
      <c r="T29" s="713" t="s">
        <v>17</v>
      </c>
      <c r="U29" s="714">
        <f t="shared" ref="U29:U47" si="13">H29</f>
        <v>100</v>
      </c>
      <c r="V29" s="713" t="s">
        <v>17</v>
      </c>
      <c r="W29" s="714">
        <f t="shared" ref="W29:W47" si="14">J29</f>
        <v>100</v>
      </c>
      <c r="X29" s="1537"/>
      <c r="Y29" s="3307"/>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52"/>
      <c r="Q30" s="1534">
        <f t="shared" si="11"/>
        <v>111</v>
      </c>
      <c r="R30" s="713" t="s">
        <v>17</v>
      </c>
      <c r="S30" s="714">
        <f t="shared" si="12"/>
        <v>100</v>
      </c>
      <c r="T30" s="713" t="s">
        <v>17</v>
      </c>
      <c r="U30" s="714">
        <f t="shared" si="13"/>
        <v>100</v>
      </c>
      <c r="V30" s="713" t="s">
        <v>17</v>
      </c>
      <c r="W30" s="714">
        <f t="shared" si="14"/>
        <v>100</v>
      </c>
      <c r="X30" s="1537"/>
      <c r="Y30" s="3307"/>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52"/>
      <c r="Q31" s="1534">
        <f t="shared" si="11"/>
        <v>111</v>
      </c>
      <c r="R31" s="713" t="s">
        <v>17</v>
      </c>
      <c r="S31" s="714">
        <f t="shared" si="12"/>
        <v>100</v>
      </c>
      <c r="T31" s="713" t="s">
        <v>17</v>
      </c>
      <c r="U31" s="714">
        <f t="shared" si="13"/>
        <v>100</v>
      </c>
      <c r="V31" s="713" t="s">
        <v>17</v>
      </c>
      <c r="W31" s="714">
        <f t="shared" si="14"/>
        <v>100</v>
      </c>
      <c r="X31" s="1537"/>
      <c r="Y31" s="3307"/>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52"/>
      <c r="Q32" s="1534">
        <f t="shared" si="11"/>
        <v>111</v>
      </c>
      <c r="R32" s="713" t="s">
        <v>17</v>
      </c>
      <c r="S32" s="714">
        <f t="shared" si="12"/>
        <v>100</v>
      </c>
      <c r="T32" s="713" t="s">
        <v>17</v>
      </c>
      <c r="U32" s="714">
        <f t="shared" si="13"/>
        <v>100</v>
      </c>
      <c r="V32" s="713" t="s">
        <v>17</v>
      </c>
      <c r="W32" s="714">
        <f t="shared" si="14"/>
        <v>100</v>
      </c>
      <c r="X32" s="1537"/>
      <c r="Y32" s="3307"/>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47" t="s">
        <v>2386</v>
      </c>
      <c r="Q33" s="1534" t="str">
        <f t="shared" si="11"/>
        <v>建筑类型</v>
      </c>
      <c r="R33" s="713" t="s">
        <v>17</v>
      </c>
      <c r="S33" s="714">
        <f t="shared" si="12"/>
        <v>100</v>
      </c>
      <c r="T33" s="713" t="s">
        <v>17</v>
      </c>
      <c r="U33" s="714">
        <f t="shared" si="13"/>
        <v>100</v>
      </c>
      <c r="V33" s="713" t="s">
        <v>17</v>
      </c>
      <c r="W33" s="714">
        <f t="shared" si="14"/>
        <v>100</v>
      </c>
      <c r="X33" s="1537"/>
      <c r="Y33" s="3309"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48"/>
      <c r="Q34" s="715" t="str">
        <f t="shared" si="11"/>
        <v>项目建筑规模</v>
      </c>
      <c r="R34" s="716" t="s">
        <v>17</v>
      </c>
      <c r="S34" s="717" t="e">
        <f t="shared" si="12"/>
        <v>#N/A</v>
      </c>
      <c r="T34" s="716" t="s">
        <v>17</v>
      </c>
      <c r="U34" s="717" t="e">
        <f t="shared" si="13"/>
        <v>#N/A</v>
      </c>
      <c r="V34" s="716" t="s">
        <v>17</v>
      </c>
      <c r="W34" s="717" t="e">
        <f t="shared" si="14"/>
        <v>#N/A</v>
      </c>
      <c r="X34" s="718"/>
      <c r="Y34" s="3309"/>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48"/>
      <c r="Q35" s="1534" t="str">
        <f t="shared" si="11"/>
        <v>建筑结构</v>
      </c>
      <c r="R35" s="713" t="s">
        <v>17</v>
      </c>
      <c r="S35" s="714">
        <f t="shared" si="12"/>
        <v>100</v>
      </c>
      <c r="T35" s="713" t="s">
        <v>17</v>
      </c>
      <c r="U35" s="714">
        <f t="shared" si="13"/>
        <v>100</v>
      </c>
      <c r="V35" s="713" t="s">
        <v>17</v>
      </c>
      <c r="W35" s="714">
        <f t="shared" si="14"/>
        <v>100</v>
      </c>
      <c r="X35" s="1537"/>
      <c r="Y35" s="3309"/>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48"/>
      <c r="Q36" s="1534" t="str">
        <f t="shared" si="11"/>
        <v>公共部分装修</v>
      </c>
      <c r="R36" s="713" t="s">
        <v>17</v>
      </c>
      <c r="S36" s="714">
        <f t="shared" si="12"/>
        <v>100</v>
      </c>
      <c r="T36" s="713" t="s">
        <v>17</v>
      </c>
      <c r="U36" s="714">
        <f t="shared" si="13"/>
        <v>100</v>
      </c>
      <c r="V36" s="713" t="s">
        <v>17</v>
      </c>
      <c r="W36" s="714">
        <f t="shared" si="14"/>
        <v>100</v>
      </c>
      <c r="X36" s="1537"/>
      <c r="Y36" s="3309"/>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48"/>
      <c r="Q37" s="1534" t="str">
        <f t="shared" si="11"/>
        <v>成新度</v>
      </c>
      <c r="R37" s="713" t="s">
        <v>17</v>
      </c>
      <c r="S37" s="714" t="e">
        <f t="shared" si="12"/>
        <v>#N/A</v>
      </c>
      <c r="T37" s="713" t="s">
        <v>17</v>
      </c>
      <c r="U37" s="714" t="e">
        <f t="shared" si="13"/>
        <v>#N/A</v>
      </c>
      <c r="V37" s="713" t="s">
        <v>17</v>
      </c>
      <c r="W37" s="714" t="e">
        <f t="shared" si="14"/>
        <v>#N/A</v>
      </c>
      <c r="X37" s="1537"/>
      <c r="Y37" s="3309"/>
      <c r="Z37" s="1538" t="str">
        <f t="shared" si="15"/>
        <v>成新度</v>
      </c>
      <c r="AA37" s="1535" t="e">
        <f t="shared" si="3"/>
        <v>#N/A</v>
      </c>
      <c r="AB37" s="1535" t="e">
        <f t="shared" si="4"/>
        <v>#N/A</v>
      </c>
      <c r="AC37" s="2146"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48"/>
      <c r="Q38" s="1525" t="str">
        <f t="shared" si="11"/>
        <v>写字楼等级</v>
      </c>
      <c r="R38" s="709" t="s">
        <v>17</v>
      </c>
      <c r="S38" s="710">
        <f t="shared" si="12"/>
        <v>100</v>
      </c>
      <c r="T38" s="709" t="s">
        <v>17</v>
      </c>
      <c r="U38" s="710">
        <f t="shared" si="13"/>
        <v>100</v>
      </c>
      <c r="V38" s="709" t="s">
        <v>17</v>
      </c>
      <c r="W38" s="710">
        <f t="shared" si="14"/>
        <v>100</v>
      </c>
      <c r="X38" s="711"/>
      <c r="Y38" s="3309"/>
      <c r="Z38" s="55"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48" t="s">
        <v>2386</v>
      </c>
      <c r="Q39" s="1534" t="str">
        <f t="shared" si="11"/>
        <v>物业管理</v>
      </c>
      <c r="R39" s="713" t="s">
        <v>17</v>
      </c>
      <c r="S39" s="714">
        <f t="shared" si="12"/>
        <v>100</v>
      </c>
      <c r="T39" s="713" t="s">
        <v>17</v>
      </c>
      <c r="U39" s="714">
        <f t="shared" si="13"/>
        <v>100</v>
      </c>
      <c r="V39" s="713" t="s">
        <v>17</v>
      </c>
      <c r="W39" s="714">
        <f t="shared" si="14"/>
        <v>100</v>
      </c>
      <c r="X39" s="1537"/>
      <c r="Y39" s="3309"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48"/>
      <c r="Q40" s="1534" t="str">
        <f t="shared" si="11"/>
        <v>市政基础设施</v>
      </c>
      <c r="R40" s="713" t="s">
        <v>17</v>
      </c>
      <c r="S40" s="714">
        <f t="shared" si="12"/>
        <v>100</v>
      </c>
      <c r="T40" s="713" t="s">
        <v>17</v>
      </c>
      <c r="U40" s="714">
        <f t="shared" si="13"/>
        <v>100</v>
      </c>
      <c r="V40" s="713" t="s">
        <v>17</v>
      </c>
      <c r="W40" s="714">
        <f t="shared" si="14"/>
        <v>100</v>
      </c>
      <c r="X40" s="1537"/>
      <c r="Y40" s="3309"/>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48"/>
      <c r="Q41" s="1534" t="str">
        <f t="shared" si="11"/>
        <v>层高</v>
      </c>
      <c r="R41" s="713" t="s">
        <v>17</v>
      </c>
      <c r="S41" s="714">
        <f t="shared" si="12"/>
        <v>100</v>
      </c>
      <c r="T41" s="713" t="s">
        <v>17</v>
      </c>
      <c r="U41" s="714">
        <f t="shared" si="13"/>
        <v>100</v>
      </c>
      <c r="V41" s="713" t="s">
        <v>17</v>
      </c>
      <c r="W41" s="714">
        <f t="shared" si="14"/>
        <v>100</v>
      </c>
      <c r="X41" s="1537"/>
      <c r="Y41" s="3309"/>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48"/>
      <c r="Q42" s="715" t="str">
        <f t="shared" si="11"/>
        <v>单套建筑面积</v>
      </c>
      <c r="R42" s="716" t="s">
        <v>17</v>
      </c>
      <c r="S42" s="717">
        <f t="shared" si="12"/>
        <v>100</v>
      </c>
      <c r="T42" s="716" t="s">
        <v>17</v>
      </c>
      <c r="U42" s="717">
        <f t="shared" si="13"/>
        <v>100</v>
      </c>
      <c r="V42" s="716" t="s">
        <v>17</v>
      </c>
      <c r="W42" s="717">
        <f t="shared" si="14"/>
        <v>100</v>
      </c>
      <c r="X42" s="718"/>
      <c r="Y42" s="3309"/>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48"/>
      <c r="Q43" s="1534" t="str">
        <f t="shared" si="11"/>
        <v>内部装修</v>
      </c>
      <c r="R43" s="713" t="s">
        <v>17</v>
      </c>
      <c r="S43" s="714">
        <f t="shared" si="12"/>
        <v>100</v>
      </c>
      <c r="T43" s="713" t="s">
        <v>17</v>
      </c>
      <c r="U43" s="714">
        <f t="shared" si="13"/>
        <v>100</v>
      </c>
      <c r="V43" s="713" t="s">
        <v>17</v>
      </c>
      <c r="W43" s="714">
        <f t="shared" si="14"/>
        <v>100</v>
      </c>
      <c r="X43" s="1537"/>
      <c r="Y43" s="3309"/>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48"/>
      <c r="Q44" s="1534" t="str">
        <f t="shared" si="11"/>
        <v>内部装修维护情况</v>
      </c>
      <c r="R44" s="713" t="s">
        <v>17</v>
      </c>
      <c r="S44" s="714">
        <f t="shared" si="12"/>
        <v>100</v>
      </c>
      <c r="T44" s="713" t="s">
        <v>17</v>
      </c>
      <c r="U44" s="714">
        <f t="shared" si="13"/>
        <v>100</v>
      </c>
      <c r="V44" s="713" t="s">
        <v>17</v>
      </c>
      <c r="W44" s="714">
        <f t="shared" si="14"/>
        <v>100</v>
      </c>
      <c r="X44" s="1537"/>
      <c r="Y44" s="3309"/>
      <c r="Z44" s="1538" t="str">
        <f t="shared" si="15"/>
        <v>内部装修维护情况</v>
      </c>
      <c r="AA44" s="1535">
        <f t="shared" si="3"/>
        <v>1</v>
      </c>
      <c r="AB44" s="1535">
        <f t="shared" si="4"/>
        <v>1</v>
      </c>
      <c r="AC44" s="2146">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48"/>
      <c r="Q45" s="1525">
        <f t="shared" si="11"/>
        <v>111</v>
      </c>
      <c r="R45" s="709" t="s">
        <v>17</v>
      </c>
      <c r="S45" s="710">
        <f t="shared" si="12"/>
        <v>100</v>
      </c>
      <c r="T45" s="709" t="s">
        <v>17</v>
      </c>
      <c r="U45" s="710">
        <f t="shared" si="13"/>
        <v>100</v>
      </c>
      <c r="V45" s="709" t="s">
        <v>17</v>
      </c>
      <c r="W45" s="710">
        <f t="shared" si="14"/>
        <v>100</v>
      </c>
      <c r="X45" s="711"/>
      <c r="Y45" s="3309"/>
      <c r="Z45" s="55">
        <f t="shared" si="15"/>
        <v>111</v>
      </c>
      <c r="AA45" s="712">
        <f t="shared" si="3"/>
        <v>1</v>
      </c>
      <c r="AB45" s="712">
        <f t="shared" si="4"/>
        <v>1</v>
      </c>
      <c r="AC45" s="2143">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48"/>
      <c r="Q46" s="1534">
        <f t="shared" si="11"/>
        <v>111</v>
      </c>
      <c r="R46" s="713" t="s">
        <v>17</v>
      </c>
      <c r="S46" s="714">
        <f t="shared" si="12"/>
        <v>100</v>
      </c>
      <c r="T46" s="713" t="s">
        <v>17</v>
      </c>
      <c r="U46" s="714">
        <f t="shared" si="13"/>
        <v>100</v>
      </c>
      <c r="V46" s="713" t="s">
        <v>17</v>
      </c>
      <c r="W46" s="714">
        <f t="shared" si="14"/>
        <v>100</v>
      </c>
      <c r="X46" s="1537"/>
      <c r="Y46" s="3309"/>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49"/>
      <c r="Q47" s="1534">
        <f t="shared" si="11"/>
        <v>111</v>
      </c>
      <c r="R47" s="713" t="s">
        <v>17</v>
      </c>
      <c r="S47" s="714">
        <f t="shared" si="12"/>
        <v>100</v>
      </c>
      <c r="T47" s="713" t="s">
        <v>17</v>
      </c>
      <c r="U47" s="714">
        <f t="shared" si="13"/>
        <v>100</v>
      </c>
      <c r="V47" s="713" t="s">
        <v>17</v>
      </c>
      <c r="W47" s="714">
        <f t="shared" si="14"/>
        <v>100</v>
      </c>
      <c r="X47" s="1537"/>
      <c r="Y47" s="3350"/>
      <c r="Z47" s="1538">
        <f t="shared" si="15"/>
        <v>111</v>
      </c>
      <c r="AA47" s="1535">
        <f t="shared" si="3"/>
        <v>1</v>
      </c>
      <c r="AB47" s="1535">
        <f t="shared" si="4"/>
        <v>1</v>
      </c>
      <c r="AC47" s="2146">
        <f t="shared" si="5"/>
        <v>1</v>
      </c>
    </row>
    <row r="48" spans="1:29" ht="15">
      <c r="A48" s="437" t="s">
        <v>2398</v>
      </c>
      <c r="B48" s="438"/>
      <c r="C48" s="1315" t="s">
        <v>1</v>
      </c>
      <c r="D48" s="1316"/>
      <c r="E48" s="1317"/>
      <c r="F48" s="1318"/>
      <c r="G48" s="1319"/>
      <c r="H48" s="1320"/>
      <c r="I48" s="1317"/>
      <c r="J48" s="443"/>
      <c r="K48" s="722"/>
      <c r="L48" s="2951"/>
      <c r="M48" s="2943"/>
      <c r="N48" s="2943"/>
      <c r="O48" s="2943"/>
      <c r="P48" s="3315" t="str">
        <f>A48</f>
        <v>成交单价（元/平方米）</v>
      </c>
      <c r="Q48" s="3291"/>
      <c r="R48" s="3346">
        <f>E48</f>
        <v>0</v>
      </c>
      <c r="S48" s="3346"/>
      <c r="T48" s="3346">
        <f>G48</f>
        <v>0</v>
      </c>
      <c r="U48" s="3346"/>
      <c r="V48" s="3346">
        <f>I48</f>
        <v>0</v>
      </c>
      <c r="W48" s="3346"/>
      <c r="X48" s="404"/>
      <c r="Y48" s="720"/>
      <c r="Z48" s="404"/>
      <c r="AA48" s="404"/>
      <c r="AB48" s="404"/>
      <c r="AC48" s="585"/>
    </row>
    <row r="49" spans="1:29" ht="15.75" thickBot="1">
      <c r="A49" s="444" t="s">
        <v>2490</v>
      </c>
      <c r="B49" s="445"/>
      <c r="C49" s="1321" t="e">
        <f>R50</f>
        <v>#DIV/0!</v>
      </c>
      <c r="D49" s="2536" t="s">
        <v>2881</v>
      </c>
      <c r="E49" s="1322" t="e">
        <f>R49</f>
        <v>#DIV/0!</v>
      </c>
      <c r="F49" s="2537"/>
      <c r="G49" s="1321" t="e">
        <f>T49</f>
        <v>#DIV/0!</v>
      </c>
      <c r="H49" s="2537"/>
      <c r="I49" s="1322" t="e">
        <f>V49</f>
        <v>#DIV/0!</v>
      </c>
      <c r="J49" s="2537"/>
      <c r="K49" s="2539">
        <f>F49+H49+J49</f>
        <v>0</v>
      </c>
      <c r="L49" s="2951"/>
      <c r="M49" s="2943"/>
      <c r="N49" s="2943"/>
      <c r="O49" s="2943"/>
      <c r="P49" s="3315" t="str">
        <f>A49</f>
        <v>比较价值（元/平方米）</v>
      </c>
      <c r="Q49" s="3291"/>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51"/>
      <c r="M50" s="2943"/>
      <c r="N50" s="2943"/>
      <c r="O50" s="2943"/>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3"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3"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3"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90"/>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3"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17349.86</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92" t="s">
        <v>2467</v>
      </c>
      <c r="D4" s="3293"/>
      <c r="E4" s="3294" t="s">
        <v>2468</v>
      </c>
      <c r="F4" s="3295"/>
      <c r="G4" s="3292" t="s">
        <v>2469</v>
      </c>
      <c r="H4" s="3293"/>
      <c r="I4" s="3292" t="s">
        <v>2470</v>
      </c>
      <c r="J4" s="3293"/>
      <c r="K4" s="566" t="s">
        <v>2471</v>
      </c>
      <c r="L4" s="1043"/>
      <c r="M4" s="1044"/>
      <c r="N4" s="1044"/>
      <c r="O4" s="1044"/>
      <c r="P4" s="3296" t="s">
        <v>2472</v>
      </c>
      <c r="Q4" s="3297"/>
      <c r="R4" s="3279" t="s">
        <v>2468</v>
      </c>
      <c r="S4" s="3280"/>
      <c r="T4" s="3279" t="s">
        <v>2469</v>
      </c>
      <c r="U4" s="3280"/>
      <c r="V4" s="3304" t="s">
        <v>2470</v>
      </c>
      <c r="W4" s="3304"/>
      <c r="X4" s="1537"/>
      <c r="Y4" s="3279" t="s">
        <v>2472</v>
      </c>
      <c r="Z4" s="3280"/>
      <c r="AA4" s="3274" t="s">
        <v>2468</v>
      </c>
      <c r="AB4" s="3275" t="s">
        <v>2469</v>
      </c>
      <c r="AC4" s="3274" t="s">
        <v>2470</v>
      </c>
    </row>
    <row r="5" spans="1:29" ht="15">
      <c r="A5" s="363"/>
      <c r="B5" s="364"/>
      <c r="C5" s="3285" t="s">
        <v>2363</v>
      </c>
      <c r="D5" s="3286"/>
      <c r="E5" s="3283" t="s">
        <v>2364</v>
      </c>
      <c r="F5" s="3284"/>
      <c r="G5" s="3285" t="s">
        <v>2365</v>
      </c>
      <c r="H5" s="3286"/>
      <c r="I5" s="3285" t="s">
        <v>2366</v>
      </c>
      <c r="J5" s="3286"/>
      <c r="K5" s="566"/>
      <c r="L5" s="1043"/>
      <c r="M5" s="1044"/>
      <c r="N5" s="1044"/>
      <c r="O5" s="1044"/>
      <c r="P5" s="3298"/>
      <c r="Q5" s="3299"/>
      <c r="R5" s="3281"/>
      <c r="S5" s="3282"/>
      <c r="T5" s="3281"/>
      <c r="U5" s="3282"/>
      <c r="V5" s="3304"/>
      <c r="W5" s="3304"/>
      <c r="X5" s="1537"/>
      <c r="Y5" s="3281"/>
      <c r="Z5" s="3282"/>
      <c r="AA5" s="3275"/>
      <c r="AB5" s="3275"/>
      <c r="AC5" s="3275"/>
    </row>
    <row r="6" spans="1:29" ht="15.75" thickBot="1">
      <c r="A6" s="365"/>
      <c r="B6" s="366"/>
      <c r="C6" s="3287" t="s">
        <v>2367</v>
      </c>
      <c r="D6" s="3288"/>
      <c r="E6" s="3289" t="s">
        <v>2367</v>
      </c>
      <c r="F6" s="3290"/>
      <c r="G6" s="3287" t="s">
        <v>2367</v>
      </c>
      <c r="H6" s="3288"/>
      <c r="I6" s="3287" t="s">
        <v>2367</v>
      </c>
      <c r="J6" s="3288"/>
      <c r="K6" s="566" t="s">
        <v>2368</v>
      </c>
      <c r="L6" s="1043"/>
      <c r="M6" s="1044"/>
      <c r="N6" s="1044"/>
      <c r="O6" s="1044"/>
      <c r="P6" s="3300"/>
      <c r="Q6" s="3301"/>
      <c r="R6" s="3281"/>
      <c r="S6" s="3282"/>
      <c r="T6" s="3302"/>
      <c r="U6" s="3303"/>
      <c r="V6" s="3304"/>
      <c r="W6" s="3304"/>
      <c r="X6" s="1537"/>
      <c r="Y6" s="3302"/>
      <c r="Z6" s="3303"/>
      <c r="AA6" s="3276"/>
      <c r="AB6" s="3276"/>
      <c r="AC6" s="3276"/>
    </row>
    <row r="7" spans="1:29" s="113" customFormat="1" ht="15.75" thickBot="1">
      <c r="A7" s="367" t="s">
        <v>2369</v>
      </c>
      <c r="B7" s="368"/>
      <c r="C7" s="369">
        <f>'数据-取费表'!B2</f>
        <v>44421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77" t="s">
        <v>2370</v>
      </c>
      <c r="Q7" s="3305"/>
      <c r="R7" s="709" t="s">
        <v>17</v>
      </c>
      <c r="S7" s="710">
        <f t="shared" ref="S7:S15" si="0">F7</f>
        <v>0</v>
      </c>
      <c r="T7" s="709" t="s">
        <v>17</v>
      </c>
      <c r="U7" s="710">
        <f t="shared" ref="U7:U15" si="1">H7</f>
        <v>0</v>
      </c>
      <c r="V7" s="709" t="s">
        <v>17</v>
      </c>
      <c r="W7" s="710">
        <f t="shared" ref="W7:W15" si="2">J7</f>
        <v>0</v>
      </c>
      <c r="X7" s="711"/>
      <c r="Y7" s="3277" t="s">
        <v>2370</v>
      </c>
      <c r="Z7" s="3278"/>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77" t="s">
        <v>2373</v>
      </c>
      <c r="Q8" s="3278"/>
      <c r="R8" s="709" t="s">
        <v>17</v>
      </c>
      <c r="S8" s="710">
        <f t="shared" si="0"/>
        <v>0</v>
      </c>
      <c r="T8" s="709" t="s">
        <v>17</v>
      </c>
      <c r="U8" s="710">
        <f t="shared" si="1"/>
        <v>0</v>
      </c>
      <c r="V8" s="709" t="s">
        <v>17</v>
      </c>
      <c r="W8" s="710">
        <f t="shared" si="2"/>
        <v>0</v>
      </c>
      <c r="X8" s="711"/>
      <c r="Y8" s="3277" t="s">
        <v>2373</v>
      </c>
      <c r="Z8" s="3278"/>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1" t="s">
        <v>2376</v>
      </c>
      <c r="Q9" s="1525" t="str">
        <f t="shared" ref="Q9:Q15" si="6">B9</f>
        <v>用途</v>
      </c>
      <c r="R9" s="709" t="s">
        <v>17</v>
      </c>
      <c r="S9" s="710">
        <f t="shared" si="0"/>
        <v>100</v>
      </c>
      <c r="T9" s="709" t="s">
        <v>17</v>
      </c>
      <c r="U9" s="710">
        <f t="shared" si="1"/>
        <v>100</v>
      </c>
      <c r="V9" s="709" t="s">
        <v>17</v>
      </c>
      <c r="W9" s="710">
        <f t="shared" si="2"/>
        <v>100</v>
      </c>
      <c r="X9" s="711"/>
      <c r="Y9" s="3247"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1"/>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1"/>
      <c r="Q11" s="1525"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91"/>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91"/>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91"/>
      <c r="Q14" s="1525">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8" t="s">
        <v>2380</v>
      </c>
      <c r="B15" s="65"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06" t="s">
        <v>2381</v>
      </c>
      <c r="Q15" s="1534" t="str">
        <f t="shared" si="6"/>
        <v>产业集聚程度</v>
      </c>
      <c r="R15" s="713" t="s">
        <v>17</v>
      </c>
      <c r="S15" s="714">
        <f t="shared" si="0"/>
        <v>100</v>
      </c>
      <c r="T15" s="713" t="s">
        <v>17</v>
      </c>
      <c r="U15" s="714">
        <f t="shared" si="1"/>
        <v>100</v>
      </c>
      <c r="V15" s="713" t="s">
        <v>17</v>
      </c>
      <c r="W15" s="714">
        <f t="shared" si="2"/>
        <v>100</v>
      </c>
      <c r="X15" s="1537"/>
      <c r="Y15" s="3306"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307"/>
      <c r="Q16" s="1534"/>
      <c r="R16" s="713"/>
      <c r="S16" s="714"/>
      <c r="T16" s="713"/>
      <c r="U16" s="714"/>
      <c r="V16" s="713"/>
      <c r="W16" s="714"/>
      <c r="X16" s="1537"/>
      <c r="Y16" s="3307"/>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07"/>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307"/>
      <c r="Q18" s="1534"/>
      <c r="R18" s="713"/>
      <c r="S18" s="714"/>
      <c r="T18" s="713"/>
      <c r="U18" s="714"/>
      <c r="V18" s="713"/>
      <c r="W18" s="714"/>
      <c r="X18" s="1537"/>
      <c r="Y18" s="3307"/>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07"/>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307"/>
      <c r="Q20" s="1534"/>
      <c r="R20" s="713"/>
      <c r="S20" s="714"/>
      <c r="T20" s="713"/>
      <c r="U20" s="714"/>
      <c r="V20" s="713"/>
      <c r="W20" s="714"/>
      <c r="X20" s="1537"/>
      <c r="Y20" s="3307"/>
      <c r="Z20" s="1538"/>
      <c r="AA20" s="1535">
        <v>1</v>
      </c>
      <c r="AB20" s="1535">
        <v>1</v>
      </c>
      <c r="AC20" s="1535">
        <v>1</v>
      </c>
    </row>
    <row r="21" spans="1:29" ht="28.5">
      <c r="A21" s="386"/>
      <c r="B21" s="1292"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07"/>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6"/>
      <c r="B22" s="1292"/>
      <c r="C22" s="2085"/>
      <c r="D22" s="406"/>
      <c r="E22" s="405"/>
      <c r="F22" s="407"/>
      <c r="G22" s="405"/>
      <c r="H22" s="406"/>
      <c r="I22" s="405"/>
      <c r="J22" s="406"/>
      <c r="K22" s="1291"/>
      <c r="L22" s="1053"/>
      <c r="M22" s="1044"/>
      <c r="N22" s="1044"/>
      <c r="O22" s="1052"/>
      <c r="P22" s="3307"/>
      <c r="Q22" s="1534"/>
      <c r="R22" s="713"/>
      <c r="S22" s="714"/>
      <c r="T22" s="713"/>
      <c r="U22" s="714"/>
      <c r="V22" s="713"/>
      <c r="W22" s="714"/>
      <c r="X22" s="1537"/>
      <c r="Y22" s="3307"/>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07"/>
      <c r="Q23" s="1534" t="str">
        <f>B23</f>
        <v>环境质量</v>
      </c>
      <c r="R23" s="713" t="s">
        <v>17</v>
      </c>
      <c r="S23" s="714">
        <f>F23</f>
        <v>100</v>
      </c>
      <c r="T23" s="713" t="s">
        <v>17</v>
      </c>
      <c r="U23" s="714">
        <f>H23</f>
        <v>100</v>
      </c>
      <c r="V23" s="713" t="s">
        <v>17</v>
      </c>
      <c r="W23" s="714">
        <f>J23</f>
        <v>100</v>
      </c>
      <c r="X23" s="1537"/>
      <c r="Y23" s="3307"/>
      <c r="Z23" s="1538" t="str">
        <f>Q23</f>
        <v>环境质量</v>
      </c>
      <c r="AA23" s="1535">
        <f t="shared" si="3"/>
        <v>1</v>
      </c>
      <c r="AB23" s="1535">
        <f t="shared" si="4"/>
        <v>1</v>
      </c>
      <c r="AC23" s="1535">
        <f t="shared" si="5"/>
        <v>1</v>
      </c>
    </row>
    <row r="24" spans="1:29" ht="15">
      <c r="A24" s="386"/>
      <c r="B24" s="1292"/>
      <c r="C24" s="405"/>
      <c r="D24" s="406"/>
      <c r="E24" s="2082"/>
      <c r="F24" s="407"/>
      <c r="G24" s="2081"/>
      <c r="H24" s="406"/>
      <c r="I24" s="2082"/>
      <c r="J24" s="406"/>
      <c r="K24" s="571"/>
      <c r="L24" s="1053"/>
      <c r="M24" s="1044"/>
      <c r="N24" s="1044"/>
      <c r="O24" s="1052"/>
      <c r="P24" s="3307"/>
      <c r="Q24" s="1534"/>
      <c r="R24" s="713"/>
      <c r="S24" s="714"/>
      <c r="T24" s="713"/>
      <c r="U24" s="714"/>
      <c r="V24" s="713"/>
      <c r="W24" s="714"/>
      <c r="X24" s="1537"/>
      <c r="Y24" s="3307"/>
      <c r="Z24" s="1538"/>
      <c r="AA24" s="1535">
        <v>1</v>
      </c>
      <c r="AB24" s="1535">
        <v>1</v>
      </c>
      <c r="AC24" s="1535">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07"/>
      <c r="Q25" s="1534">
        <f>B25</f>
        <v>111</v>
      </c>
      <c r="R25" s="713" t="s">
        <v>17</v>
      </c>
      <c r="S25" s="714">
        <f>F25</f>
        <v>100</v>
      </c>
      <c r="T25" s="713" t="s">
        <v>17</v>
      </c>
      <c r="U25" s="714">
        <f>H25</f>
        <v>100</v>
      </c>
      <c r="V25" s="713" t="s">
        <v>17</v>
      </c>
      <c r="W25" s="714">
        <f>J25</f>
        <v>100</v>
      </c>
      <c r="X25" s="1537"/>
      <c r="Y25" s="3307"/>
      <c r="Z25" s="1538">
        <f>Q25</f>
        <v>111</v>
      </c>
      <c r="AA25" s="1535">
        <f t="shared" si="3"/>
        <v>1</v>
      </c>
      <c r="AB25" s="1535">
        <f t="shared" si="4"/>
        <v>1</v>
      </c>
      <c r="AC25" s="1535">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07"/>
      <c r="Q26" s="1534">
        <f t="shared" ref="Q26:Q40" si="11">B26</f>
        <v>111</v>
      </c>
      <c r="R26" s="713" t="s">
        <v>17</v>
      </c>
      <c r="S26" s="714">
        <f>F26</f>
        <v>100</v>
      </c>
      <c r="T26" s="713" t="s">
        <v>17</v>
      </c>
      <c r="U26" s="714">
        <f>H26</f>
        <v>100</v>
      </c>
      <c r="V26" s="713" t="s">
        <v>17</v>
      </c>
      <c r="W26" s="714">
        <f>J26</f>
        <v>100</v>
      </c>
      <c r="X26" s="1537"/>
      <c r="Y26" s="3307"/>
      <c r="Z26" s="1538">
        <f>Q26</f>
        <v>111</v>
      </c>
      <c r="AA26" s="1535">
        <f t="shared" si="3"/>
        <v>1</v>
      </c>
      <c r="AB26" s="1535">
        <f t="shared" si="4"/>
        <v>1</v>
      </c>
      <c r="AC26" s="1535">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07"/>
      <c r="Q27" s="1525">
        <f t="shared" si="11"/>
        <v>111</v>
      </c>
      <c r="R27" s="709" t="s">
        <v>17</v>
      </c>
      <c r="S27" s="710">
        <f>F27</f>
        <v>100</v>
      </c>
      <c r="T27" s="709" t="s">
        <v>17</v>
      </c>
      <c r="U27" s="710">
        <f>H27</f>
        <v>100</v>
      </c>
      <c r="V27" s="709" t="s">
        <v>17</v>
      </c>
      <c r="W27" s="710">
        <f>J27</f>
        <v>100</v>
      </c>
      <c r="X27" s="711"/>
      <c r="Y27" s="3307"/>
      <c r="Z27" s="55">
        <f>Q27</f>
        <v>111</v>
      </c>
      <c r="AA27" s="1535">
        <f>D27/F27</f>
        <v>1</v>
      </c>
      <c r="AB27" s="1535">
        <f>D27/H27</f>
        <v>1</v>
      </c>
      <c r="AC27" s="1535">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07"/>
      <c r="Q28" s="1534">
        <f t="shared" si="11"/>
        <v>111</v>
      </c>
      <c r="R28" s="713" t="s">
        <v>17</v>
      </c>
      <c r="S28" s="714">
        <f t="shared" ref="S28:S40" si="12">F28</f>
        <v>100</v>
      </c>
      <c r="T28" s="713" t="s">
        <v>17</v>
      </c>
      <c r="U28" s="714">
        <f t="shared" ref="U28:U40" si="13">H28</f>
        <v>100</v>
      </c>
      <c r="V28" s="713" t="s">
        <v>17</v>
      </c>
      <c r="W28" s="714">
        <f t="shared" ref="W28:W40" si="14">J28</f>
        <v>100</v>
      </c>
      <c r="X28" s="1537"/>
      <c r="Y28" s="3307"/>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308" t="s">
        <v>2386</v>
      </c>
      <c r="Q29" s="1534" t="str">
        <f t="shared" si="11"/>
        <v>建筑类型</v>
      </c>
      <c r="R29" s="713" t="s">
        <v>17</v>
      </c>
      <c r="S29" s="714">
        <f t="shared" si="12"/>
        <v>100</v>
      </c>
      <c r="T29" s="713" t="s">
        <v>17</v>
      </c>
      <c r="U29" s="714">
        <f t="shared" si="13"/>
        <v>100</v>
      </c>
      <c r="V29" s="713" t="s">
        <v>17</v>
      </c>
      <c r="W29" s="714">
        <f t="shared" si="14"/>
        <v>100</v>
      </c>
      <c r="X29" s="1537"/>
      <c r="Y29" s="3309"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09"/>
      <c r="Q30" s="715" t="str">
        <f t="shared" si="11"/>
        <v>项目建筑规模</v>
      </c>
      <c r="R30" s="716" t="s">
        <v>17</v>
      </c>
      <c r="S30" s="717" t="e">
        <f t="shared" si="12"/>
        <v>#N/A</v>
      </c>
      <c r="T30" s="716" t="s">
        <v>17</v>
      </c>
      <c r="U30" s="717" t="e">
        <f t="shared" si="13"/>
        <v>#N/A</v>
      </c>
      <c r="V30" s="716" t="s">
        <v>17</v>
      </c>
      <c r="W30" s="717" t="e">
        <f t="shared" si="14"/>
        <v>#N/A</v>
      </c>
      <c r="X30" s="718"/>
      <c r="Y30" s="3309"/>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09"/>
      <c r="Q31" s="1534" t="str">
        <f t="shared" si="11"/>
        <v>建筑结构</v>
      </c>
      <c r="R31" s="713" t="s">
        <v>17</v>
      </c>
      <c r="S31" s="714">
        <f t="shared" si="12"/>
        <v>100</v>
      </c>
      <c r="T31" s="713" t="s">
        <v>17</v>
      </c>
      <c r="U31" s="714">
        <f t="shared" si="13"/>
        <v>100</v>
      </c>
      <c r="V31" s="713" t="s">
        <v>17</v>
      </c>
      <c r="W31" s="714">
        <f t="shared" si="14"/>
        <v>100</v>
      </c>
      <c r="X31" s="1537"/>
      <c r="Y31" s="3309"/>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09"/>
      <c r="Q32" s="1534" t="str">
        <f t="shared" si="11"/>
        <v>公共部分装修</v>
      </c>
      <c r="R32" s="713" t="s">
        <v>17</v>
      </c>
      <c r="S32" s="714">
        <f t="shared" si="12"/>
        <v>100</v>
      </c>
      <c r="T32" s="713" t="s">
        <v>17</v>
      </c>
      <c r="U32" s="714">
        <f t="shared" si="13"/>
        <v>100</v>
      </c>
      <c r="V32" s="713" t="s">
        <v>17</v>
      </c>
      <c r="W32" s="714">
        <f t="shared" si="14"/>
        <v>100</v>
      </c>
      <c r="X32" s="1537"/>
      <c r="Y32" s="3309"/>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09"/>
      <c r="Q33" s="1534" t="str">
        <f t="shared" si="11"/>
        <v>成新度</v>
      </c>
      <c r="R33" s="713" t="s">
        <v>17</v>
      </c>
      <c r="S33" s="714" t="e">
        <f t="shared" si="12"/>
        <v>#N/A</v>
      </c>
      <c r="T33" s="713" t="s">
        <v>17</v>
      </c>
      <c r="U33" s="714" t="e">
        <f t="shared" si="13"/>
        <v>#N/A</v>
      </c>
      <c r="V33" s="713" t="s">
        <v>17</v>
      </c>
      <c r="W33" s="714" t="e">
        <f t="shared" si="14"/>
        <v>#N/A</v>
      </c>
      <c r="X33" s="1537"/>
      <c r="Y33" s="3309"/>
      <c r="Z33" s="1538" t="str">
        <f t="shared" si="15"/>
        <v>成新度</v>
      </c>
      <c r="AA33" s="1535" t="e">
        <f t="shared" si="3"/>
        <v>#N/A</v>
      </c>
      <c r="AB33" s="1535" t="e">
        <f t="shared" si="4"/>
        <v>#N/A</v>
      </c>
      <c r="AC33" s="1535"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09"/>
      <c r="Q34" s="1525" t="str">
        <f t="shared" si="11"/>
        <v>物业管理</v>
      </c>
      <c r="R34" s="709" t="s">
        <v>17</v>
      </c>
      <c r="S34" s="710">
        <f t="shared" si="12"/>
        <v>100</v>
      </c>
      <c r="T34" s="709" t="s">
        <v>17</v>
      </c>
      <c r="U34" s="710">
        <f t="shared" si="13"/>
        <v>100</v>
      </c>
      <c r="V34" s="709" t="s">
        <v>17</v>
      </c>
      <c r="W34" s="710">
        <f t="shared" si="14"/>
        <v>100</v>
      </c>
      <c r="X34" s="711"/>
      <c r="Y34" s="3309"/>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09" t="s">
        <v>2386</v>
      </c>
      <c r="Q35" s="1534" t="str">
        <f t="shared" si="11"/>
        <v>市政基础设施</v>
      </c>
      <c r="R35" s="713" t="s">
        <v>17</v>
      </c>
      <c r="S35" s="714">
        <f t="shared" si="12"/>
        <v>100</v>
      </c>
      <c r="T35" s="713" t="s">
        <v>17</v>
      </c>
      <c r="U35" s="714">
        <f t="shared" si="13"/>
        <v>100</v>
      </c>
      <c r="V35" s="713" t="s">
        <v>17</v>
      </c>
      <c r="W35" s="714">
        <f t="shared" si="14"/>
        <v>100</v>
      </c>
      <c r="X35" s="1537"/>
      <c r="Y35" s="3309"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09"/>
      <c r="Q36" s="1534" t="str">
        <f t="shared" si="11"/>
        <v>内部装修</v>
      </c>
      <c r="R36" s="713" t="s">
        <v>17</v>
      </c>
      <c r="S36" s="714">
        <f t="shared" si="12"/>
        <v>100</v>
      </c>
      <c r="T36" s="713" t="s">
        <v>17</v>
      </c>
      <c r="U36" s="714">
        <f t="shared" si="13"/>
        <v>100</v>
      </c>
      <c r="V36" s="713" t="s">
        <v>17</v>
      </c>
      <c r="W36" s="714">
        <f t="shared" si="14"/>
        <v>100</v>
      </c>
      <c r="X36" s="1537"/>
      <c r="Y36" s="3309"/>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09"/>
      <c r="Q37" s="1534" t="str">
        <f t="shared" si="11"/>
        <v>内部装修状况</v>
      </c>
      <c r="R37" s="713" t="s">
        <v>17</v>
      </c>
      <c r="S37" s="714">
        <f t="shared" si="12"/>
        <v>100</v>
      </c>
      <c r="T37" s="713" t="s">
        <v>17</v>
      </c>
      <c r="U37" s="714">
        <f t="shared" si="13"/>
        <v>100</v>
      </c>
      <c r="V37" s="713" t="s">
        <v>17</v>
      </c>
      <c r="W37" s="714">
        <f t="shared" si="14"/>
        <v>100</v>
      </c>
      <c r="X37" s="1537"/>
      <c r="Y37" s="3309"/>
      <c r="Z37" s="1538" t="str">
        <f t="shared" si="15"/>
        <v>内部装修状况</v>
      </c>
      <c r="AA37" s="1535">
        <f t="shared" si="3"/>
        <v>1</v>
      </c>
      <c r="AB37" s="1535">
        <f t="shared" si="4"/>
        <v>1</v>
      </c>
      <c r="AC37" s="1535">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09"/>
      <c r="Q38" s="715">
        <f t="shared" si="11"/>
        <v>111</v>
      </c>
      <c r="R38" s="716" t="s">
        <v>17</v>
      </c>
      <c r="S38" s="717">
        <f t="shared" si="12"/>
        <v>100</v>
      </c>
      <c r="T38" s="716" t="s">
        <v>17</v>
      </c>
      <c r="U38" s="717">
        <f t="shared" si="13"/>
        <v>100</v>
      </c>
      <c r="V38" s="716" t="s">
        <v>17</v>
      </c>
      <c r="W38" s="717">
        <f t="shared" si="14"/>
        <v>100</v>
      </c>
      <c r="X38" s="718"/>
      <c r="Y38" s="3309"/>
      <c r="Z38" s="719">
        <f t="shared" si="15"/>
        <v>111</v>
      </c>
      <c r="AA38" s="1535">
        <f t="shared" si="3"/>
        <v>1</v>
      </c>
      <c r="AB38" s="1535">
        <f t="shared" si="4"/>
        <v>1</v>
      </c>
      <c r="AC38" s="1535">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09"/>
      <c r="Q39" s="1534">
        <f t="shared" si="11"/>
        <v>111</v>
      </c>
      <c r="R39" s="713" t="s">
        <v>17</v>
      </c>
      <c r="S39" s="714">
        <f t="shared" si="12"/>
        <v>100</v>
      </c>
      <c r="T39" s="713" t="s">
        <v>17</v>
      </c>
      <c r="U39" s="714">
        <f t="shared" si="13"/>
        <v>100</v>
      </c>
      <c r="V39" s="713" t="s">
        <v>17</v>
      </c>
      <c r="W39" s="714">
        <f t="shared" si="14"/>
        <v>100</v>
      </c>
      <c r="X39" s="1537"/>
      <c r="Y39" s="3309"/>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50"/>
      <c r="Q40" s="1534">
        <f t="shared" si="11"/>
        <v>111</v>
      </c>
      <c r="R40" s="713" t="s">
        <v>17</v>
      </c>
      <c r="S40" s="714">
        <f t="shared" si="12"/>
        <v>100</v>
      </c>
      <c r="T40" s="713" t="s">
        <v>17</v>
      </c>
      <c r="U40" s="714">
        <f t="shared" si="13"/>
        <v>100</v>
      </c>
      <c r="V40" s="713" t="s">
        <v>17</v>
      </c>
      <c r="W40" s="714">
        <f t="shared" si="14"/>
        <v>100</v>
      </c>
      <c r="X40" s="1537"/>
      <c r="Y40" s="3350"/>
      <c r="Z40" s="1538">
        <f t="shared" si="15"/>
        <v>111</v>
      </c>
      <c r="AA40" s="1535">
        <f t="shared" si="3"/>
        <v>1</v>
      </c>
      <c r="AB40" s="1535">
        <f t="shared" si="4"/>
        <v>1</v>
      </c>
      <c r="AC40" s="1535">
        <f t="shared" si="5"/>
        <v>1</v>
      </c>
    </row>
    <row r="41" spans="1:29" ht="15">
      <c r="A41" s="437" t="s">
        <v>2398</v>
      </c>
      <c r="B41" s="438"/>
      <c r="C41" s="1315" t="s">
        <v>1</v>
      </c>
      <c r="D41" s="1316"/>
      <c r="E41" s="1317"/>
      <c r="F41" s="1318"/>
      <c r="G41" s="1319"/>
      <c r="H41" s="1320"/>
      <c r="I41" s="1317"/>
      <c r="J41" s="1320"/>
      <c r="K41" s="722"/>
      <c r="L41" s="1056"/>
      <c r="M41" s="1057"/>
      <c r="N41" s="1044"/>
      <c r="O41" s="1057"/>
      <c r="P41" s="3291" t="str">
        <f>A41</f>
        <v>成交单价（元/平方米）</v>
      </c>
      <c r="Q41" s="3291"/>
      <c r="R41" s="3346">
        <f>E41</f>
        <v>0</v>
      </c>
      <c r="S41" s="3346"/>
      <c r="T41" s="3346">
        <f>G41</f>
        <v>0</v>
      </c>
      <c r="U41" s="3346"/>
      <c r="V41" s="3346">
        <f>I41</f>
        <v>0</v>
      </c>
      <c r="W41" s="3346"/>
      <c r="X41" s="698"/>
      <c r="Y41" s="720"/>
      <c r="Z41" s="698"/>
      <c r="AA41" s="698"/>
      <c r="AB41" s="698"/>
      <c r="AC41" s="698"/>
    </row>
    <row r="42" spans="1:29" ht="15.75" thickBot="1">
      <c r="A42" s="444" t="s">
        <v>2490</v>
      </c>
      <c r="B42" s="445"/>
      <c r="C42" s="1321" t="e">
        <f>R43</f>
        <v>#DIV/0!</v>
      </c>
      <c r="D42" s="2536" t="s">
        <v>2881</v>
      </c>
      <c r="E42" s="1322" t="e">
        <f>R42</f>
        <v>#DIV/0!</v>
      </c>
      <c r="F42" s="2537"/>
      <c r="G42" s="1321" t="e">
        <f>T42</f>
        <v>#DIV/0!</v>
      </c>
      <c r="H42" s="2537"/>
      <c r="I42" s="1322" t="e">
        <f>V42</f>
        <v>#DIV/0!</v>
      </c>
      <c r="J42" s="2537"/>
      <c r="K42" s="2539">
        <f>F42+H42+J42</f>
        <v>0</v>
      </c>
      <c r="L42" s="1056"/>
      <c r="M42" s="1057"/>
      <c r="N42" s="1044"/>
      <c r="O42" s="1057"/>
      <c r="P42" s="3291" t="str">
        <f>A42</f>
        <v>比较价值（元/平方米）</v>
      </c>
      <c r="Q42" s="3291"/>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311" t="str">
        <f>A43</f>
        <v>估价对象XX用房的比较价值（楼面单价，元/平方米）</v>
      </c>
      <c r="Q43" s="3312"/>
      <c r="R43" s="3345" t="e">
        <f>IF(F1="售价",ROUND(IF(D42="简单平均",AVERAGE(R42:V42),R42*F42+T42*H42+V42*J42),0),ROUND(IF(D42="简单平均",AVERAGE(R42:V42),R42*F42+T42*H42+V42*J42),1))</f>
        <v>#DIV/0!</v>
      </c>
      <c r="S43" s="3345"/>
      <c r="T43" s="3345"/>
      <c r="U43" s="3345"/>
      <c r="V43" s="3345"/>
      <c r="W43" s="334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7"/>
      <c r="O54" s="2998"/>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2"/>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0" t="s">
        <v>2466</v>
      </c>
      <c r="B4" s="361"/>
      <c r="C4" s="3292" t="s">
        <v>2467</v>
      </c>
      <c r="D4" s="3293"/>
      <c r="E4" s="3294" t="s">
        <v>2468</v>
      </c>
      <c r="F4" s="3295"/>
      <c r="G4" s="3292" t="s">
        <v>2469</v>
      </c>
      <c r="H4" s="3293"/>
      <c r="I4" s="3292" t="s">
        <v>2470</v>
      </c>
      <c r="J4" s="3293"/>
      <c r="K4" s="566" t="s">
        <v>2471</v>
      </c>
      <c r="L4" s="2942"/>
      <c r="M4" s="2943"/>
      <c r="N4" s="2943"/>
      <c r="O4" s="2943"/>
      <c r="P4" s="3296" t="s">
        <v>2472</v>
      </c>
      <c r="Q4" s="3297"/>
      <c r="R4" s="3279" t="s">
        <v>2468</v>
      </c>
      <c r="S4" s="3280"/>
      <c r="T4" s="3279" t="s">
        <v>2469</v>
      </c>
      <c r="U4" s="3280"/>
      <c r="V4" s="3304" t="s">
        <v>2470</v>
      </c>
      <c r="W4" s="3304"/>
      <c r="X4" s="1537"/>
      <c r="Y4" s="3279" t="s">
        <v>2472</v>
      </c>
      <c r="Z4" s="3280"/>
      <c r="AA4" s="3274" t="s">
        <v>2468</v>
      </c>
      <c r="AB4" s="3275" t="s">
        <v>2469</v>
      </c>
      <c r="AC4" s="3274" t="s">
        <v>2470</v>
      </c>
    </row>
    <row r="5" spans="1:29" ht="15">
      <c r="A5" s="363"/>
      <c r="B5" s="364"/>
      <c r="C5" s="3285" t="s">
        <v>2363</v>
      </c>
      <c r="D5" s="3286"/>
      <c r="E5" s="3283" t="s">
        <v>2364</v>
      </c>
      <c r="F5" s="3284"/>
      <c r="G5" s="3285" t="s">
        <v>2365</v>
      </c>
      <c r="H5" s="3286"/>
      <c r="I5" s="3285" t="s">
        <v>2366</v>
      </c>
      <c r="J5" s="3286"/>
      <c r="K5" s="566"/>
      <c r="L5" s="2942"/>
      <c r="M5" s="2943"/>
      <c r="N5" s="2943"/>
      <c r="O5" s="2943"/>
      <c r="P5" s="3298"/>
      <c r="Q5" s="3299"/>
      <c r="R5" s="3281"/>
      <c r="S5" s="3282"/>
      <c r="T5" s="3281"/>
      <c r="U5" s="3282"/>
      <c r="V5" s="3304"/>
      <c r="W5" s="3304"/>
      <c r="X5" s="1537"/>
      <c r="Y5" s="3281"/>
      <c r="Z5" s="3282"/>
      <c r="AA5" s="3275"/>
      <c r="AB5" s="3275"/>
      <c r="AC5" s="3275"/>
    </row>
    <row r="6" spans="1:29" ht="15.75" thickBot="1">
      <c r="A6" s="365"/>
      <c r="B6" s="366"/>
      <c r="C6" s="3287" t="s">
        <v>2367</v>
      </c>
      <c r="D6" s="3288"/>
      <c r="E6" s="3289" t="s">
        <v>2367</v>
      </c>
      <c r="F6" s="3290"/>
      <c r="G6" s="3287" t="s">
        <v>2367</v>
      </c>
      <c r="H6" s="3288"/>
      <c r="I6" s="3287" t="s">
        <v>2367</v>
      </c>
      <c r="J6" s="3288"/>
      <c r="K6" s="566" t="s">
        <v>2368</v>
      </c>
      <c r="L6" s="2942"/>
      <c r="M6" s="2943"/>
      <c r="N6" s="2943"/>
      <c r="O6" s="2943"/>
      <c r="P6" s="3300"/>
      <c r="Q6" s="3301"/>
      <c r="R6" s="3281"/>
      <c r="S6" s="3282"/>
      <c r="T6" s="3302"/>
      <c r="U6" s="3303"/>
      <c r="V6" s="3304"/>
      <c r="W6" s="3304"/>
      <c r="X6" s="1537"/>
      <c r="Y6" s="3302"/>
      <c r="Z6" s="3303"/>
      <c r="AA6" s="3276"/>
      <c r="AB6" s="3276"/>
      <c r="AC6" s="3276"/>
    </row>
    <row r="7" spans="1:29" s="113" customFormat="1" ht="15.75" thickBot="1">
      <c r="A7" s="367" t="s">
        <v>2369</v>
      </c>
      <c r="B7" s="368"/>
      <c r="C7" s="369">
        <f>'数据-取费表'!B2</f>
        <v>44421</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77" t="s">
        <v>2370</v>
      </c>
      <c r="Q7" s="3305"/>
      <c r="R7" s="709" t="s">
        <v>17</v>
      </c>
      <c r="S7" s="710">
        <f t="shared" ref="S7:S14" si="0">F7</f>
        <v>0</v>
      </c>
      <c r="T7" s="709" t="s">
        <v>17</v>
      </c>
      <c r="U7" s="710">
        <f t="shared" ref="U7:U14" si="1">H7</f>
        <v>0</v>
      </c>
      <c r="V7" s="709" t="s">
        <v>17</v>
      </c>
      <c r="W7" s="710">
        <f t="shared" ref="W7:W14" si="2">J7</f>
        <v>0</v>
      </c>
      <c r="X7" s="711"/>
      <c r="Y7" s="3277" t="s">
        <v>2370</v>
      </c>
      <c r="Z7" s="3278"/>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77" t="s">
        <v>2373</v>
      </c>
      <c r="Q8" s="3278"/>
      <c r="R8" s="709" t="s">
        <v>17</v>
      </c>
      <c r="S8" s="710">
        <f t="shared" si="0"/>
        <v>0</v>
      </c>
      <c r="T8" s="709" t="s">
        <v>17</v>
      </c>
      <c r="U8" s="710">
        <f t="shared" si="1"/>
        <v>0</v>
      </c>
      <c r="V8" s="709" t="s">
        <v>17</v>
      </c>
      <c r="W8" s="710">
        <f t="shared" si="2"/>
        <v>0</v>
      </c>
      <c r="X8" s="711"/>
      <c r="Y8" s="3277" t="s">
        <v>2373</v>
      </c>
      <c r="Z8" s="3278"/>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91" t="s">
        <v>2376</v>
      </c>
      <c r="Q9" s="1525" t="str">
        <f t="shared" ref="Q9:Q14" si="6">B9</f>
        <v>用途</v>
      </c>
      <c r="R9" s="709" t="s">
        <v>17</v>
      </c>
      <c r="S9" s="710">
        <f t="shared" si="0"/>
        <v>100</v>
      </c>
      <c r="T9" s="709" t="s">
        <v>17</v>
      </c>
      <c r="U9" s="710">
        <f t="shared" si="1"/>
        <v>100</v>
      </c>
      <c r="V9" s="709" t="s">
        <v>17</v>
      </c>
      <c r="W9" s="710">
        <f t="shared" si="2"/>
        <v>100</v>
      </c>
      <c r="X9" s="711"/>
      <c r="Y9" s="3247"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91"/>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91"/>
      <c r="Q11" s="1525">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91"/>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91"/>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06" t="s">
        <v>2381</v>
      </c>
      <c r="Q14" s="1534" t="str">
        <f t="shared" si="6"/>
        <v>交通便捷度</v>
      </c>
      <c r="R14" s="713" t="s">
        <v>17</v>
      </c>
      <c r="S14" s="714">
        <f t="shared" si="0"/>
        <v>100</v>
      </c>
      <c r="T14" s="713" t="s">
        <v>17</v>
      </c>
      <c r="U14" s="714">
        <f t="shared" si="1"/>
        <v>100</v>
      </c>
      <c r="V14" s="713" t="s">
        <v>17</v>
      </c>
      <c r="W14" s="714">
        <f t="shared" si="2"/>
        <v>100</v>
      </c>
      <c r="X14" s="1537"/>
      <c r="Y14" s="3306"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307"/>
      <c r="Q15" s="1534"/>
      <c r="R15" s="713"/>
      <c r="S15" s="714"/>
      <c r="T15" s="713"/>
      <c r="U15" s="714"/>
      <c r="V15" s="713"/>
      <c r="W15" s="714"/>
      <c r="X15" s="1537"/>
      <c r="Y15" s="3307"/>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07"/>
      <c r="Q16" s="1534" t="str">
        <f>B16</f>
        <v>公共配套设施</v>
      </c>
      <c r="R16" s="713" t="s">
        <v>17</v>
      </c>
      <c r="S16" s="714">
        <f>F16</f>
        <v>100</v>
      </c>
      <c r="T16" s="713" t="s">
        <v>17</v>
      </c>
      <c r="U16" s="714">
        <f>H16</f>
        <v>100</v>
      </c>
      <c r="V16" s="713" t="s">
        <v>17</v>
      </c>
      <c r="W16" s="714">
        <f>J16</f>
        <v>100</v>
      </c>
      <c r="X16" s="1537"/>
      <c r="Y16" s="3307"/>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307"/>
      <c r="Q17" s="1534"/>
      <c r="R17" s="713"/>
      <c r="S17" s="714"/>
      <c r="T17" s="713"/>
      <c r="U17" s="714"/>
      <c r="V17" s="713"/>
      <c r="W17" s="714"/>
      <c r="X17" s="1537"/>
      <c r="Y17" s="3307"/>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07"/>
      <c r="Q18" s="1534" t="str">
        <f>B18</f>
        <v>基础设施水平</v>
      </c>
      <c r="R18" s="713" t="s">
        <v>17</v>
      </c>
      <c r="S18" s="714">
        <f>F18</f>
        <v>100</v>
      </c>
      <c r="T18" s="713" t="s">
        <v>17</v>
      </c>
      <c r="U18" s="714">
        <f>H18</f>
        <v>100</v>
      </c>
      <c r="V18" s="713" t="s">
        <v>17</v>
      </c>
      <c r="W18" s="714">
        <f>J18</f>
        <v>100</v>
      </c>
      <c r="X18" s="1537"/>
      <c r="Y18" s="3307"/>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1"/>
      <c r="L19" s="2949"/>
      <c r="M19" s="2943"/>
      <c r="N19" s="2943"/>
      <c r="O19" s="2943"/>
      <c r="P19" s="3307"/>
      <c r="Q19" s="1534"/>
      <c r="R19" s="713"/>
      <c r="S19" s="714"/>
      <c r="T19" s="713"/>
      <c r="U19" s="714"/>
      <c r="V19" s="713"/>
      <c r="W19" s="714"/>
      <c r="X19" s="1537"/>
      <c r="Y19" s="3307"/>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07"/>
      <c r="Q20" s="1534" t="str">
        <f>B20</f>
        <v>自然及人文环境</v>
      </c>
      <c r="R20" s="713" t="s">
        <v>17</v>
      </c>
      <c r="S20" s="714">
        <f>F20</f>
        <v>100</v>
      </c>
      <c r="T20" s="713" t="s">
        <v>17</v>
      </c>
      <c r="U20" s="714">
        <f>H20</f>
        <v>100</v>
      </c>
      <c r="V20" s="713" t="s">
        <v>17</v>
      </c>
      <c r="W20" s="714">
        <f>J20</f>
        <v>100</v>
      </c>
      <c r="X20" s="1537"/>
      <c r="Y20" s="3307"/>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307"/>
      <c r="Q21" s="1534"/>
      <c r="R21" s="713"/>
      <c r="S21" s="714"/>
      <c r="T21" s="713"/>
      <c r="U21" s="714"/>
      <c r="V21" s="713"/>
      <c r="W21" s="714"/>
      <c r="X21" s="1537"/>
      <c r="Y21" s="3307"/>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07"/>
      <c r="Q22" s="1534" t="str">
        <f>B22</f>
        <v>楼层</v>
      </c>
      <c r="R22" s="713" t="s">
        <v>17</v>
      </c>
      <c r="S22" s="714">
        <f>F22</f>
        <v>100</v>
      </c>
      <c r="T22" s="713" t="s">
        <v>17</v>
      </c>
      <c r="U22" s="714">
        <f>H22</f>
        <v>100</v>
      </c>
      <c r="V22" s="713" t="s">
        <v>17</v>
      </c>
      <c r="W22" s="714">
        <f>J22</f>
        <v>100</v>
      </c>
      <c r="X22" s="1537"/>
      <c r="Y22" s="3307"/>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07"/>
      <c r="Q23" s="1534">
        <f>B23</f>
        <v>111</v>
      </c>
      <c r="R23" s="713" t="s">
        <v>17</v>
      </c>
      <c r="S23" s="714">
        <f>F23</f>
        <v>100</v>
      </c>
      <c r="T23" s="713" t="s">
        <v>17</v>
      </c>
      <c r="U23" s="714">
        <f>H23</f>
        <v>100</v>
      </c>
      <c r="V23" s="713" t="s">
        <v>17</v>
      </c>
      <c r="W23" s="714">
        <f>J23</f>
        <v>100</v>
      </c>
      <c r="X23" s="1537"/>
      <c r="Y23" s="3307"/>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07"/>
      <c r="Q24" s="1534">
        <f t="shared" ref="Q24:Q36" si="11">B24</f>
        <v>111</v>
      </c>
      <c r="R24" s="713" t="s">
        <v>17</v>
      </c>
      <c r="S24" s="714">
        <f>F24</f>
        <v>100</v>
      </c>
      <c r="T24" s="713" t="s">
        <v>17</v>
      </c>
      <c r="U24" s="714">
        <f>H24</f>
        <v>100</v>
      </c>
      <c r="V24" s="713" t="s">
        <v>17</v>
      </c>
      <c r="W24" s="714">
        <f>J24</f>
        <v>100</v>
      </c>
      <c r="X24" s="1537"/>
      <c r="Y24" s="3307"/>
      <c r="Z24" s="1538">
        <f>Q24</f>
        <v>111</v>
      </c>
      <c r="AA24" s="1535">
        <f t="shared" si="3"/>
        <v>1</v>
      </c>
      <c r="AB24" s="1535">
        <f t="shared" si="4"/>
        <v>1</v>
      </c>
      <c r="AC24" s="153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07"/>
      <c r="Q25" s="1525">
        <f t="shared" si="11"/>
        <v>111</v>
      </c>
      <c r="R25" s="709" t="s">
        <v>17</v>
      </c>
      <c r="S25" s="710">
        <f>F25</f>
        <v>100</v>
      </c>
      <c r="T25" s="709" t="s">
        <v>17</v>
      </c>
      <c r="U25" s="710">
        <f>H25</f>
        <v>100</v>
      </c>
      <c r="V25" s="709" t="s">
        <v>17</v>
      </c>
      <c r="W25" s="710">
        <f>J25</f>
        <v>100</v>
      </c>
      <c r="X25" s="711"/>
      <c r="Y25" s="3307"/>
      <c r="Z25" s="55">
        <f>Q25</f>
        <v>111</v>
      </c>
      <c r="AA25" s="1535">
        <f>D25/F25</f>
        <v>1</v>
      </c>
      <c r="AB25" s="1535">
        <f>D25/H25</f>
        <v>1</v>
      </c>
      <c r="AC25" s="1535">
        <f>D25/J25</f>
        <v>1</v>
      </c>
    </row>
    <row r="26" spans="1:29" ht="28.5">
      <c r="A26" s="607"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08"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09"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09"/>
      <c r="Q27" s="715" t="str">
        <f t="shared" si="11"/>
        <v>项目停车位配比</v>
      </c>
      <c r="R27" s="716" t="s">
        <v>17</v>
      </c>
      <c r="S27" s="717">
        <f t="shared" si="12"/>
        <v>100</v>
      </c>
      <c r="T27" s="716" t="s">
        <v>17</v>
      </c>
      <c r="U27" s="717">
        <f t="shared" si="13"/>
        <v>100</v>
      </c>
      <c r="V27" s="716" t="s">
        <v>17</v>
      </c>
      <c r="W27" s="717">
        <f t="shared" si="14"/>
        <v>100</v>
      </c>
      <c r="X27" s="718"/>
      <c r="Y27" s="3309"/>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09"/>
      <c r="Q28" s="1534" t="str">
        <f t="shared" si="11"/>
        <v>公共部分装修</v>
      </c>
      <c r="R28" s="713" t="s">
        <v>17</v>
      </c>
      <c r="S28" s="714">
        <f t="shared" si="12"/>
        <v>100</v>
      </c>
      <c r="T28" s="713" t="s">
        <v>17</v>
      </c>
      <c r="U28" s="714">
        <f t="shared" si="13"/>
        <v>100</v>
      </c>
      <c r="V28" s="713" t="s">
        <v>17</v>
      </c>
      <c r="W28" s="714">
        <f t="shared" si="14"/>
        <v>100</v>
      </c>
      <c r="X28" s="1537"/>
      <c r="Y28" s="3309"/>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09"/>
      <c r="Q29" s="1534" t="str">
        <f t="shared" si="11"/>
        <v>成新率</v>
      </c>
      <c r="R29" s="713" t="s">
        <v>17</v>
      </c>
      <c r="S29" s="714" t="e">
        <f t="shared" si="12"/>
        <v>#N/A</v>
      </c>
      <c r="T29" s="713" t="s">
        <v>17</v>
      </c>
      <c r="U29" s="714" t="e">
        <f t="shared" si="13"/>
        <v>#N/A</v>
      </c>
      <c r="V29" s="713" t="s">
        <v>17</v>
      </c>
      <c r="W29" s="714" t="e">
        <f t="shared" si="14"/>
        <v>#N/A</v>
      </c>
      <c r="X29" s="1537"/>
      <c r="Y29" s="3309"/>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09"/>
      <c r="Q30" s="1534" t="str">
        <f t="shared" si="11"/>
        <v>物业等级</v>
      </c>
      <c r="R30" s="713" t="s">
        <v>17</v>
      </c>
      <c r="S30" s="714">
        <f t="shared" si="12"/>
        <v>100</v>
      </c>
      <c r="T30" s="713" t="s">
        <v>17</v>
      </c>
      <c r="U30" s="714">
        <f t="shared" si="13"/>
        <v>100</v>
      </c>
      <c r="V30" s="713" t="s">
        <v>17</v>
      </c>
      <c r="W30" s="714">
        <f t="shared" si="14"/>
        <v>100</v>
      </c>
      <c r="X30" s="1537"/>
      <c r="Y30" s="3309"/>
      <c r="Z30" s="1538" t="str">
        <f t="shared" si="15"/>
        <v>物业等级</v>
      </c>
      <c r="AA30" s="1535">
        <f t="shared" si="3"/>
        <v>1</v>
      </c>
      <c r="AB30" s="1535">
        <f t="shared" si="4"/>
        <v>1</v>
      </c>
      <c r="AC30" s="1535">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09"/>
      <c r="Q31" s="1525" t="str">
        <f t="shared" si="11"/>
        <v>停车位面积</v>
      </c>
      <c r="R31" s="709" t="s">
        <v>17</v>
      </c>
      <c r="S31" s="710" t="e">
        <f t="shared" si="12"/>
        <v>#N/A</v>
      </c>
      <c r="T31" s="709" t="s">
        <v>17</v>
      </c>
      <c r="U31" s="710" t="e">
        <f t="shared" si="13"/>
        <v>#N/A</v>
      </c>
      <c r="V31" s="709" t="s">
        <v>17</v>
      </c>
      <c r="W31" s="710" t="e">
        <f t="shared" si="14"/>
        <v>#N/A</v>
      </c>
      <c r="X31" s="711"/>
      <c r="Y31" s="3309"/>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09" t="s">
        <v>2386</v>
      </c>
      <c r="Q32" s="1534" t="str">
        <f t="shared" si="11"/>
        <v>车位类型</v>
      </c>
      <c r="R32" s="713" t="s">
        <v>17</v>
      </c>
      <c r="S32" s="714">
        <f t="shared" si="12"/>
        <v>100</v>
      </c>
      <c r="T32" s="713" t="s">
        <v>17</v>
      </c>
      <c r="U32" s="714">
        <f t="shared" si="13"/>
        <v>100</v>
      </c>
      <c r="V32" s="713" t="s">
        <v>17</v>
      </c>
      <c r="W32" s="714">
        <f t="shared" si="14"/>
        <v>100</v>
      </c>
      <c r="X32" s="1537"/>
      <c r="Y32" s="3309"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09"/>
      <c r="Q33" s="1534" t="str">
        <f t="shared" si="11"/>
        <v>是否直接入户</v>
      </c>
      <c r="R33" s="713" t="s">
        <v>17</v>
      </c>
      <c r="S33" s="714">
        <f t="shared" si="12"/>
        <v>100</v>
      </c>
      <c r="T33" s="713" t="s">
        <v>17</v>
      </c>
      <c r="U33" s="714">
        <f t="shared" si="13"/>
        <v>100</v>
      </c>
      <c r="V33" s="713" t="s">
        <v>17</v>
      </c>
      <c r="W33" s="714">
        <f t="shared" si="14"/>
        <v>100</v>
      </c>
      <c r="X33" s="1537"/>
      <c r="Y33" s="3309"/>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09"/>
      <c r="Q34" s="1534">
        <f t="shared" si="11"/>
        <v>111</v>
      </c>
      <c r="R34" s="713" t="s">
        <v>17</v>
      </c>
      <c r="S34" s="714">
        <f t="shared" si="12"/>
        <v>100</v>
      </c>
      <c r="T34" s="713" t="s">
        <v>17</v>
      </c>
      <c r="U34" s="714">
        <f t="shared" si="13"/>
        <v>100</v>
      </c>
      <c r="V34" s="713" t="s">
        <v>17</v>
      </c>
      <c r="W34" s="714">
        <f t="shared" si="14"/>
        <v>100</v>
      </c>
      <c r="X34" s="1537"/>
      <c r="Y34" s="3309"/>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09"/>
      <c r="Q35" s="715">
        <f t="shared" si="11"/>
        <v>111</v>
      </c>
      <c r="R35" s="716" t="s">
        <v>17</v>
      </c>
      <c r="S35" s="717">
        <f t="shared" si="12"/>
        <v>100</v>
      </c>
      <c r="T35" s="716" t="s">
        <v>17</v>
      </c>
      <c r="U35" s="717">
        <f t="shared" si="13"/>
        <v>100</v>
      </c>
      <c r="V35" s="716" t="s">
        <v>17</v>
      </c>
      <c r="W35" s="717">
        <f t="shared" si="14"/>
        <v>100</v>
      </c>
      <c r="X35" s="718"/>
      <c r="Y35" s="3309"/>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09"/>
      <c r="Q36" s="1534">
        <f t="shared" si="11"/>
        <v>111</v>
      </c>
      <c r="R36" s="713" t="s">
        <v>17</v>
      </c>
      <c r="S36" s="714">
        <f t="shared" si="12"/>
        <v>100</v>
      </c>
      <c r="T36" s="713" t="s">
        <v>17</v>
      </c>
      <c r="U36" s="714">
        <f t="shared" si="13"/>
        <v>100</v>
      </c>
      <c r="V36" s="713" t="s">
        <v>17</v>
      </c>
      <c r="W36" s="714">
        <f t="shared" si="14"/>
        <v>100</v>
      </c>
      <c r="X36" s="1537"/>
      <c r="Y36" s="3309"/>
      <c r="Z36" s="1538">
        <f t="shared" si="15"/>
        <v>111</v>
      </c>
      <c r="AA36" s="1535">
        <f t="shared" si="3"/>
        <v>1</v>
      </c>
      <c r="AB36" s="1535">
        <f t="shared" si="4"/>
        <v>1</v>
      </c>
      <c r="AC36" s="1535">
        <f t="shared" si="5"/>
        <v>1</v>
      </c>
    </row>
    <row r="37" spans="1:29" ht="15">
      <c r="A37" s="437" t="s">
        <v>2541</v>
      </c>
      <c r="B37" s="2157" t="s">
        <v>2542</v>
      </c>
      <c r="C37" s="1315" t="s">
        <v>1</v>
      </c>
      <c r="D37" s="1316"/>
      <c r="E37" s="1317"/>
      <c r="F37" s="1318"/>
      <c r="G37" s="1319"/>
      <c r="H37" s="1320"/>
      <c r="I37" s="1317"/>
      <c r="J37" s="1320"/>
      <c r="K37" s="575"/>
      <c r="L37" s="2951"/>
      <c r="M37" s="2952"/>
      <c r="N37" s="2943"/>
      <c r="O37" s="2952"/>
      <c r="P37" s="3291" t="str">
        <f>A37</f>
        <v>成交单价</v>
      </c>
      <c r="Q37" s="3291"/>
      <c r="R37" s="3346">
        <f>E37</f>
        <v>0</v>
      </c>
      <c r="S37" s="3346"/>
      <c r="T37" s="3346">
        <f>G37</f>
        <v>0</v>
      </c>
      <c r="U37" s="3346"/>
      <c r="V37" s="3346">
        <f>I37</f>
        <v>0</v>
      </c>
      <c r="W37" s="3346"/>
      <c r="X37" s="698"/>
      <c r="Y37" s="720"/>
      <c r="Z37" s="698"/>
      <c r="AA37" s="698"/>
      <c r="AB37" s="698"/>
      <c r="AC37" s="698"/>
    </row>
    <row r="38" spans="1:29" ht="15.75" thickBot="1">
      <c r="A38" s="444" t="s">
        <v>2543</v>
      </c>
      <c r="B38" s="445" t="str">
        <f>B37</f>
        <v>元/车位</v>
      </c>
      <c r="C38" s="1321" t="e">
        <f>R39</f>
        <v>#DIV/0!</v>
      </c>
      <c r="D38" s="2536" t="s">
        <v>2881</v>
      </c>
      <c r="E38" s="1322" t="e">
        <f>R38</f>
        <v>#DIV/0!</v>
      </c>
      <c r="F38" s="2537"/>
      <c r="G38" s="1321" t="e">
        <f>T38</f>
        <v>#DIV/0!</v>
      </c>
      <c r="H38" s="2537"/>
      <c r="I38" s="1322" t="e">
        <f>V38</f>
        <v>#DIV/0!</v>
      </c>
      <c r="J38" s="2537"/>
      <c r="K38" s="2539">
        <f>F38+H38+J38</f>
        <v>0</v>
      </c>
      <c r="L38" s="2951"/>
      <c r="M38" s="2952"/>
      <c r="N38" s="2952"/>
      <c r="O38" s="2952"/>
      <c r="P38" s="3291" t="str">
        <f>A38</f>
        <v>比较价值（元/平方米）</v>
      </c>
      <c r="Q38" s="3291"/>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51"/>
      <c r="M39" s="2952"/>
      <c r="N39" s="2952"/>
      <c r="O39" s="2952"/>
      <c r="P39" s="3311" t="str">
        <f>A39</f>
        <v>估价对象XX用房的比较价值（楼面单价，元/平方米）</v>
      </c>
      <c r="Q39" s="3312"/>
      <c r="R39" s="3368" t="e">
        <f>IF(F1="售价",ROUND(IF(D38="简单平均",AVERAGE(R38:W38),R38*F38+T38*H38+V38*J38),0),ROUND(IF(D38="简单平均",AVERAGE(R38:V38),R38*F38+T38*H38+V38*J38),1))</f>
        <v>#DIV/0!</v>
      </c>
      <c r="S39" s="3368"/>
      <c r="T39" s="3368"/>
      <c r="U39" s="3368"/>
      <c r="V39" s="3368"/>
      <c r="W39" s="3368"/>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3" customFormat="1" ht="15">
      <c r="A49" s="465"/>
      <c r="B49" s="466"/>
      <c r="C49" s="1338">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3"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3"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90"/>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3"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2" t="s">
        <v>2467</v>
      </c>
      <c r="D4" s="3293"/>
      <c r="E4" s="3294" t="s">
        <v>2468</v>
      </c>
      <c r="F4" s="3295"/>
      <c r="G4" s="3292" t="s">
        <v>2469</v>
      </c>
      <c r="H4" s="3293"/>
      <c r="I4" s="3292" t="s">
        <v>2470</v>
      </c>
      <c r="J4" s="3293"/>
      <c r="K4" s="566" t="s">
        <v>2471</v>
      </c>
      <c r="L4" s="2942"/>
      <c r="M4" s="2943"/>
      <c r="N4" s="2943"/>
      <c r="O4" s="2943"/>
      <c r="P4" s="3296" t="s">
        <v>2472</v>
      </c>
      <c r="Q4" s="3297"/>
      <c r="R4" s="3279" t="s">
        <v>2468</v>
      </c>
      <c r="S4" s="3280"/>
      <c r="T4" s="3279" t="s">
        <v>2469</v>
      </c>
      <c r="U4" s="3280"/>
      <c r="V4" s="3304" t="s">
        <v>2470</v>
      </c>
      <c r="W4" s="3304"/>
      <c r="X4" s="1537"/>
      <c r="Y4" s="3279" t="s">
        <v>2472</v>
      </c>
      <c r="Z4" s="3280"/>
      <c r="AA4" s="3274" t="s">
        <v>2468</v>
      </c>
      <c r="AB4" s="3275" t="s">
        <v>2469</v>
      </c>
      <c r="AC4" s="3274" t="s">
        <v>2470</v>
      </c>
    </row>
    <row r="5" spans="1:29" ht="15">
      <c r="A5" s="363"/>
      <c r="B5" s="364"/>
      <c r="C5" s="3285" t="s">
        <v>2363</v>
      </c>
      <c r="D5" s="3286"/>
      <c r="E5" s="3283" t="s">
        <v>2364</v>
      </c>
      <c r="F5" s="3284"/>
      <c r="G5" s="3285" t="s">
        <v>2365</v>
      </c>
      <c r="H5" s="3286"/>
      <c r="I5" s="3285" t="s">
        <v>2366</v>
      </c>
      <c r="J5" s="3286"/>
      <c r="K5" s="566"/>
      <c r="L5" s="2942"/>
      <c r="M5" s="2943"/>
      <c r="N5" s="2943"/>
      <c r="O5" s="2943"/>
      <c r="P5" s="3298"/>
      <c r="Q5" s="3299"/>
      <c r="R5" s="3281"/>
      <c r="S5" s="3282"/>
      <c r="T5" s="3281"/>
      <c r="U5" s="3282"/>
      <c r="V5" s="3304"/>
      <c r="W5" s="3304"/>
      <c r="X5" s="1537"/>
      <c r="Y5" s="3281"/>
      <c r="Z5" s="3282"/>
      <c r="AA5" s="3275"/>
      <c r="AB5" s="3275"/>
      <c r="AC5" s="3275"/>
    </row>
    <row r="6" spans="1:29" ht="15.75" thickBot="1">
      <c r="A6" s="365"/>
      <c r="B6" s="366"/>
      <c r="C6" s="3287" t="s">
        <v>2367</v>
      </c>
      <c r="D6" s="3288"/>
      <c r="E6" s="3289" t="s">
        <v>2367</v>
      </c>
      <c r="F6" s="3290"/>
      <c r="G6" s="3287" t="s">
        <v>2367</v>
      </c>
      <c r="H6" s="3288"/>
      <c r="I6" s="3287" t="s">
        <v>2367</v>
      </c>
      <c r="J6" s="3288"/>
      <c r="K6" s="566" t="s">
        <v>2368</v>
      </c>
      <c r="L6" s="2942"/>
      <c r="M6" s="2943"/>
      <c r="N6" s="2943"/>
      <c r="O6" s="2943"/>
      <c r="P6" s="3300"/>
      <c r="Q6" s="3301"/>
      <c r="R6" s="3281"/>
      <c r="S6" s="3282"/>
      <c r="T6" s="3302"/>
      <c r="U6" s="3303"/>
      <c r="V6" s="3304"/>
      <c r="W6" s="3304"/>
      <c r="X6" s="1537"/>
      <c r="Y6" s="3302"/>
      <c r="Z6" s="3303"/>
      <c r="AA6" s="3276"/>
      <c r="AB6" s="3276"/>
      <c r="AC6" s="3276"/>
    </row>
    <row r="7" spans="1:29" s="113" customFormat="1" ht="15.75" thickBot="1">
      <c r="A7" s="367" t="s">
        <v>2369</v>
      </c>
      <c r="B7" s="368"/>
      <c r="C7" s="369">
        <f>'数据-取费表'!B2</f>
        <v>44421</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77" t="s">
        <v>2370</v>
      </c>
      <c r="Q7" s="3305"/>
      <c r="R7" s="709" t="s">
        <v>17</v>
      </c>
      <c r="S7" s="710">
        <f t="shared" ref="S7:S14" si="0">F7</f>
        <v>0</v>
      </c>
      <c r="T7" s="709" t="s">
        <v>17</v>
      </c>
      <c r="U7" s="710">
        <f t="shared" ref="U7:U14" si="1">H7</f>
        <v>0</v>
      </c>
      <c r="V7" s="709" t="s">
        <v>17</v>
      </c>
      <c r="W7" s="710">
        <f t="shared" ref="W7:W14" si="2">J7</f>
        <v>0</v>
      </c>
      <c r="X7" s="711"/>
      <c r="Y7" s="3277" t="s">
        <v>2370</v>
      </c>
      <c r="Z7" s="3278"/>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77" t="s">
        <v>2373</v>
      </c>
      <c r="Q8" s="3278"/>
      <c r="R8" s="709" t="s">
        <v>17</v>
      </c>
      <c r="S8" s="710">
        <f t="shared" si="0"/>
        <v>0</v>
      </c>
      <c r="T8" s="709" t="s">
        <v>17</v>
      </c>
      <c r="U8" s="710">
        <f t="shared" si="1"/>
        <v>0</v>
      </c>
      <c r="V8" s="709" t="s">
        <v>17</v>
      </c>
      <c r="W8" s="710">
        <f t="shared" si="2"/>
        <v>0</v>
      </c>
      <c r="X8" s="711"/>
      <c r="Y8" s="3277" t="s">
        <v>2373</v>
      </c>
      <c r="Z8" s="3278"/>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91" t="s">
        <v>2376</v>
      </c>
      <c r="Q9" s="1525" t="str">
        <f t="shared" ref="Q9:Q14" si="6">B9</f>
        <v>用途</v>
      </c>
      <c r="R9" s="709" t="s">
        <v>17</v>
      </c>
      <c r="S9" s="710">
        <f t="shared" si="0"/>
        <v>100</v>
      </c>
      <c r="T9" s="709" t="s">
        <v>17</v>
      </c>
      <c r="U9" s="710">
        <f t="shared" si="1"/>
        <v>100</v>
      </c>
      <c r="V9" s="709" t="s">
        <v>17</v>
      </c>
      <c r="W9" s="710">
        <f t="shared" si="2"/>
        <v>100</v>
      </c>
      <c r="X9" s="711"/>
      <c r="Y9" s="3247"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91"/>
      <c r="Q10" s="1525" t="str">
        <f t="shared" si="6"/>
        <v>土地使用年限（年）</v>
      </c>
      <c r="R10" s="709" t="s">
        <v>17</v>
      </c>
      <c r="S10" s="710">
        <f t="shared" si="0"/>
        <v>100</v>
      </c>
      <c r="T10" s="709" t="s">
        <v>17</v>
      </c>
      <c r="U10" s="710">
        <f t="shared" si="1"/>
        <v>100</v>
      </c>
      <c r="V10" s="709" t="s">
        <v>17</v>
      </c>
      <c r="W10" s="710">
        <f t="shared" si="2"/>
        <v>100</v>
      </c>
      <c r="X10" s="711"/>
      <c r="Y10" s="3247"/>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91"/>
      <c r="Q11" s="1525">
        <f t="shared" si="6"/>
        <v>111</v>
      </c>
      <c r="R11" s="709" t="s">
        <v>17</v>
      </c>
      <c r="S11" s="710">
        <f t="shared" si="0"/>
        <v>100</v>
      </c>
      <c r="T11" s="709" t="s">
        <v>17</v>
      </c>
      <c r="U11" s="710">
        <f t="shared" si="1"/>
        <v>100</v>
      </c>
      <c r="V11" s="709" t="s">
        <v>17</v>
      </c>
      <c r="W11" s="710">
        <f t="shared" si="2"/>
        <v>100</v>
      </c>
      <c r="X11" s="711"/>
      <c r="Y11" s="3247"/>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91"/>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91"/>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85.5">
      <c r="A14" s="398" t="s">
        <v>2380</v>
      </c>
      <c r="B14" s="65"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06" t="s">
        <v>2381</v>
      </c>
      <c r="Q14" s="1534" t="str">
        <f t="shared" si="6"/>
        <v>交通便捷度</v>
      </c>
      <c r="R14" s="713" t="s">
        <v>17</v>
      </c>
      <c r="S14" s="714">
        <f t="shared" si="0"/>
        <v>100</v>
      </c>
      <c r="T14" s="713" t="s">
        <v>17</v>
      </c>
      <c r="U14" s="714">
        <f t="shared" si="1"/>
        <v>100</v>
      </c>
      <c r="V14" s="713" t="s">
        <v>17</v>
      </c>
      <c r="W14" s="714">
        <f t="shared" si="2"/>
        <v>100</v>
      </c>
      <c r="X14" s="1537"/>
      <c r="Y14" s="3306"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307"/>
      <c r="Q15" s="1534"/>
      <c r="R15" s="713"/>
      <c r="S15" s="714"/>
      <c r="T15" s="713"/>
      <c r="U15" s="714"/>
      <c r="V15" s="713"/>
      <c r="W15" s="714"/>
      <c r="X15" s="1537"/>
      <c r="Y15" s="3307"/>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07"/>
      <c r="Q16" s="1534" t="str">
        <f>B16</f>
        <v>公共配套设施</v>
      </c>
      <c r="R16" s="713" t="s">
        <v>17</v>
      </c>
      <c r="S16" s="714">
        <f>F16</f>
        <v>100</v>
      </c>
      <c r="T16" s="713" t="s">
        <v>17</v>
      </c>
      <c r="U16" s="714">
        <f>H16</f>
        <v>100</v>
      </c>
      <c r="V16" s="713" t="s">
        <v>17</v>
      </c>
      <c r="W16" s="714">
        <f>J16</f>
        <v>100</v>
      </c>
      <c r="X16" s="1537"/>
      <c r="Y16" s="3307"/>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307"/>
      <c r="Q17" s="1534"/>
      <c r="R17" s="713"/>
      <c r="S17" s="714"/>
      <c r="T17" s="713"/>
      <c r="U17" s="714"/>
      <c r="V17" s="713"/>
      <c r="W17" s="714"/>
      <c r="X17" s="1537"/>
      <c r="Y17" s="3307"/>
      <c r="Z17" s="1538"/>
      <c r="AA17" s="1535">
        <v>1</v>
      </c>
      <c r="AB17" s="1535">
        <v>1</v>
      </c>
      <c r="AC17" s="1535">
        <v>1</v>
      </c>
    </row>
    <row r="18" spans="1:29" ht="28.5">
      <c r="A18" s="386"/>
      <c r="B18" s="1292"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07"/>
      <c r="Q18" s="1534" t="str">
        <f>B18</f>
        <v>基础设施水平</v>
      </c>
      <c r="R18" s="713" t="s">
        <v>17</v>
      </c>
      <c r="S18" s="714">
        <f>F18</f>
        <v>100</v>
      </c>
      <c r="T18" s="713" t="s">
        <v>17</v>
      </c>
      <c r="U18" s="714">
        <f>H18</f>
        <v>100</v>
      </c>
      <c r="V18" s="713" t="s">
        <v>17</v>
      </c>
      <c r="W18" s="714">
        <f>J18</f>
        <v>100</v>
      </c>
      <c r="X18" s="1537"/>
      <c r="Y18" s="3307"/>
      <c r="Z18" s="1538" t="str">
        <f>Q18</f>
        <v>基础设施水平</v>
      </c>
      <c r="AA18" s="1535">
        <f t="shared" ref="AA18" si="8">D18/F18</f>
        <v>1</v>
      </c>
      <c r="AB18" s="1535">
        <f t="shared" ref="AB18" si="9">D18/H18</f>
        <v>1</v>
      </c>
      <c r="AC18" s="1535">
        <f t="shared" ref="AC18" si="10">D18/J18</f>
        <v>1</v>
      </c>
    </row>
    <row r="19" spans="1:29" ht="15">
      <c r="A19" s="386"/>
      <c r="B19" s="1292"/>
      <c r="C19" s="2085"/>
      <c r="D19" s="408"/>
      <c r="E19" s="2085"/>
      <c r="F19" s="411"/>
      <c r="G19" s="2085"/>
      <c r="H19" s="406"/>
      <c r="I19" s="405"/>
      <c r="J19" s="406"/>
      <c r="K19" s="1291"/>
      <c r="L19" s="2949"/>
      <c r="M19" s="2943"/>
      <c r="N19" s="2943"/>
      <c r="O19" s="3001"/>
      <c r="P19" s="3307"/>
      <c r="Q19" s="1534"/>
      <c r="R19" s="713"/>
      <c r="S19" s="714"/>
      <c r="T19" s="713"/>
      <c r="U19" s="714"/>
      <c r="V19" s="713"/>
      <c r="W19" s="714"/>
      <c r="X19" s="1537"/>
      <c r="Y19" s="3307"/>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07"/>
      <c r="Q20" s="1534" t="str">
        <f>B20</f>
        <v>自然及人文环境</v>
      </c>
      <c r="R20" s="713" t="s">
        <v>17</v>
      </c>
      <c r="S20" s="714">
        <f>F20</f>
        <v>100</v>
      </c>
      <c r="T20" s="713" t="s">
        <v>17</v>
      </c>
      <c r="U20" s="714">
        <f>H20</f>
        <v>100</v>
      </c>
      <c r="V20" s="713" t="s">
        <v>17</v>
      </c>
      <c r="W20" s="714">
        <f>J20</f>
        <v>100</v>
      </c>
      <c r="X20" s="1537"/>
      <c r="Y20" s="3307"/>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307"/>
      <c r="Q21" s="1534"/>
      <c r="R21" s="713"/>
      <c r="S21" s="714"/>
      <c r="T21" s="713"/>
      <c r="U21" s="714"/>
      <c r="V21" s="713"/>
      <c r="W21" s="714"/>
      <c r="X21" s="1537"/>
      <c r="Y21" s="3307"/>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07"/>
      <c r="Q22" s="1534" t="str">
        <f>B22</f>
        <v>楼层</v>
      </c>
      <c r="R22" s="713" t="s">
        <v>17</v>
      </c>
      <c r="S22" s="714">
        <f>F22</f>
        <v>100</v>
      </c>
      <c r="T22" s="713" t="s">
        <v>17</v>
      </c>
      <c r="U22" s="714">
        <f>H22</f>
        <v>100</v>
      </c>
      <c r="V22" s="713" t="s">
        <v>17</v>
      </c>
      <c r="W22" s="714">
        <f>J22</f>
        <v>100</v>
      </c>
      <c r="X22" s="1537"/>
      <c r="Y22" s="3307"/>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07"/>
      <c r="Q23" s="1534">
        <f>B23</f>
        <v>111</v>
      </c>
      <c r="R23" s="713" t="s">
        <v>17</v>
      </c>
      <c r="S23" s="714">
        <f>F23</f>
        <v>100</v>
      </c>
      <c r="T23" s="713" t="s">
        <v>17</v>
      </c>
      <c r="U23" s="714">
        <f>H23</f>
        <v>100</v>
      </c>
      <c r="V23" s="713" t="s">
        <v>17</v>
      </c>
      <c r="W23" s="714">
        <f>J23</f>
        <v>100</v>
      </c>
      <c r="X23" s="1537"/>
      <c r="Y23" s="3307"/>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07"/>
      <c r="Q24" s="1534">
        <f t="shared" ref="Q24:Q34" si="11">B24</f>
        <v>111</v>
      </c>
      <c r="R24" s="713" t="s">
        <v>17</v>
      </c>
      <c r="S24" s="714">
        <f>F24</f>
        <v>100</v>
      </c>
      <c r="T24" s="713" t="s">
        <v>17</v>
      </c>
      <c r="U24" s="714">
        <f>H24</f>
        <v>100</v>
      </c>
      <c r="V24" s="713" t="s">
        <v>17</v>
      </c>
      <c r="W24" s="714">
        <f>J24</f>
        <v>100</v>
      </c>
      <c r="X24" s="1537"/>
      <c r="Y24" s="3307"/>
      <c r="Z24" s="1538">
        <f>Q24</f>
        <v>111</v>
      </c>
      <c r="AA24" s="1535">
        <f t="shared" si="3"/>
        <v>1</v>
      </c>
      <c r="AB24" s="1535">
        <f t="shared" si="4"/>
        <v>1</v>
      </c>
      <c r="AC24" s="1535">
        <f t="shared" si="5"/>
        <v>1</v>
      </c>
    </row>
    <row r="25" spans="1:29" s="113"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307"/>
      <c r="Q25" s="1525">
        <f t="shared" si="11"/>
        <v>111</v>
      </c>
      <c r="R25" s="709" t="s">
        <v>17</v>
      </c>
      <c r="S25" s="710">
        <f>F25</f>
        <v>100</v>
      </c>
      <c r="T25" s="709" t="s">
        <v>17</v>
      </c>
      <c r="U25" s="710">
        <f>H25</f>
        <v>100</v>
      </c>
      <c r="V25" s="709" t="s">
        <v>17</v>
      </c>
      <c r="W25" s="710">
        <f>J25</f>
        <v>100</v>
      </c>
      <c r="X25" s="711"/>
      <c r="Y25" s="3307"/>
      <c r="Z25" s="55">
        <f>Q25</f>
        <v>111</v>
      </c>
      <c r="AA25" s="1535">
        <f>D25/F25</f>
        <v>1</v>
      </c>
      <c r="AB25" s="1535">
        <f>D25/H25</f>
        <v>1</v>
      </c>
      <c r="AC25" s="1535">
        <f>D25/J25</f>
        <v>1</v>
      </c>
    </row>
    <row r="26" spans="1:29" ht="28.5">
      <c r="A26" s="424" t="s">
        <v>2384</v>
      </c>
      <c r="B26" s="67"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308"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09"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09"/>
      <c r="Q27" s="715" t="str">
        <f t="shared" si="11"/>
        <v>成新率</v>
      </c>
      <c r="R27" s="716" t="s">
        <v>17</v>
      </c>
      <c r="S27" s="717" t="e">
        <f t="shared" si="12"/>
        <v>#N/A</v>
      </c>
      <c r="T27" s="716" t="s">
        <v>17</v>
      </c>
      <c r="U27" s="717" t="e">
        <f t="shared" si="13"/>
        <v>#N/A</v>
      </c>
      <c r="V27" s="716" t="s">
        <v>17</v>
      </c>
      <c r="W27" s="717" t="e">
        <f t="shared" si="14"/>
        <v>#N/A</v>
      </c>
      <c r="X27" s="718"/>
      <c r="Y27" s="3309"/>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09"/>
      <c r="Q28" s="1534" t="str">
        <f t="shared" si="11"/>
        <v>物业等级</v>
      </c>
      <c r="R28" s="713" t="s">
        <v>17</v>
      </c>
      <c r="S28" s="714">
        <f t="shared" si="12"/>
        <v>100</v>
      </c>
      <c r="T28" s="713" t="s">
        <v>17</v>
      </c>
      <c r="U28" s="714">
        <f t="shared" si="13"/>
        <v>100</v>
      </c>
      <c r="V28" s="713" t="s">
        <v>17</v>
      </c>
      <c r="W28" s="714">
        <f t="shared" si="14"/>
        <v>100</v>
      </c>
      <c r="X28" s="1537"/>
      <c r="Y28" s="3309"/>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09"/>
      <c r="Q29" s="1534" t="str">
        <f t="shared" si="11"/>
        <v>有无电梯</v>
      </c>
      <c r="R29" s="713" t="s">
        <v>17</v>
      </c>
      <c r="S29" s="714">
        <f t="shared" si="12"/>
        <v>100</v>
      </c>
      <c r="T29" s="713" t="s">
        <v>17</v>
      </c>
      <c r="U29" s="714">
        <f t="shared" si="13"/>
        <v>100</v>
      </c>
      <c r="V29" s="713" t="s">
        <v>17</v>
      </c>
      <c r="W29" s="714">
        <f t="shared" si="14"/>
        <v>100</v>
      </c>
      <c r="X29" s="1537"/>
      <c r="Y29" s="3309"/>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09"/>
      <c r="Q30" s="1534" t="str">
        <f t="shared" si="11"/>
        <v>建筑面积</v>
      </c>
      <c r="R30" s="713" t="s">
        <v>17</v>
      </c>
      <c r="S30" s="714" t="e">
        <f t="shared" si="12"/>
        <v>#N/A</v>
      </c>
      <c r="T30" s="713" t="s">
        <v>17</v>
      </c>
      <c r="U30" s="714" t="e">
        <f t="shared" si="13"/>
        <v>#N/A</v>
      </c>
      <c r="V30" s="713" t="s">
        <v>17</v>
      </c>
      <c r="W30" s="714" t="e">
        <f t="shared" si="14"/>
        <v>#N/A</v>
      </c>
      <c r="X30" s="1537"/>
      <c r="Y30" s="3309"/>
      <c r="Z30" s="1538" t="str">
        <f t="shared" si="15"/>
        <v>建筑面积</v>
      </c>
      <c r="AA30" s="1535" t="e">
        <f t="shared" si="3"/>
        <v>#N/A</v>
      </c>
      <c r="AB30" s="1535" t="e">
        <f t="shared" si="4"/>
        <v>#N/A</v>
      </c>
      <c r="AC30" s="1535"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09"/>
      <c r="Q31" s="1525" t="str">
        <f t="shared" si="11"/>
        <v>是否封闭</v>
      </c>
      <c r="R31" s="709" t="s">
        <v>17</v>
      </c>
      <c r="S31" s="710">
        <f t="shared" si="12"/>
        <v>100</v>
      </c>
      <c r="T31" s="709" t="s">
        <v>17</v>
      </c>
      <c r="U31" s="710">
        <f t="shared" si="13"/>
        <v>100</v>
      </c>
      <c r="V31" s="709" t="s">
        <v>17</v>
      </c>
      <c r="W31" s="710">
        <f t="shared" si="14"/>
        <v>100</v>
      </c>
      <c r="X31" s="711"/>
      <c r="Y31" s="3309"/>
      <c r="Z31" s="55"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09" t="s">
        <v>2386</v>
      </c>
      <c r="Q32" s="1534">
        <f t="shared" si="11"/>
        <v>111</v>
      </c>
      <c r="R32" s="713" t="s">
        <v>17</v>
      </c>
      <c r="S32" s="714">
        <f t="shared" si="12"/>
        <v>100</v>
      </c>
      <c r="T32" s="713" t="s">
        <v>17</v>
      </c>
      <c r="U32" s="714">
        <f t="shared" si="13"/>
        <v>100</v>
      </c>
      <c r="V32" s="713" t="s">
        <v>17</v>
      </c>
      <c r="W32" s="714">
        <f t="shared" si="14"/>
        <v>100</v>
      </c>
      <c r="X32" s="1537"/>
      <c r="Y32" s="3309"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09"/>
      <c r="Q33" s="1534">
        <f t="shared" si="11"/>
        <v>111</v>
      </c>
      <c r="R33" s="713" t="s">
        <v>17</v>
      </c>
      <c r="S33" s="714">
        <f t="shared" si="12"/>
        <v>100</v>
      </c>
      <c r="T33" s="713" t="s">
        <v>17</v>
      </c>
      <c r="U33" s="714">
        <f t="shared" si="13"/>
        <v>100</v>
      </c>
      <c r="V33" s="713" t="s">
        <v>17</v>
      </c>
      <c r="W33" s="714">
        <f t="shared" si="14"/>
        <v>100</v>
      </c>
      <c r="X33" s="1537"/>
      <c r="Y33" s="3309"/>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09"/>
      <c r="Q34" s="1534">
        <f t="shared" si="11"/>
        <v>111</v>
      </c>
      <c r="R34" s="713" t="s">
        <v>17</v>
      </c>
      <c r="S34" s="714">
        <f t="shared" si="12"/>
        <v>100</v>
      </c>
      <c r="T34" s="713" t="s">
        <v>17</v>
      </c>
      <c r="U34" s="714">
        <f t="shared" si="13"/>
        <v>100</v>
      </c>
      <c r="V34" s="713" t="s">
        <v>17</v>
      </c>
      <c r="W34" s="714">
        <f t="shared" si="14"/>
        <v>100</v>
      </c>
      <c r="X34" s="1537"/>
      <c r="Y34" s="3309"/>
      <c r="Z34" s="1538">
        <f t="shared" si="15"/>
        <v>111</v>
      </c>
      <c r="AA34" s="1535">
        <f t="shared" si="3"/>
        <v>1</v>
      </c>
      <c r="AB34" s="1535">
        <f t="shared" si="4"/>
        <v>1</v>
      </c>
      <c r="AC34" s="1535">
        <f t="shared" si="5"/>
        <v>1</v>
      </c>
    </row>
    <row r="35" spans="1:30" ht="15">
      <c r="A35" s="437" t="s">
        <v>2398</v>
      </c>
      <c r="B35" s="438"/>
      <c r="C35" s="1315" t="s">
        <v>1</v>
      </c>
      <c r="D35" s="1316"/>
      <c r="E35" s="1317"/>
      <c r="F35" s="1318"/>
      <c r="G35" s="1319"/>
      <c r="H35" s="1320"/>
      <c r="I35" s="1317"/>
      <c r="J35" s="1320"/>
      <c r="K35" s="722"/>
      <c r="L35" s="2951"/>
      <c r="M35" s="2952"/>
      <c r="N35" s="2943"/>
      <c r="O35" s="2952"/>
      <c r="P35" s="3291" t="str">
        <f>A35</f>
        <v>成交单价（元/平方米）</v>
      </c>
      <c r="Q35" s="3291"/>
      <c r="R35" s="3346">
        <f>E35</f>
        <v>0</v>
      </c>
      <c r="S35" s="3346"/>
      <c r="T35" s="3346">
        <f>G35</f>
        <v>0</v>
      </c>
      <c r="U35" s="3346"/>
      <c r="V35" s="3346">
        <f>I35</f>
        <v>0</v>
      </c>
      <c r="W35" s="3346"/>
      <c r="X35" s="698"/>
      <c r="Y35" s="720"/>
      <c r="Z35" s="698"/>
      <c r="AA35" s="698"/>
      <c r="AB35" s="698"/>
      <c r="AC35" s="698"/>
    </row>
    <row r="36" spans="1:30" ht="15.75" thickBot="1">
      <c r="A36" s="444" t="s">
        <v>2490</v>
      </c>
      <c r="B36" s="445"/>
      <c r="C36" s="1321" t="e">
        <f>R37</f>
        <v>#DIV/0!</v>
      </c>
      <c r="D36" s="2536" t="s">
        <v>2881</v>
      </c>
      <c r="E36" s="1322" t="e">
        <f>R36</f>
        <v>#DIV/0!</v>
      </c>
      <c r="F36" s="2537"/>
      <c r="G36" s="1321" t="e">
        <f>T36</f>
        <v>#DIV/0!</v>
      </c>
      <c r="H36" s="2537"/>
      <c r="I36" s="1322" t="e">
        <f>V36</f>
        <v>#DIV/0!</v>
      </c>
      <c r="J36" s="2537"/>
      <c r="K36" s="2539">
        <f>F36+H36+J36</f>
        <v>0</v>
      </c>
      <c r="L36" s="2951"/>
      <c r="M36" s="2952"/>
      <c r="N36" s="2943"/>
      <c r="O36" s="2952"/>
      <c r="P36" s="3291" t="str">
        <f>A36</f>
        <v>比较价值（元/平方米）</v>
      </c>
      <c r="Q36" s="3291"/>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51"/>
      <c r="M37" s="2952"/>
      <c r="N37" s="2952"/>
      <c r="O37" s="2952"/>
      <c r="P37" s="3311" t="str">
        <f>A37</f>
        <v>估价对象XX用房的比较价值（楼面单价，元/平方米）</v>
      </c>
      <c r="Q37" s="3312"/>
      <c r="R37" s="3368" t="e">
        <f>IF(F1="售价",ROUND(IF(D36="简单平均",AVERAGE(R36:W36),R36*F36+T36*H36+V36*J36),0),ROUND(IF(D36="简单平均",AVERAGE(R36:V36),R36*F36+T36*H36+V36*J36),1))</f>
        <v>#DIV/0!</v>
      </c>
      <c r="S37" s="3368"/>
      <c r="T37" s="3368"/>
      <c r="U37" s="3368"/>
      <c r="V37" s="3368"/>
      <c r="W37" s="3368"/>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3"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3"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3"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92" t="s">
        <v>2467</v>
      </c>
      <c r="D4" s="3293"/>
      <c r="E4" s="3294" t="s">
        <v>2468</v>
      </c>
      <c r="F4" s="3295"/>
      <c r="G4" s="3292" t="s">
        <v>2469</v>
      </c>
      <c r="H4" s="3293"/>
      <c r="I4" s="3292" t="s">
        <v>2470</v>
      </c>
      <c r="J4" s="3293"/>
      <c r="K4" s="566" t="s">
        <v>2471</v>
      </c>
      <c r="L4" s="2942"/>
      <c r="M4" s="2943"/>
      <c r="N4" s="2943"/>
      <c r="O4" s="2943"/>
      <c r="P4" s="3296" t="s">
        <v>2472</v>
      </c>
      <c r="Q4" s="3297"/>
      <c r="R4" s="3279" t="s">
        <v>2468</v>
      </c>
      <c r="S4" s="3280"/>
      <c r="T4" s="3279" t="s">
        <v>2469</v>
      </c>
      <c r="U4" s="3280"/>
      <c r="V4" s="3304" t="s">
        <v>2470</v>
      </c>
      <c r="W4" s="3304"/>
      <c r="X4" s="1537"/>
      <c r="Y4" s="3279" t="s">
        <v>2472</v>
      </c>
      <c r="Z4" s="3280"/>
      <c r="AA4" s="3274" t="s">
        <v>2468</v>
      </c>
      <c r="AB4" s="3275" t="s">
        <v>2469</v>
      </c>
      <c r="AC4" s="3274" t="s">
        <v>2470</v>
      </c>
    </row>
    <row r="5" spans="1:29" ht="15">
      <c r="A5" s="363"/>
      <c r="B5" s="364"/>
      <c r="C5" s="3285" t="s">
        <v>2363</v>
      </c>
      <c r="D5" s="3286"/>
      <c r="E5" s="3283" t="s">
        <v>2364</v>
      </c>
      <c r="F5" s="3284"/>
      <c r="G5" s="3285" t="s">
        <v>2365</v>
      </c>
      <c r="H5" s="3286"/>
      <c r="I5" s="3285" t="s">
        <v>2366</v>
      </c>
      <c r="J5" s="3286"/>
      <c r="K5" s="566"/>
      <c r="L5" s="2942"/>
      <c r="M5" s="2943"/>
      <c r="N5" s="2943"/>
      <c r="O5" s="2943"/>
      <c r="P5" s="3298"/>
      <c r="Q5" s="3299"/>
      <c r="R5" s="3281"/>
      <c r="S5" s="3282"/>
      <c r="T5" s="3281"/>
      <c r="U5" s="3282"/>
      <c r="V5" s="3304"/>
      <c r="W5" s="3304"/>
      <c r="X5" s="1537"/>
      <c r="Y5" s="3281"/>
      <c r="Z5" s="3282"/>
      <c r="AA5" s="3275"/>
      <c r="AB5" s="3275"/>
      <c r="AC5" s="3275"/>
    </row>
    <row r="6" spans="1:29" ht="15.75" thickBot="1">
      <c r="A6" s="365"/>
      <c r="B6" s="366"/>
      <c r="C6" s="3369" t="s">
        <v>2618</v>
      </c>
      <c r="D6" s="3370"/>
      <c r="E6" s="3371" t="s">
        <v>2618</v>
      </c>
      <c r="F6" s="3372"/>
      <c r="G6" s="3369" t="s">
        <v>2618</v>
      </c>
      <c r="H6" s="3370"/>
      <c r="I6" s="3369" t="s">
        <v>2618</v>
      </c>
      <c r="J6" s="3370"/>
      <c r="K6" s="566" t="s">
        <v>2368</v>
      </c>
      <c r="L6" s="2942"/>
      <c r="M6" s="2943"/>
      <c r="N6" s="2943"/>
      <c r="O6" s="2943"/>
      <c r="P6" s="3300"/>
      <c r="Q6" s="3301"/>
      <c r="R6" s="3281"/>
      <c r="S6" s="3282"/>
      <c r="T6" s="3302"/>
      <c r="U6" s="3303"/>
      <c r="V6" s="3304"/>
      <c r="W6" s="3304"/>
      <c r="X6" s="1537"/>
      <c r="Y6" s="3302"/>
      <c r="Z6" s="3303"/>
      <c r="AA6" s="3276"/>
      <c r="AB6" s="3276"/>
      <c r="AC6" s="3276"/>
    </row>
    <row r="7" spans="1:29" s="113" customFormat="1" ht="15.75" thickBot="1">
      <c r="A7" s="367" t="s">
        <v>2369</v>
      </c>
      <c r="B7" s="368"/>
      <c r="C7" s="369">
        <f>'数据-取费表'!B2</f>
        <v>44421</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77" t="s">
        <v>2370</v>
      </c>
      <c r="Q7" s="3305"/>
      <c r="R7" s="709" t="s">
        <v>17</v>
      </c>
      <c r="S7" s="710">
        <f t="shared" ref="S7:S15" si="0">F7</f>
        <v>0</v>
      </c>
      <c r="T7" s="709" t="s">
        <v>17</v>
      </c>
      <c r="U7" s="710">
        <f t="shared" ref="U7:U15" si="1">H7</f>
        <v>0</v>
      </c>
      <c r="V7" s="709" t="s">
        <v>17</v>
      </c>
      <c r="W7" s="710">
        <f t="shared" ref="W7:W15" si="2">J7</f>
        <v>0</v>
      </c>
      <c r="X7" s="711"/>
      <c r="Y7" s="3277" t="s">
        <v>2370</v>
      </c>
      <c r="Z7" s="3278"/>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77" t="s">
        <v>2373</v>
      </c>
      <c r="Q8" s="3278"/>
      <c r="R8" s="709" t="s">
        <v>17</v>
      </c>
      <c r="S8" s="710">
        <f t="shared" si="0"/>
        <v>0</v>
      </c>
      <c r="T8" s="709" t="s">
        <v>17</v>
      </c>
      <c r="U8" s="710">
        <f t="shared" si="1"/>
        <v>0</v>
      </c>
      <c r="V8" s="709" t="s">
        <v>17</v>
      </c>
      <c r="W8" s="710">
        <f t="shared" si="2"/>
        <v>0</v>
      </c>
      <c r="X8" s="711"/>
      <c r="Y8" s="3277" t="s">
        <v>2373</v>
      </c>
      <c r="Z8" s="3278"/>
      <c r="AA8" s="712" t="e">
        <f t="shared" ref="AA8:AA40" si="3">D8/F8</f>
        <v>#DIV/0!</v>
      </c>
      <c r="AB8" s="712" t="e">
        <f t="shared" ref="AB8:AB40" si="4">D8/H8</f>
        <v>#DIV/0!</v>
      </c>
      <c r="AC8" s="712" t="e">
        <f t="shared" ref="AC8:AC40" si="5">D8/J8</f>
        <v>#DIV/0!</v>
      </c>
    </row>
    <row r="9" spans="1:29" s="113" customFormat="1">
      <c r="A9" s="374" t="s">
        <v>2374</v>
      </c>
      <c r="B9" s="67"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91" t="s">
        <v>2376</v>
      </c>
      <c r="Q9" s="1525" t="str">
        <f t="shared" ref="Q9:Q15" si="6">B9</f>
        <v>用途</v>
      </c>
      <c r="R9" s="709" t="s">
        <v>17</v>
      </c>
      <c r="S9" s="710">
        <f t="shared" si="0"/>
        <v>100</v>
      </c>
      <c r="T9" s="709" t="s">
        <v>17</v>
      </c>
      <c r="U9" s="710">
        <f t="shared" si="1"/>
        <v>100</v>
      </c>
      <c r="V9" s="709" t="s">
        <v>17</v>
      </c>
      <c r="W9" s="710">
        <f t="shared" si="2"/>
        <v>100</v>
      </c>
      <c r="X9" s="711"/>
      <c r="Y9" s="3247"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127</v>
      </c>
      <c r="G10" s="390"/>
      <c r="H10" s="131">
        <f>ROUND(100/'数据-取费表'!G16,0)</f>
        <v>127</v>
      </c>
      <c r="I10" s="390"/>
      <c r="J10" s="131">
        <f>ROUND(100/'数据-取费表'!G16,0)</f>
        <v>127</v>
      </c>
      <c r="K10" s="627"/>
      <c r="L10" s="2946"/>
      <c r="M10" s="2947"/>
      <c r="N10" s="2947"/>
      <c r="O10" s="3000"/>
      <c r="P10" s="3291"/>
      <c r="Q10" s="1525" t="str">
        <f t="shared" si="6"/>
        <v>土地使用年限（年）</v>
      </c>
      <c r="R10" s="709" t="s">
        <v>17</v>
      </c>
      <c r="S10" s="710">
        <f t="shared" si="0"/>
        <v>127</v>
      </c>
      <c r="T10" s="709" t="s">
        <v>17</v>
      </c>
      <c r="U10" s="710">
        <f t="shared" si="1"/>
        <v>127</v>
      </c>
      <c r="V10" s="709" t="s">
        <v>17</v>
      </c>
      <c r="W10" s="710">
        <f t="shared" si="2"/>
        <v>127</v>
      </c>
      <c r="X10" s="711"/>
      <c r="Y10" s="3247"/>
      <c r="Z10" s="55" t="str">
        <f t="shared" si="7"/>
        <v>土地使用年限（年）</v>
      </c>
      <c r="AA10" s="712">
        <f t="shared" si="3"/>
        <v>0.78740157480314965</v>
      </c>
      <c r="AB10" s="712">
        <f t="shared" si="4"/>
        <v>0.78740157480314965</v>
      </c>
      <c r="AC10" s="712">
        <f t="shared" si="5"/>
        <v>0.78740157480314965</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91"/>
      <c r="Q11" s="1525" t="str">
        <f t="shared" si="6"/>
        <v>容积率</v>
      </c>
      <c r="R11" s="709" t="s">
        <v>17</v>
      </c>
      <c r="S11" s="710" t="e">
        <f t="shared" si="0"/>
        <v>#N/A</v>
      </c>
      <c r="T11" s="709" t="s">
        <v>17</v>
      </c>
      <c r="U11" s="710" t="e">
        <f t="shared" si="1"/>
        <v>#N/A</v>
      </c>
      <c r="V11" s="709" t="s">
        <v>17</v>
      </c>
      <c r="W11" s="710" t="e">
        <f t="shared" si="2"/>
        <v>#N/A</v>
      </c>
      <c r="X11" s="711"/>
      <c r="Y11" s="3247"/>
      <c r="Z11" s="55" t="str">
        <f t="shared" si="7"/>
        <v>容积率</v>
      </c>
      <c r="AA11" s="712" t="e">
        <f t="shared" si="3"/>
        <v>#N/A</v>
      </c>
      <c r="AB11" s="712" t="e">
        <f t="shared" si="4"/>
        <v>#N/A</v>
      </c>
      <c r="AC11" s="712"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91"/>
      <c r="Q12" s="1525">
        <f t="shared" si="6"/>
        <v>111</v>
      </c>
      <c r="R12" s="709" t="s">
        <v>17</v>
      </c>
      <c r="S12" s="710">
        <f t="shared" si="0"/>
        <v>100</v>
      </c>
      <c r="T12" s="709" t="s">
        <v>17</v>
      </c>
      <c r="U12" s="710">
        <f t="shared" si="1"/>
        <v>100</v>
      </c>
      <c r="V12" s="709" t="s">
        <v>17</v>
      </c>
      <c r="W12" s="710">
        <f t="shared" si="2"/>
        <v>100</v>
      </c>
      <c r="X12" s="711"/>
      <c r="Y12" s="3247"/>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91"/>
      <c r="Q13" s="1525">
        <f t="shared" si="6"/>
        <v>111</v>
      </c>
      <c r="R13" s="709" t="s">
        <v>17</v>
      </c>
      <c r="S13" s="710">
        <f t="shared" si="0"/>
        <v>100</v>
      </c>
      <c r="T13" s="709" t="s">
        <v>17</v>
      </c>
      <c r="U13" s="710">
        <f t="shared" si="1"/>
        <v>100</v>
      </c>
      <c r="V13" s="709" t="s">
        <v>17</v>
      </c>
      <c r="W13" s="710">
        <f t="shared" si="2"/>
        <v>100</v>
      </c>
      <c r="X13" s="711"/>
      <c r="Y13" s="3247"/>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91"/>
      <c r="Q14" s="1525">
        <f t="shared" si="6"/>
        <v>111</v>
      </c>
      <c r="R14" s="709" t="s">
        <v>17</v>
      </c>
      <c r="S14" s="710">
        <f t="shared" si="0"/>
        <v>100</v>
      </c>
      <c r="T14" s="709" t="s">
        <v>17</v>
      </c>
      <c r="U14" s="710">
        <f t="shared" si="1"/>
        <v>100</v>
      </c>
      <c r="V14" s="709" t="s">
        <v>17</v>
      </c>
      <c r="W14" s="710">
        <f t="shared" si="2"/>
        <v>100</v>
      </c>
      <c r="X14" s="711"/>
      <c r="Y14" s="3247"/>
      <c r="Z14" s="55">
        <f t="shared" si="7"/>
        <v>111</v>
      </c>
      <c r="AA14" s="712">
        <f t="shared" si="3"/>
        <v>1</v>
      </c>
      <c r="AB14" s="712">
        <f t="shared" si="4"/>
        <v>1</v>
      </c>
      <c r="AC14" s="712">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06" t="s">
        <v>2381</v>
      </c>
      <c r="Q15" s="1534" t="str">
        <f t="shared" si="6"/>
        <v>产业集聚程度</v>
      </c>
      <c r="R15" s="713" t="s">
        <v>17</v>
      </c>
      <c r="S15" s="714">
        <f t="shared" si="0"/>
        <v>100</v>
      </c>
      <c r="T15" s="713" t="s">
        <v>17</v>
      </c>
      <c r="U15" s="714">
        <f t="shared" si="1"/>
        <v>100</v>
      </c>
      <c r="V15" s="713" t="s">
        <v>17</v>
      </c>
      <c r="W15" s="714">
        <f t="shared" si="2"/>
        <v>100</v>
      </c>
      <c r="X15" s="1537"/>
      <c r="Y15" s="3306"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307"/>
      <c r="Q16" s="1534"/>
      <c r="R16" s="713"/>
      <c r="S16" s="714"/>
      <c r="T16" s="713"/>
      <c r="U16" s="714"/>
      <c r="V16" s="713"/>
      <c r="W16" s="714"/>
      <c r="X16" s="1537"/>
      <c r="Y16" s="3307"/>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07"/>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307"/>
      <c r="Q18" s="1534"/>
      <c r="R18" s="713"/>
      <c r="S18" s="714"/>
      <c r="T18" s="713"/>
      <c r="U18" s="714"/>
      <c r="V18" s="713"/>
      <c r="W18" s="714"/>
      <c r="X18" s="1537"/>
      <c r="Y18" s="3307"/>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07"/>
      <c r="Q19" s="1534" t="str">
        <f t="shared" ref="Q19:Q33" si="8">B19</f>
        <v>区域土地利用方向</v>
      </c>
      <c r="R19" s="713" t="s">
        <v>17</v>
      </c>
      <c r="S19" s="714">
        <f>F19</f>
        <v>100</v>
      </c>
      <c r="T19" s="713" t="s">
        <v>17</v>
      </c>
      <c r="U19" s="714">
        <f>H19</f>
        <v>100</v>
      </c>
      <c r="V19" s="713" t="s">
        <v>17</v>
      </c>
      <c r="W19" s="714">
        <f>J19</f>
        <v>100</v>
      </c>
      <c r="X19" s="1537"/>
      <c r="Y19" s="3307"/>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307"/>
      <c r="Q20" s="1534"/>
      <c r="R20" s="713"/>
      <c r="S20" s="714"/>
      <c r="T20" s="713"/>
      <c r="U20" s="714"/>
      <c r="V20" s="713"/>
      <c r="W20" s="714"/>
      <c r="X20" s="1537"/>
      <c r="Y20" s="3307"/>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07"/>
      <c r="Q21" s="1534" t="str">
        <f t="shared" si="8"/>
        <v>环境状况</v>
      </c>
      <c r="R21" s="713" t="s">
        <v>17</v>
      </c>
      <c r="S21" s="714">
        <f>F21</f>
        <v>100</v>
      </c>
      <c r="T21" s="713" t="s">
        <v>17</v>
      </c>
      <c r="U21" s="714">
        <f>H21</f>
        <v>100</v>
      </c>
      <c r="V21" s="713" t="s">
        <v>17</v>
      </c>
      <c r="W21" s="714">
        <f>J21</f>
        <v>100</v>
      </c>
      <c r="X21" s="1537"/>
      <c r="Y21" s="3307"/>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307"/>
      <c r="Q22" s="1534"/>
      <c r="R22" s="713"/>
      <c r="S22" s="714"/>
      <c r="T22" s="713"/>
      <c r="U22" s="714"/>
      <c r="V22" s="713"/>
      <c r="W22" s="714"/>
      <c r="X22" s="1537"/>
      <c r="Y22" s="3307"/>
      <c r="Z22" s="1538"/>
      <c r="AA22" s="1535">
        <v>1</v>
      </c>
      <c r="AB22" s="1535">
        <v>1</v>
      </c>
      <c r="AC22" s="1535">
        <v>1</v>
      </c>
    </row>
    <row r="23" spans="1:29" s="113"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07"/>
      <c r="Q23" s="1525" t="str">
        <f t="shared" si="8"/>
        <v>公共配套设施</v>
      </c>
      <c r="R23" s="709" t="s">
        <v>17</v>
      </c>
      <c r="S23" s="710">
        <f>F23</f>
        <v>100</v>
      </c>
      <c r="T23" s="709" t="s">
        <v>17</v>
      </c>
      <c r="U23" s="710">
        <f>H23</f>
        <v>100</v>
      </c>
      <c r="V23" s="709" t="s">
        <v>17</v>
      </c>
      <c r="W23" s="710">
        <f>J23</f>
        <v>100</v>
      </c>
      <c r="X23" s="711"/>
      <c r="Y23" s="3307"/>
      <c r="Z23" s="55" t="str">
        <f>Q23</f>
        <v>公共配套设施</v>
      </c>
      <c r="AA23" s="1535">
        <f>D23/F23</f>
        <v>1</v>
      </c>
      <c r="AB23" s="1535">
        <f>D23/H23</f>
        <v>1</v>
      </c>
      <c r="AC23" s="1535">
        <f>D23/J23</f>
        <v>1</v>
      </c>
    </row>
    <row r="24" spans="1:29" s="113" customFormat="1" ht="15">
      <c r="A24" s="604"/>
      <c r="B24" s="587"/>
      <c r="C24" s="2162"/>
      <c r="D24" s="406"/>
      <c r="E24" s="2088"/>
      <c r="F24" s="406"/>
      <c r="G24" s="2088"/>
      <c r="H24" s="406"/>
      <c r="I24" s="405"/>
      <c r="J24" s="406"/>
      <c r="K24" s="627"/>
      <c r="L24" s="2944"/>
      <c r="M24" s="2945"/>
      <c r="N24" s="2945"/>
      <c r="O24" s="2999"/>
      <c r="P24" s="3307"/>
      <c r="Q24" s="1525"/>
      <c r="R24" s="709"/>
      <c r="S24" s="710"/>
      <c r="T24" s="709"/>
      <c r="U24" s="710"/>
      <c r="V24" s="709"/>
      <c r="W24" s="710"/>
      <c r="X24" s="711"/>
      <c r="Y24" s="3307"/>
      <c r="Z24" s="55"/>
      <c r="AA24" s="712">
        <v>1</v>
      </c>
      <c r="AB24" s="712">
        <v>1</v>
      </c>
      <c r="AC24" s="712">
        <v>1</v>
      </c>
    </row>
    <row r="25" spans="1:29" s="113"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07"/>
      <c r="Q25" s="1525" t="str">
        <f t="shared" ref="Q25" si="9">B25</f>
        <v>基础设施水平</v>
      </c>
      <c r="R25" s="709" t="s">
        <v>17</v>
      </c>
      <c r="S25" s="710">
        <f>F25</f>
        <v>100</v>
      </c>
      <c r="T25" s="709" t="s">
        <v>17</v>
      </c>
      <c r="U25" s="710">
        <f>H25</f>
        <v>100</v>
      </c>
      <c r="V25" s="709" t="s">
        <v>17</v>
      </c>
      <c r="W25" s="710">
        <f>J25</f>
        <v>100</v>
      </c>
      <c r="X25" s="711"/>
      <c r="Y25" s="3307"/>
      <c r="Z25" s="55" t="str">
        <f>Q25</f>
        <v>基础设施水平</v>
      </c>
      <c r="AA25" s="1535">
        <f>D25/F25</f>
        <v>1</v>
      </c>
      <c r="AB25" s="1535">
        <f>D25/H25</f>
        <v>1</v>
      </c>
      <c r="AC25" s="1535">
        <f>D25/J25</f>
        <v>1</v>
      </c>
    </row>
    <row r="26" spans="1:29" s="113" customFormat="1" ht="15">
      <c r="A26" s="604"/>
      <c r="B26" s="587"/>
      <c r="C26" s="2162"/>
      <c r="D26" s="406"/>
      <c r="E26" s="2163"/>
      <c r="F26" s="406"/>
      <c r="G26" s="2163"/>
      <c r="H26" s="406"/>
      <c r="I26" s="2163"/>
      <c r="J26" s="406"/>
      <c r="K26" s="627"/>
      <c r="L26" s="2944"/>
      <c r="M26" s="2945"/>
      <c r="N26" s="2945"/>
      <c r="O26" s="2999"/>
      <c r="P26" s="3307"/>
      <c r="Q26" s="1525"/>
      <c r="R26" s="709"/>
      <c r="S26" s="710"/>
      <c r="T26" s="709"/>
      <c r="U26" s="710"/>
      <c r="V26" s="709"/>
      <c r="W26" s="710"/>
      <c r="X26" s="711"/>
      <c r="Y26" s="3307"/>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07"/>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07"/>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07"/>
      <c r="Q28" s="1534" t="str">
        <f t="shared" si="8"/>
        <v>毗邻道路的类型与等级</v>
      </c>
      <c r="R28" s="713" t="s">
        <v>17</v>
      </c>
      <c r="S28" s="714">
        <f t="shared" si="10"/>
        <v>100</v>
      </c>
      <c r="T28" s="713" t="s">
        <v>17</v>
      </c>
      <c r="U28" s="714">
        <f t="shared" si="11"/>
        <v>100</v>
      </c>
      <c r="V28" s="713" t="s">
        <v>17</v>
      </c>
      <c r="W28" s="714">
        <f t="shared" si="12"/>
        <v>100</v>
      </c>
      <c r="X28" s="1537"/>
      <c r="Y28" s="3307"/>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307"/>
      <c r="Q29" s="1534"/>
      <c r="R29" s="713"/>
      <c r="S29" s="714"/>
      <c r="T29" s="713"/>
      <c r="U29" s="714"/>
      <c r="V29" s="713"/>
      <c r="W29" s="714"/>
      <c r="X29" s="1537"/>
      <c r="Y29" s="3307"/>
      <c r="Z29" s="1538"/>
      <c r="AA29" s="1535">
        <v>1</v>
      </c>
      <c r="AB29" s="1535">
        <v>1</v>
      </c>
      <c r="AC29" s="1535">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07"/>
      <c r="Q30" s="1534" t="str">
        <f t="shared" si="8"/>
        <v>土地级别</v>
      </c>
      <c r="R30" s="713" t="s">
        <v>17</v>
      </c>
      <c r="S30" s="714">
        <f t="shared" si="10"/>
        <v>100</v>
      </c>
      <c r="T30" s="713" t="s">
        <v>17</v>
      </c>
      <c r="U30" s="714">
        <f t="shared" si="11"/>
        <v>100</v>
      </c>
      <c r="V30" s="713" t="s">
        <v>17</v>
      </c>
      <c r="W30" s="714">
        <f t="shared" si="12"/>
        <v>100</v>
      </c>
      <c r="X30" s="1537"/>
      <c r="Y30" s="3307"/>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07"/>
      <c r="Q31" s="1534">
        <f t="shared" si="8"/>
        <v>111</v>
      </c>
      <c r="R31" s="713" t="s">
        <v>17</v>
      </c>
      <c r="S31" s="714">
        <f t="shared" si="10"/>
        <v>100</v>
      </c>
      <c r="T31" s="713" t="s">
        <v>17</v>
      </c>
      <c r="U31" s="714">
        <f t="shared" si="11"/>
        <v>100</v>
      </c>
      <c r="V31" s="713" t="s">
        <v>17</v>
      </c>
      <c r="W31" s="714">
        <f t="shared" si="12"/>
        <v>100</v>
      </c>
      <c r="X31" s="1537"/>
      <c r="Y31" s="3307"/>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08" t="s">
        <v>2386</v>
      </c>
      <c r="Q32" s="1534">
        <f t="shared" si="8"/>
        <v>111</v>
      </c>
      <c r="R32" s="713" t="s">
        <v>17</v>
      </c>
      <c r="S32" s="714">
        <f t="shared" si="10"/>
        <v>100</v>
      </c>
      <c r="T32" s="713" t="s">
        <v>17</v>
      </c>
      <c r="U32" s="714">
        <f t="shared" si="11"/>
        <v>100</v>
      </c>
      <c r="V32" s="713" t="s">
        <v>17</v>
      </c>
      <c r="W32" s="714">
        <f t="shared" si="12"/>
        <v>100</v>
      </c>
      <c r="X32" s="1537"/>
      <c r="Y32" s="3309"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09"/>
      <c r="Q33" s="1534">
        <f t="shared" si="8"/>
        <v>111</v>
      </c>
      <c r="R33" s="716" t="s">
        <v>17</v>
      </c>
      <c r="S33" s="717">
        <f t="shared" si="10"/>
        <v>100</v>
      </c>
      <c r="T33" s="716" t="s">
        <v>17</v>
      </c>
      <c r="U33" s="717">
        <f t="shared" si="11"/>
        <v>100</v>
      </c>
      <c r="V33" s="716" t="s">
        <v>17</v>
      </c>
      <c r="W33" s="717">
        <f t="shared" si="12"/>
        <v>100</v>
      </c>
      <c r="X33" s="718"/>
      <c r="Y33" s="3309"/>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09"/>
      <c r="Q34" s="1534" t="str">
        <f>B34</f>
        <v>宗地面积</v>
      </c>
      <c r="R34" s="713" t="s">
        <v>17</v>
      </c>
      <c r="S34" s="714" t="e">
        <f t="shared" si="10"/>
        <v>#N/A</v>
      </c>
      <c r="T34" s="713" t="s">
        <v>17</v>
      </c>
      <c r="U34" s="714" t="e">
        <f t="shared" si="11"/>
        <v>#N/A</v>
      </c>
      <c r="V34" s="713" t="s">
        <v>17</v>
      </c>
      <c r="W34" s="714" t="e">
        <f t="shared" si="12"/>
        <v>#N/A</v>
      </c>
      <c r="X34" s="1537"/>
      <c r="Y34" s="3309"/>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309"/>
      <c r="Q35" s="1534" t="str">
        <f t="shared" ref="Q35:Q40" si="14">B35</f>
        <v>宗地形状</v>
      </c>
      <c r="R35" s="713" t="s">
        <v>17</v>
      </c>
      <c r="S35" s="714">
        <f t="shared" si="10"/>
        <v>100</v>
      </c>
      <c r="T35" s="713" t="s">
        <v>17</v>
      </c>
      <c r="U35" s="714">
        <f t="shared" si="11"/>
        <v>100</v>
      </c>
      <c r="V35" s="713" t="s">
        <v>17</v>
      </c>
      <c r="W35" s="714">
        <f t="shared" si="12"/>
        <v>100</v>
      </c>
      <c r="X35" s="1537"/>
      <c r="Y35" s="3309"/>
      <c r="Z35" s="1538" t="str">
        <f t="shared" si="13"/>
        <v>宗地形状</v>
      </c>
      <c r="AA35" s="1535">
        <f t="shared" si="3"/>
        <v>1</v>
      </c>
      <c r="AB35" s="1535">
        <f t="shared" si="4"/>
        <v>1</v>
      </c>
      <c r="AC35" s="1535">
        <f t="shared" si="5"/>
        <v>1</v>
      </c>
    </row>
    <row r="36" spans="1:31" s="113"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09"/>
      <c r="Q36" s="1534" t="str">
        <f t="shared" si="14"/>
        <v>宗地开发程度</v>
      </c>
      <c r="R36" s="709" t="s">
        <v>17</v>
      </c>
      <c r="S36" s="710">
        <f t="shared" si="10"/>
        <v>100</v>
      </c>
      <c r="T36" s="709" t="s">
        <v>17</v>
      </c>
      <c r="U36" s="710">
        <f t="shared" si="11"/>
        <v>100</v>
      </c>
      <c r="V36" s="709" t="s">
        <v>17</v>
      </c>
      <c r="W36" s="710">
        <f t="shared" si="12"/>
        <v>100</v>
      </c>
      <c r="X36" s="711"/>
      <c r="Y36" s="3309"/>
      <c r="Z36" s="55"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309" t="s">
        <v>2386</v>
      </c>
      <c r="Q37" s="1534" t="str">
        <f t="shared" si="14"/>
        <v>工程地质条件</v>
      </c>
      <c r="R37" s="713" t="s">
        <v>17</v>
      </c>
      <c r="S37" s="714">
        <f t="shared" si="10"/>
        <v>100</v>
      </c>
      <c r="T37" s="713" t="s">
        <v>17</v>
      </c>
      <c r="U37" s="714">
        <f t="shared" si="11"/>
        <v>100</v>
      </c>
      <c r="V37" s="713" t="s">
        <v>17</v>
      </c>
      <c r="W37" s="714">
        <f t="shared" si="12"/>
        <v>100</v>
      </c>
      <c r="X37" s="1537"/>
      <c r="Y37" s="3309" t="s">
        <v>2386</v>
      </c>
      <c r="Z37" s="1538" t="str">
        <f t="shared" si="13"/>
        <v>工程地质条件</v>
      </c>
      <c r="AA37" s="1535">
        <f t="shared" si="3"/>
        <v>1</v>
      </c>
      <c r="AB37" s="1535">
        <f t="shared" si="4"/>
        <v>1</v>
      </c>
      <c r="AC37" s="1535">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09"/>
      <c r="Q38" s="1534">
        <f t="shared" si="14"/>
        <v>111</v>
      </c>
      <c r="R38" s="713" t="s">
        <v>17</v>
      </c>
      <c r="S38" s="714">
        <f t="shared" si="10"/>
        <v>100</v>
      </c>
      <c r="T38" s="713" t="s">
        <v>17</v>
      </c>
      <c r="U38" s="714">
        <f t="shared" si="11"/>
        <v>100</v>
      </c>
      <c r="V38" s="713" t="s">
        <v>17</v>
      </c>
      <c r="W38" s="714">
        <f t="shared" si="12"/>
        <v>100</v>
      </c>
      <c r="X38" s="1537"/>
      <c r="Y38" s="3309"/>
      <c r="Z38" s="1538">
        <f t="shared" si="13"/>
        <v>111</v>
      </c>
      <c r="AA38" s="1535">
        <f t="shared" si="3"/>
        <v>1</v>
      </c>
      <c r="AB38" s="1535">
        <f t="shared" si="4"/>
        <v>1</v>
      </c>
      <c r="AC38" s="1535">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09"/>
      <c r="Q39" s="1534">
        <f t="shared" si="14"/>
        <v>111</v>
      </c>
      <c r="R39" s="713" t="s">
        <v>17</v>
      </c>
      <c r="S39" s="714">
        <f t="shared" si="10"/>
        <v>100</v>
      </c>
      <c r="T39" s="713" t="s">
        <v>17</v>
      </c>
      <c r="U39" s="714">
        <f t="shared" si="11"/>
        <v>100</v>
      </c>
      <c r="V39" s="713" t="s">
        <v>17</v>
      </c>
      <c r="W39" s="714">
        <f t="shared" si="12"/>
        <v>100</v>
      </c>
      <c r="X39" s="1537"/>
      <c r="Y39" s="3309"/>
      <c r="Z39" s="1538">
        <f t="shared" si="13"/>
        <v>111</v>
      </c>
      <c r="AA39" s="1535">
        <f t="shared" si="3"/>
        <v>1</v>
      </c>
      <c r="AB39" s="1535">
        <f t="shared" si="4"/>
        <v>1</v>
      </c>
      <c r="AC39" s="1535">
        <f t="shared" si="5"/>
        <v>1</v>
      </c>
    </row>
    <row r="40" spans="1:31" s="429" customFormat="1" ht="15.75" thickBot="1">
      <c r="A40" s="426"/>
      <c r="B40" s="1295">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09"/>
      <c r="Q40" s="1534">
        <f t="shared" si="14"/>
        <v>111</v>
      </c>
      <c r="R40" s="716" t="s">
        <v>17</v>
      </c>
      <c r="S40" s="717">
        <f t="shared" si="10"/>
        <v>100</v>
      </c>
      <c r="T40" s="716" t="s">
        <v>17</v>
      </c>
      <c r="U40" s="717">
        <f t="shared" si="11"/>
        <v>100</v>
      </c>
      <c r="V40" s="716" t="s">
        <v>17</v>
      </c>
      <c r="W40" s="717">
        <f t="shared" si="12"/>
        <v>100</v>
      </c>
      <c r="X40" s="718"/>
      <c r="Y40" s="3309"/>
      <c r="Z40" s="719">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2"/>
      <c r="L41" s="2951"/>
      <c r="M41" s="2943"/>
      <c r="N41" s="2943"/>
      <c r="O41" s="2952"/>
      <c r="P41" s="3291" t="str">
        <f>A41</f>
        <v>成交单价</v>
      </c>
      <c r="Q41" s="3291"/>
      <c r="R41" s="3304">
        <f>E41</f>
        <v>0</v>
      </c>
      <c r="S41" s="3304"/>
      <c r="T41" s="3304">
        <f>G41</f>
        <v>0</v>
      </c>
      <c r="U41" s="3304"/>
      <c r="V41" s="3304">
        <f>I41</f>
        <v>0</v>
      </c>
      <c r="W41" s="3304"/>
      <c r="X41" s="698"/>
      <c r="Y41" s="720"/>
      <c r="Z41" s="698"/>
      <c r="AA41" s="698"/>
      <c r="AB41" s="698"/>
      <c r="AC41" s="698"/>
    </row>
    <row r="42" spans="1:31" ht="15.75" thickBot="1">
      <c r="A42" s="444" t="s">
        <v>2490</v>
      </c>
      <c r="B42" s="638"/>
      <c r="C42" s="447" t="e">
        <f>R43</f>
        <v>#DIV/0!</v>
      </c>
      <c r="D42" s="2536" t="s">
        <v>2881</v>
      </c>
      <c r="E42" s="447" t="e">
        <f>R42</f>
        <v>#DIV/0!</v>
      </c>
      <c r="F42" s="2537"/>
      <c r="G42" s="446" t="e">
        <f>T42</f>
        <v>#DIV/0!</v>
      </c>
      <c r="H42" s="2537"/>
      <c r="I42" s="447" t="e">
        <f>V42</f>
        <v>#DIV/0!</v>
      </c>
      <c r="J42" s="2537"/>
      <c r="K42" s="2539">
        <f>F42+H42+J42</f>
        <v>0</v>
      </c>
      <c r="L42" s="2951"/>
      <c r="M42" s="2943"/>
      <c r="N42" s="2943"/>
      <c r="O42" s="2952"/>
      <c r="P42" s="3291" t="str">
        <f>A42</f>
        <v>比较价值（元/平方米）</v>
      </c>
      <c r="Q42" s="3291"/>
      <c r="R42" s="3310" t="e">
        <f>ROUND(PRODUCT(R41,AA7:AA40),0)</f>
        <v>#DIV/0!</v>
      </c>
      <c r="S42" s="3310"/>
      <c r="T42" s="3310" t="e">
        <f>ROUND(PRODUCT(T41,AB7:AB40),0)</f>
        <v>#DIV/0!</v>
      </c>
      <c r="U42" s="3310"/>
      <c r="V42" s="3310" t="e">
        <f>ROUND(PRODUCT(V41,AC7:AC40),0)</f>
        <v>#DIV/0!</v>
      </c>
      <c r="W42" s="3310"/>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311" t="str">
        <f>A43</f>
        <v>估价对象XX用房的比较价值（楼面单价，元/平方米）</v>
      </c>
      <c r="Q43" s="3312"/>
      <c r="R43" s="3313" t="e">
        <f>ROUND(IF(D42="简单平均",AVERAGE(R42:W42),R42*F42+T42*H42+V42*J42),0)</f>
        <v>#DIV/0!</v>
      </c>
      <c r="S43" s="3313"/>
      <c r="T43" s="3313"/>
      <c r="U43" s="3313"/>
      <c r="V43" s="3313"/>
      <c r="W43" s="3313"/>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92" t="s">
        <v>2585</v>
      </c>
      <c r="H50" s="3314"/>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17349.86</v>
      </c>
      <c r="F51" s="646" t="e">
        <f t="shared" ref="F51:F60" si="15">ROUND(B51*E51/10000,0)</f>
        <v>#DIV/0!</v>
      </c>
      <c r="G51" s="3315"/>
      <c r="H51" s="3291"/>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316"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316"/>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316"/>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316"/>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18286.599999999999</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8"/>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9"/>
      <c r="N66" s="1339"/>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3"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2613</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2615</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2616</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1" t="s">
        <v>2625</v>
      </c>
      <c r="B1" s="202"/>
      <c r="C1" s="206" t="s">
        <v>2626</v>
      </c>
      <c r="D1" s="347">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2639</v>
      </c>
      <c r="B3" s="209" t="e">
        <f>ROUND(B2*10000/D1,0)</f>
        <v>#DIV/0!</v>
      </c>
      <c r="C3" s="2183" t="s">
        <v>2640</v>
      </c>
      <c r="D3" s="2184" t="s">
        <v>2641</v>
      </c>
      <c r="E3" s="2189"/>
      <c r="F3" s="2190" t="s">
        <v>2642</v>
      </c>
      <c r="G3" s="854">
        <f>IF(F3="宗地容积率",'数据-汇总表'!I4,IF(F3="估价对象容积率",'数据-汇总表'!I6,'数据-汇总表'!I7))</f>
        <v>0.95</v>
      </c>
      <c r="H3" s="174"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92"/>
      <c r="B4" s="3393"/>
      <c r="C4" s="3393"/>
      <c r="D4" s="3394"/>
      <c r="E4" s="3394"/>
      <c r="F4" s="3394"/>
      <c r="G4" s="3394"/>
      <c r="H4" s="3394"/>
      <c r="I4" s="3394"/>
      <c r="J4" s="3395"/>
      <c r="K4" s="1279"/>
      <c r="L4" s="2188" t="s">
        <v>2646</v>
      </c>
      <c r="M4" s="994">
        <f>SUMPRODUCT((区片价!B49:B75=I2)*(区片价!C3:F3=E2)*(区片价!C49:F75))</f>
        <v>0</v>
      </c>
      <c r="N4" s="996">
        <f>SUMPRODUCT((因素修正幅度!B49:B75=I2)*(因素修正幅度!C3:F3=E2)*(因素修正幅度!C49:F75))</f>
        <v>0</v>
      </c>
      <c r="O4" s="1279"/>
      <c r="P4" s="1279"/>
      <c r="Q4" s="1279"/>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73"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2656</v>
      </c>
      <c r="X7" s="1374">
        <f>G2</f>
        <v>0</v>
      </c>
      <c r="Y7" s="1374" t="s">
        <v>2657</v>
      </c>
      <c r="Z7" s="1375">
        <f>G3</f>
        <v>0.95</v>
      </c>
      <c r="AA7" s="1376"/>
      <c r="AB7" s="1376"/>
      <c r="AC7" s="1377"/>
      <c r="AD7" s="1378"/>
      <c r="AE7" s="1378"/>
      <c r="AF7" s="1378"/>
      <c r="AG7" s="1378"/>
      <c r="AH7" s="1378"/>
      <c r="AI7" s="1378"/>
      <c r="AJ7" s="1379"/>
    </row>
    <row r="8" spans="1:36" ht="15">
      <c r="A8" s="3396"/>
      <c r="B8" s="174"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2">
        <v>7</v>
      </c>
      <c r="S8" s="1373"/>
      <c r="T8" s="1372" t="e">
        <f t="shared" si="0"/>
        <v>#DIV/0!</v>
      </c>
      <c r="U8" s="1373"/>
      <c r="V8" s="1372" t="e">
        <f t="shared" si="1"/>
        <v>#DIV/0!</v>
      </c>
      <c r="W8" s="3389" t="s">
        <v>2661</v>
      </c>
      <c r="X8" s="3390"/>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6"/>
      <c r="B9" s="174" t="s">
        <v>2674</v>
      </c>
      <c r="C9" s="860">
        <f>SUMIF(修正!C59:C119,C8,修正!E59:E119)</f>
        <v>0</v>
      </c>
      <c r="D9" s="175" t="s">
        <v>140</v>
      </c>
      <c r="E9" s="175"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2">
        <v>8</v>
      </c>
      <c r="S9" s="1373"/>
      <c r="T9" s="1372" t="e">
        <f t="shared" si="0"/>
        <v>#DIV/0!</v>
      </c>
      <c r="U9" s="1373"/>
      <c r="V9" s="1372" t="e">
        <f t="shared" si="1"/>
        <v>#DIV/0!</v>
      </c>
      <c r="W9" s="3391"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6"/>
      <c r="B10" s="174" t="s">
        <v>2679</v>
      </c>
      <c r="C10" s="175">
        <f>SUMIF(修正!C59:C119,C8,修正!F59:F119)</f>
        <v>0</v>
      </c>
      <c r="D10" s="175" t="s">
        <v>141</v>
      </c>
      <c r="E10" s="175"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2">
        <v>9</v>
      </c>
      <c r="S10" s="1373"/>
      <c r="T10" s="1372" t="e">
        <f t="shared" si="0"/>
        <v>#DIV/0!</v>
      </c>
      <c r="U10" s="1373"/>
      <c r="V10" s="1372" t="e">
        <f t="shared" si="1"/>
        <v>#DIV/0!</v>
      </c>
      <c r="W10" s="3391"/>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6"/>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2">
        <v>10</v>
      </c>
      <c r="S11" s="1373"/>
      <c r="T11" s="1372" t="e">
        <f t="shared" si="0"/>
        <v>#DIV/0!</v>
      </c>
      <c r="U11" s="1373"/>
      <c r="V11" s="1372" t="e">
        <f t="shared" si="1"/>
        <v>#DIV/0!</v>
      </c>
      <c r="W11" s="3391" t="s">
        <v>2685</v>
      </c>
      <c r="X11" s="1384" t="s">
        <v>2686</v>
      </c>
      <c r="Y11" s="1385">
        <f>$G$3</f>
        <v>0.95</v>
      </c>
      <c r="Z11" s="1385">
        <f t="shared" ref="Z11:AJ11" si="3">$G$3</f>
        <v>0.95</v>
      </c>
      <c r="AA11" s="1385">
        <f t="shared" si="3"/>
        <v>0.95</v>
      </c>
      <c r="AB11" s="1385">
        <f t="shared" si="3"/>
        <v>0.95</v>
      </c>
      <c r="AC11" s="1385">
        <f t="shared" si="3"/>
        <v>0.95</v>
      </c>
      <c r="AD11" s="1385">
        <f t="shared" si="3"/>
        <v>0.95</v>
      </c>
      <c r="AE11" s="1385">
        <f t="shared" si="3"/>
        <v>0.95</v>
      </c>
      <c r="AF11" s="1385">
        <f t="shared" si="3"/>
        <v>0.95</v>
      </c>
      <c r="AG11" s="1385">
        <f t="shared" si="3"/>
        <v>0.95</v>
      </c>
      <c r="AH11" s="1385">
        <f t="shared" si="3"/>
        <v>0.95</v>
      </c>
      <c r="AI11" s="1385">
        <f t="shared" si="3"/>
        <v>0.95</v>
      </c>
      <c r="AJ11" s="1385">
        <f t="shared" si="3"/>
        <v>0.95</v>
      </c>
    </row>
    <row r="12" spans="1:36" ht="25.5" thickBot="1">
      <c r="A12" s="3373"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2">
        <v>11</v>
      </c>
      <c r="S12" s="1373"/>
      <c r="T12" s="1372" t="e">
        <f t="shared" si="0"/>
        <v>#DIV/0!</v>
      </c>
      <c r="U12" s="1373"/>
      <c r="V12" s="1372" t="e">
        <f t="shared" si="1"/>
        <v>#DIV/0!</v>
      </c>
      <c r="W12" s="3391"/>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97"/>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2">
        <v>12</v>
      </c>
      <c r="S13" s="1373"/>
      <c r="T13" s="1372" t="e">
        <f t="shared" si="0"/>
        <v>#DIV/0!</v>
      </c>
      <c r="U13" s="1373"/>
      <c r="V13" s="1372" t="e">
        <f t="shared" si="1"/>
        <v>#DIV/0!</v>
      </c>
      <c r="W13" s="3391"/>
      <c r="X13" s="1386"/>
      <c r="Y13" s="1383">
        <f>(-0.163*(Y12^2)-0.59*Y12+7617)*(10^(-4))/Y11</f>
        <v>0.80178947368421061</v>
      </c>
      <c r="Z13" s="1383">
        <f t="shared" ref="Z13:AJ13" si="5">(-0.163*(Z12^2)-0.59*Z12+7617)*(10^(-4))/Z11</f>
        <v>0.80178947368421061</v>
      </c>
      <c r="AA13" s="1383">
        <f t="shared" si="5"/>
        <v>0.80178947368421061</v>
      </c>
      <c r="AB13" s="1383">
        <f t="shared" si="5"/>
        <v>0.80178947368421061</v>
      </c>
      <c r="AC13" s="1383">
        <f t="shared" si="5"/>
        <v>0.80178947368421061</v>
      </c>
      <c r="AD13" s="1383">
        <f t="shared" si="5"/>
        <v>0.80178947368421061</v>
      </c>
      <c r="AE13" s="1383">
        <f t="shared" si="5"/>
        <v>0.80178947368421061</v>
      </c>
      <c r="AF13" s="1383">
        <f t="shared" si="5"/>
        <v>0.80178947368421061</v>
      </c>
      <c r="AG13" s="1383">
        <f t="shared" si="5"/>
        <v>0.80178947368421061</v>
      </c>
      <c r="AH13" s="1383">
        <f t="shared" si="5"/>
        <v>0.80178947368421061</v>
      </c>
      <c r="AI13" s="1383">
        <f t="shared" si="5"/>
        <v>0.80178947368421061</v>
      </c>
      <c r="AJ13" s="1383">
        <f t="shared" si="5"/>
        <v>0.80178947368421061</v>
      </c>
    </row>
    <row r="14" spans="1:36" ht="15">
      <c r="A14" s="3397"/>
      <c r="B14" s="2230"/>
      <c r="C14" s="2231"/>
      <c r="D14" s="2232"/>
      <c r="E14" s="2232"/>
      <c r="F14" s="2233"/>
      <c r="G14" s="2234" t="s">
        <v>2698</v>
      </c>
      <c r="H14" s="2235"/>
      <c r="I14" s="2236"/>
      <c r="J14" s="2237"/>
      <c r="K14" s="1279"/>
      <c r="L14" s="1279"/>
      <c r="M14" s="1279"/>
      <c r="N14" s="1279"/>
      <c r="O14" s="1279"/>
      <c r="P14" s="1279"/>
      <c r="Q14" s="1279"/>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98"/>
      <c r="B15" s="2238" t="s">
        <v>2699</v>
      </c>
      <c r="C15" s="192">
        <f>IF(C14="有",1.1,1)</f>
        <v>1</v>
      </c>
      <c r="D15" s="192">
        <f>IF(D14="有",1.1,1)</f>
        <v>1</v>
      </c>
      <c r="E15" s="192">
        <f>IF(E14="有",1.1,1)</f>
        <v>1</v>
      </c>
      <c r="F15" s="192">
        <f>IF(F14="500米范围内",1.2,IF(F14="500-1000米",1.1,1))</f>
        <v>1</v>
      </c>
      <c r="G15" s="882">
        <v>1</v>
      </c>
      <c r="H15" s="882">
        <v>1</v>
      </c>
      <c r="I15" s="882">
        <v>1</v>
      </c>
      <c r="J15" s="883">
        <v>1</v>
      </c>
      <c r="K15" s="1279"/>
      <c r="L15" s="2181"/>
      <c r="M15" s="2181"/>
      <c r="N15" s="2181"/>
      <c r="O15" s="2181"/>
      <c r="P15" s="2181"/>
      <c r="Q15" s="1279"/>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73" t="s">
        <v>2704</v>
      </c>
      <c r="B16" s="2207" t="s">
        <v>2705</v>
      </c>
      <c r="C16" s="2369" t="e">
        <f>ROUND(IF(F17="与级别开发程度一致",0,(G17-E17)/C17),0)</f>
        <v>#DIV/0!</v>
      </c>
      <c r="D16" s="3386" t="s">
        <v>2709</v>
      </c>
      <c r="E16" s="3387"/>
      <c r="F16" s="3386" t="s">
        <v>2706</v>
      </c>
      <c r="G16" s="3387"/>
      <c r="H16" s="2239"/>
      <c r="I16" s="2239"/>
      <c r="J16" s="2373"/>
      <c r="K16" s="2239"/>
      <c r="L16" s="2239"/>
      <c r="M16" s="2239"/>
      <c r="N16" s="2239"/>
      <c r="O16" s="2240"/>
      <c r="P16" s="2181"/>
      <c r="Q16" s="1279"/>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74"/>
      <c r="B17" s="2380" t="s">
        <v>2708</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ROUND(IF(H19="按公示增长率计算",SUMPRODUCT((地价!A3:A35=YEAR(G19)&amp;"-"&amp;ROUNDUP(MONTH(G19)/3,0))*(地价!X2:AB2=E2)*(地价!X3:AB35)),IF(H19="地价指数",M20/M19,(1+I19)^O19)),4)</f>
        <v>#VALUE!</v>
      </c>
      <c r="D19" s="2249" t="s">
        <v>2713</v>
      </c>
      <c r="E19" s="863">
        <v>41640</v>
      </c>
      <c r="F19" s="2249" t="s">
        <v>2714</v>
      </c>
      <c r="G19" s="864">
        <f>'数据-取费表'!B2</f>
        <v>44421</v>
      </c>
      <c r="H19" s="2250"/>
      <c r="I19" s="865" t="str">
        <f>IF(H19="季度增幅（自定义）",SUMIF(N21:N24,E2,O21:O24),"")</f>
        <v/>
      </c>
      <c r="J19" s="2247"/>
      <c r="K19" s="1286"/>
      <c r="L19" s="2251" t="s">
        <v>2715</v>
      </c>
      <c r="M19" s="1494">
        <f>ROUND(SUMIF(地价!B2:F2,E2,地价!B35:F35),0)</f>
        <v>0</v>
      </c>
      <c r="N19" s="2252" t="s">
        <v>2716</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ROUND(SUMPRODUCT((地价!A4:A35=YEAR(G19)&amp;"-"&amp;ROUNDUP(MONTH(G19)/3,0))*(地价!B2:F2=E2)*(地价!B4:F35)),0)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f>IF(B21="容积率修正",IF(G3&lt;=10,D22,J22),C23)</f>
        <v>0</v>
      </c>
      <c r="D21" s="2263"/>
      <c r="E21" s="2263"/>
      <c r="F21" s="2263"/>
      <c r="G21" s="2263"/>
      <c r="H21" s="2263"/>
      <c r="I21" s="2263"/>
      <c r="J21" s="2264"/>
      <c r="K21" s="1286"/>
      <c r="L21" s="3017"/>
      <c r="M21" s="3017"/>
      <c r="N21" s="2265" t="s">
        <v>2725</v>
      </c>
      <c r="O21" s="1334"/>
      <c r="P21" s="1335">
        <f>SUMPRODUCT((地价!A3:A35=YEAR(G19)&amp;"-"&amp;ROUNDUP(MONTH(G19)/3,0))*(地价!AD2:AH2=N21)*(地价!AD3:AH35))</f>
        <v>1.0699999999999999E-2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f>IF(E22=G22,F22,IF(G3&lt;=10,ROUND(F22+(H22-F22)*(G3-E22)/(G22-E22),4),"——"))</f>
        <v>0</v>
      </c>
      <c r="E22" s="854">
        <f>ROUNDDOWN(G3,1)</f>
        <v>0.9</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6" t="str">
        <f>IF(G3&gt;10,D113,"——")</f>
        <v>——</v>
      </c>
      <c r="K22" s="1286"/>
      <c r="L22" s="3017"/>
      <c r="M22" s="3017"/>
      <c r="N22" s="2265" t="s">
        <v>2729</v>
      </c>
      <c r="O22" s="1334"/>
      <c r="P22" s="1335">
        <f>SUMPRODUCT((地价!A3:A35=YEAR(G19)&amp;"-"&amp;ROUNDUP(MONTH(G19)/3,0))*(地价!AD2:AH2=N22)*(地价!AD3:AH35))</f>
        <v>1.0699999999999999E-2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f>ROUND(IF(G3&gt;1,IF(I3&lt;7,SUMPRODUCT((B93:B98=I3)*(C92:N92=G2)*(C93:N98)),SUMIF(C92:N92,G2,C100:N100)),IF(I3&lt;7,SUMPRODUCT((B102:B107=I3)*(C92:N92=G2)*(C102:N107)),SUMIF(C92:N92,G2,C109:N109))),4)</f>
        <v>0</v>
      </c>
      <c r="D23" s="2235"/>
      <c r="E23" s="2235"/>
      <c r="F23" s="2268"/>
      <c r="G23" s="2269"/>
      <c r="H23" s="2270"/>
      <c r="I23" s="2271"/>
      <c r="J23" s="2272"/>
      <c r="K23" s="1279"/>
      <c r="L23" s="2181"/>
      <c r="M23" s="2181"/>
      <c r="N23" s="2265" t="s">
        <v>2732</v>
      </c>
      <c r="O23" s="1334"/>
      <c r="P23" s="1335">
        <f>SUMPRODUCT((地价!A3:A35=YEAR(G19)&amp;"-"&amp;ROUNDUP(MONTH(G19)/3,0))*(地价!AD2:AH2=N23)*(地价!AD3:AH35))</f>
        <v>1.8700000000000001E-2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SUMPRODUCT((地价!A3:A35=YEAR(G19)&amp;"-"&amp;ROUNDUP(MONTH(G19)/3,0))*(地价!AD2:AH2=N24)*(地价!AD3:AH35))</f>
        <v>1.24E-2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SUMPRODUCT((地价!A3:A35=YEAR(G19)&amp;"-"&amp;ROUNDUP(MONTH(G19)/3,0))*(地价!AD2:AH2=N25)*(地价!AD3:AH35))</f>
        <v>1.7000000000000001E-2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79"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2"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7" t="s">
        <v>2740</v>
      </c>
      <c r="D32" s="454" t="s">
        <v>2741</v>
      </c>
      <c r="E32" s="454" t="s">
        <v>2742</v>
      </c>
      <c r="F32" s="347" t="s">
        <v>2750</v>
      </c>
      <c r="G32" s="2309" t="s">
        <v>2740</v>
      </c>
      <c r="H32" s="2309" t="s">
        <v>2741</v>
      </c>
      <c r="I32" s="2309" t="s">
        <v>2742</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83"/>
      <c r="B33" s="2310" t="s">
        <v>2751</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88" t="s">
        <v>3057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84"/>
      <c r="B34" s="2227" t="s">
        <v>2752</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8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84"/>
      <c r="B35" s="2227" t="s">
        <v>2753</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8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85"/>
      <c r="B36" s="2227" t="s">
        <v>2754</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85"/>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2864</v>
      </c>
      <c r="C41" s="347" t="e">
        <f>ROUND(POWER(1+E41,H41-G41)*(POWER(1+E41,G41)-1)/(POWER(1+E41,H41)-1),4)</f>
        <v>#DIV/0!</v>
      </c>
      <c r="D41" s="175" t="s">
        <v>2710</v>
      </c>
      <c r="E41" s="2367">
        <f>G20</f>
        <v>0</v>
      </c>
      <c r="F41" s="175" t="s">
        <v>2719</v>
      </c>
      <c r="G41" s="188"/>
      <c r="H41" s="175">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59" t="s">
        <v>2418</v>
      </c>
      <c r="K80" s="559" t="s">
        <v>2419</v>
      </c>
      <c r="L80" s="559" t="s">
        <v>2420</v>
      </c>
      <c r="M80" s="559" t="s">
        <v>2421</v>
      </c>
      <c r="N80" s="559"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75" t="s">
        <v>2792</v>
      </c>
      <c r="B90" s="3375"/>
      <c r="C90" s="3375"/>
      <c r="D90" s="3375"/>
      <c r="E90" s="3375"/>
      <c r="F90" s="3375"/>
      <c r="G90" s="3375"/>
      <c r="H90" s="3375"/>
      <c r="I90" s="3375"/>
      <c r="J90" s="3375"/>
      <c r="K90" s="2341"/>
      <c r="L90" s="2341"/>
      <c r="M90" s="2341"/>
      <c r="N90" s="2341"/>
    </row>
    <row r="91" spans="1:37">
      <c r="A91" s="3377" t="s">
        <v>2793</v>
      </c>
      <c r="B91" s="3377" t="s">
        <v>2794</v>
      </c>
      <c r="C91" s="2295" t="s">
        <v>2795</v>
      </c>
      <c r="D91" s="2296"/>
      <c r="E91" s="2296"/>
      <c r="F91" s="2296"/>
      <c r="G91" s="2296"/>
      <c r="H91" s="2296"/>
      <c r="I91" s="2296"/>
      <c r="J91" s="2342"/>
      <c r="K91" s="2343"/>
      <c r="L91" s="2343"/>
      <c r="M91" s="2343"/>
      <c r="N91" s="2343"/>
    </row>
    <row r="92" spans="1:37">
      <c r="A92" s="3377"/>
      <c r="B92" s="3377"/>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78"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9"/>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8" t="s">
        <v>2797</v>
      </c>
      <c r="B101" s="2348" t="s">
        <v>2798</v>
      </c>
      <c r="C101" s="2349">
        <f>$G$3</f>
        <v>0.95</v>
      </c>
      <c r="D101" s="2349">
        <f t="shared" ref="D101:N101" si="31">$G$3</f>
        <v>0.95</v>
      </c>
      <c r="E101" s="2349">
        <f t="shared" si="31"/>
        <v>0.95</v>
      </c>
      <c r="F101" s="2349">
        <f t="shared" si="31"/>
        <v>0.95</v>
      </c>
      <c r="G101" s="2349">
        <f t="shared" si="31"/>
        <v>0.95</v>
      </c>
      <c r="H101" s="2349">
        <f t="shared" si="31"/>
        <v>0.95</v>
      </c>
      <c r="I101" s="2349">
        <f t="shared" si="31"/>
        <v>0.95</v>
      </c>
      <c r="J101" s="2349">
        <f t="shared" si="31"/>
        <v>0.95</v>
      </c>
      <c r="K101" s="2349">
        <f t="shared" si="31"/>
        <v>0.95</v>
      </c>
      <c r="L101" s="2349">
        <f t="shared" si="31"/>
        <v>0.95</v>
      </c>
      <c r="M101" s="2349">
        <f t="shared" si="31"/>
        <v>0.95</v>
      </c>
      <c r="N101" s="2349">
        <f t="shared" si="31"/>
        <v>0.95</v>
      </c>
    </row>
    <row r="102" spans="1:14">
      <c r="A102" s="3379"/>
      <c r="B102" s="2344">
        <v>1</v>
      </c>
      <c r="C102" s="2345">
        <f>1.9362/C101</f>
        <v>2.0381052631578949</v>
      </c>
      <c r="D102" s="2345">
        <f>1.9362/D101</f>
        <v>2.0381052631578949</v>
      </c>
      <c r="E102" s="2345">
        <f>1.8629/E101</f>
        <v>1.9609473684210528</v>
      </c>
      <c r="F102" s="2345">
        <f>1.8629/F101</f>
        <v>1.9609473684210528</v>
      </c>
      <c r="G102" s="2345">
        <f>1.8629/G101</f>
        <v>1.9609473684210528</v>
      </c>
      <c r="H102" s="2345">
        <f>1.8629/H101</f>
        <v>1.9609473684210528</v>
      </c>
      <c r="I102" s="2345">
        <f>1.8629/I101</f>
        <v>1.9609473684210528</v>
      </c>
      <c r="J102" s="2345">
        <f>1.942/J101</f>
        <v>2.0442105263157897</v>
      </c>
      <c r="K102" s="2345">
        <f>1.942/K101</f>
        <v>2.0442105263157897</v>
      </c>
      <c r="L102" s="2345">
        <f>1.942/L101</f>
        <v>2.0442105263157897</v>
      </c>
      <c r="M102" s="2345">
        <f>1.942/M101</f>
        <v>2.0442105263157897</v>
      </c>
      <c r="N102" s="2345">
        <f>1.942/N101</f>
        <v>2.0442105263157897</v>
      </c>
    </row>
    <row r="103" spans="1:14">
      <c r="A103" s="3379"/>
      <c r="B103" s="2344">
        <v>2</v>
      </c>
      <c r="C103" s="2345">
        <f>1.4198/C101</f>
        <v>1.4945263157894737</v>
      </c>
      <c r="D103" s="2345">
        <f>1.4198/D101</f>
        <v>1.4945263157894737</v>
      </c>
      <c r="E103" s="2345">
        <f>1.3372/E101</f>
        <v>1.407578947368421</v>
      </c>
      <c r="F103" s="2345">
        <f>1.3372/F101</f>
        <v>1.407578947368421</v>
      </c>
      <c r="G103" s="2345">
        <f>1.3372/G101</f>
        <v>1.407578947368421</v>
      </c>
      <c r="H103" s="2345">
        <f>1.3372/H101</f>
        <v>1.407578947368421</v>
      </c>
      <c r="I103" s="2345">
        <f>1.3372/I101</f>
        <v>1.407578947368421</v>
      </c>
      <c r="J103" s="2345">
        <f>1.2799/J101</f>
        <v>1.3472631578947369</v>
      </c>
      <c r="K103" s="2345">
        <f>1.2799/K101</f>
        <v>1.3472631578947369</v>
      </c>
      <c r="L103" s="2345">
        <f>1.2799/L101</f>
        <v>1.3472631578947369</v>
      </c>
      <c r="M103" s="2345">
        <f>1.2799/M101</f>
        <v>1.3472631578947369</v>
      </c>
      <c r="N103" s="2345">
        <f>1.2799/N101</f>
        <v>1.3472631578947369</v>
      </c>
    </row>
    <row r="104" spans="1:14">
      <c r="A104" s="3379"/>
      <c r="B104" s="2344">
        <v>3</v>
      </c>
      <c r="C104" s="2345">
        <f>1.1594/C101</f>
        <v>1.2204210526315791</v>
      </c>
      <c r="D104" s="2345">
        <f>1.1594/D101</f>
        <v>1.2204210526315791</v>
      </c>
      <c r="E104" s="2345">
        <f>1.0788/E101</f>
        <v>1.135578947368421</v>
      </c>
      <c r="F104" s="2345">
        <f>1.0788/F101</f>
        <v>1.135578947368421</v>
      </c>
      <c r="G104" s="2345">
        <f>1.0788/G101</f>
        <v>1.135578947368421</v>
      </c>
      <c r="H104" s="2345">
        <f>1.0788/H101</f>
        <v>1.135578947368421</v>
      </c>
      <c r="I104" s="2345">
        <f>1.0788/I101</f>
        <v>1.135578947368421</v>
      </c>
      <c r="J104" s="2345">
        <f>1.0072/J101</f>
        <v>1.0602105263157897</v>
      </c>
      <c r="K104" s="2345">
        <f>1.0072/K101</f>
        <v>1.0602105263157897</v>
      </c>
      <c r="L104" s="2345">
        <f>1.0072/L101</f>
        <v>1.0602105263157897</v>
      </c>
      <c r="M104" s="2345">
        <f>1.0072/M101</f>
        <v>1.0602105263157897</v>
      </c>
      <c r="N104" s="2345">
        <f>1.0072/N101</f>
        <v>1.0602105263157897</v>
      </c>
    </row>
    <row r="105" spans="1:14">
      <c r="A105" s="3379"/>
      <c r="B105" s="2344">
        <v>4</v>
      </c>
      <c r="C105" s="2345">
        <f>0.9622/C101</f>
        <v>1.012842105263158</v>
      </c>
      <c r="D105" s="2345">
        <f>0.9622/D101</f>
        <v>1.012842105263158</v>
      </c>
      <c r="E105" s="2345">
        <f>0.8656/E101</f>
        <v>0.91115789473684217</v>
      </c>
      <c r="F105" s="2345">
        <f>0.8656/F101</f>
        <v>0.91115789473684217</v>
      </c>
      <c r="G105" s="2345">
        <f>0.8656/G101</f>
        <v>0.91115789473684217</v>
      </c>
      <c r="H105" s="2345">
        <f>0.8656/H101</f>
        <v>0.91115789473684217</v>
      </c>
      <c r="I105" s="2345">
        <f>0.8656/I101</f>
        <v>0.91115789473684217</v>
      </c>
      <c r="J105" s="2345">
        <f>0.7525/J101</f>
        <v>0.79210526315789476</v>
      </c>
      <c r="K105" s="2345">
        <f>0.7525/K101</f>
        <v>0.79210526315789476</v>
      </c>
      <c r="L105" s="2345">
        <f>0.7525/L101</f>
        <v>0.79210526315789476</v>
      </c>
      <c r="M105" s="2345">
        <f>0.7525/M101</f>
        <v>0.79210526315789476</v>
      </c>
      <c r="N105" s="2345">
        <f>0.7525/N101</f>
        <v>0.79210526315789476</v>
      </c>
    </row>
    <row r="106" spans="1:14">
      <c r="A106" s="3379"/>
      <c r="B106" s="2344">
        <v>5</v>
      </c>
      <c r="C106" s="2345">
        <f>0.8417/C101</f>
        <v>0.88600000000000001</v>
      </c>
      <c r="D106" s="2345">
        <f>0.8417/D101</f>
        <v>0.88600000000000001</v>
      </c>
      <c r="E106" s="2345">
        <f>0.7371/E101</f>
        <v>0.7758947368421053</v>
      </c>
      <c r="F106" s="2345">
        <f>0.7371/F101</f>
        <v>0.7758947368421053</v>
      </c>
      <c r="G106" s="2345">
        <f>0.7371/G101</f>
        <v>0.7758947368421053</v>
      </c>
      <c r="H106" s="2345">
        <f>0.7371/H101</f>
        <v>0.7758947368421053</v>
      </c>
      <c r="I106" s="2345">
        <f>0.7371/I101</f>
        <v>0.7758947368421053</v>
      </c>
      <c r="J106" s="2345">
        <f>0.5659/J101</f>
        <v>0.59568421052631582</v>
      </c>
      <c r="K106" s="2345">
        <f>0.5659/K101</f>
        <v>0.59568421052631582</v>
      </c>
      <c r="L106" s="2345">
        <f>0.5659/L101</f>
        <v>0.59568421052631582</v>
      </c>
      <c r="M106" s="2345">
        <f>0.5659/M101</f>
        <v>0.59568421052631582</v>
      </c>
      <c r="N106" s="2345">
        <f>0.5659/N101</f>
        <v>0.59568421052631582</v>
      </c>
    </row>
    <row r="107" spans="1:14">
      <c r="A107" s="3379"/>
      <c r="B107" s="2344">
        <v>6</v>
      </c>
      <c r="C107" s="2345">
        <f>0.7608/C101</f>
        <v>0.80084210526315791</v>
      </c>
      <c r="D107" s="2345">
        <f>0.7608/D101</f>
        <v>0.80084210526315791</v>
      </c>
      <c r="E107" s="2345">
        <f>0.6482/E101</f>
        <v>0.68231578947368421</v>
      </c>
      <c r="F107" s="2345">
        <f>0.6482/F101</f>
        <v>0.68231578947368421</v>
      </c>
      <c r="G107" s="2345">
        <f>0.6482/G101</f>
        <v>0.68231578947368421</v>
      </c>
      <c r="H107" s="2345">
        <f>0.6482/H101</f>
        <v>0.68231578947368421</v>
      </c>
      <c r="I107" s="2345">
        <f>0.6482/I101</f>
        <v>0.68231578947368421</v>
      </c>
      <c r="J107" s="2345">
        <f>0.4525/J101</f>
        <v>0.47631578947368425</v>
      </c>
      <c r="K107" s="2345">
        <f>0.4525/K101</f>
        <v>0.47631578947368425</v>
      </c>
      <c r="L107" s="2345">
        <f>0.4525/L101</f>
        <v>0.47631578947368425</v>
      </c>
      <c r="M107" s="2345">
        <f>0.4525/M101</f>
        <v>0.47631578947368425</v>
      </c>
      <c r="N107" s="2345">
        <f>0.4525/N101</f>
        <v>0.47631578947368425</v>
      </c>
    </row>
    <row r="108" spans="1:14">
      <c r="A108" s="3379"/>
      <c r="B108" s="3381"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0"/>
      <c r="B109" s="3382"/>
      <c r="C109" s="2347">
        <f>(-0.163*(C108^2)-0.59*C108+7617)*(10^(-4))/C101</f>
        <v>0.80178947368421061</v>
      </c>
      <c r="D109" s="2347">
        <f>(-0.163*(D108^2)-0.59*D108+7617)*(10^(-4))/D101</f>
        <v>0.80178947368421061</v>
      </c>
      <c r="E109" s="2347">
        <f>(-0.161*(E108^2)-7.509*E108+6533)*(10^(-4))/E101</f>
        <v>0.68768421052631579</v>
      </c>
      <c r="F109" s="2347">
        <f>(-0.161*(F108^2)-7.509*F108+6533)*(10^(-4))/F101</f>
        <v>0.68768421052631579</v>
      </c>
      <c r="G109" s="2347">
        <f>(-0.161*(G108^2)-7.509*G108+6533)*(10^(-4))/G101</f>
        <v>0.68768421052631579</v>
      </c>
      <c r="H109" s="2347">
        <f>(-0.161*(H108^2)-7.509*H108+6533)*(10^(-4))/H101</f>
        <v>0.68768421052631579</v>
      </c>
      <c r="I109" s="2347">
        <f>(-0.161*(I108^2)-7.509*I108+6533)*(10^(-4))/I101</f>
        <v>0.68768421052631579</v>
      </c>
      <c r="J109" s="2347">
        <f>(-0.214*(J108^2)-21.991*J108+4665)*(10^(-4))/J101</f>
        <v>0.49105263157894741</v>
      </c>
      <c r="K109" s="2347">
        <f>(-0.214*(K108^2)-21.991*K108+4665)*(10^(-4))/K101</f>
        <v>0.49105263157894741</v>
      </c>
      <c r="L109" s="2347">
        <f>(-0.214*(L108^2)-21.991*L108+4665)*(10^(-4))/L101</f>
        <v>0.49105263157894741</v>
      </c>
      <c r="M109" s="2347">
        <f>(-0.214*(M108^2)-21.991*M108+4665)*(10^(-4))/M101</f>
        <v>0.49105263157894741</v>
      </c>
      <c r="N109" s="2347">
        <f>(-0.214*(N108^2)-21.991*N108+4665)*(10^(-4))/N101</f>
        <v>0.49105263157894741</v>
      </c>
    </row>
    <row r="110" spans="1:14">
      <c r="A110" s="3376" t="s">
        <v>2800</v>
      </c>
      <c r="B110" s="3376"/>
      <c r="C110" s="3376"/>
      <c r="D110" s="3376"/>
      <c r="E110" s="3376"/>
      <c r="F110" s="3376"/>
      <c r="G110" s="3376"/>
      <c r="H110" s="3376"/>
      <c r="I110" s="3376"/>
      <c r="J110" s="3376"/>
      <c r="K110" s="2350"/>
      <c r="L110" s="2350"/>
      <c r="M110" s="2350"/>
      <c r="N110" s="2350"/>
    </row>
    <row r="112" spans="1:14" ht="13.5" thickBot="1"/>
    <row r="113" spans="1:13" ht="25.5" thickBot="1">
      <c r="A113" s="841" t="s">
        <v>2801</v>
      </c>
      <c r="B113" s="1196">
        <f>G3</f>
        <v>0.95</v>
      </c>
      <c r="C113" s="842" t="s">
        <v>2802</v>
      </c>
      <c r="D113" s="843">
        <f>SUMPRODUCT((A115:A118=F113)*(B114:M114=H113)*B115:M118)</f>
        <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f>ROUND(0.9335-0.0094*B113,4)</f>
        <v>0.92459999999999998</v>
      </c>
      <c r="C115" s="848">
        <f>B115</f>
        <v>0.92459999999999998</v>
      </c>
      <c r="D115" s="848">
        <f>ROUND(0.8331-0.0109*B113,4)</f>
        <v>0.82269999999999999</v>
      </c>
      <c r="E115" s="848">
        <f>D115</f>
        <v>0.82269999999999999</v>
      </c>
      <c r="F115" s="848">
        <f>E115</f>
        <v>0.82269999999999999</v>
      </c>
      <c r="G115" s="848">
        <f>F115</f>
        <v>0.82269999999999999</v>
      </c>
      <c r="H115" s="848">
        <f>G115</f>
        <v>0.82269999999999999</v>
      </c>
      <c r="I115" s="848">
        <f>ROUND(0.689-0.0155*B113,4)</f>
        <v>0.67430000000000001</v>
      </c>
      <c r="J115" s="848">
        <f t="shared" ref="J115:M118" si="33">I115</f>
        <v>0.67430000000000001</v>
      </c>
      <c r="K115" s="848">
        <f t="shared" si="33"/>
        <v>0.67430000000000001</v>
      </c>
      <c r="L115" s="848">
        <f t="shared" si="33"/>
        <v>0.67430000000000001</v>
      </c>
      <c r="M115" s="849">
        <f t="shared" si="33"/>
        <v>0.67430000000000001</v>
      </c>
    </row>
    <row r="116" spans="1:13">
      <c r="A116" s="847" t="s">
        <v>2701</v>
      </c>
      <c r="B116" s="848">
        <f>ROUND(0.949-0.012*B113,4)</f>
        <v>0.93759999999999999</v>
      </c>
      <c r="C116" s="848">
        <f>B116</f>
        <v>0.93759999999999999</v>
      </c>
      <c r="D116" s="848">
        <f>ROUND(0.8567-0.013*B113,4)</f>
        <v>0.84440000000000004</v>
      </c>
      <c r="E116" s="848">
        <f t="shared" ref="E116:H117" si="34">D116</f>
        <v>0.84440000000000004</v>
      </c>
      <c r="F116" s="848">
        <f t="shared" si="34"/>
        <v>0.84440000000000004</v>
      </c>
      <c r="G116" s="848">
        <f t="shared" si="34"/>
        <v>0.84440000000000004</v>
      </c>
      <c r="H116" s="848">
        <f t="shared" si="34"/>
        <v>0.84440000000000004</v>
      </c>
      <c r="I116" s="848">
        <f>ROUND(0.7694-0.014*B113,4)</f>
        <v>0.75609999999999999</v>
      </c>
      <c r="J116" s="848">
        <f t="shared" si="33"/>
        <v>0.75609999999999999</v>
      </c>
      <c r="K116" s="848">
        <f t="shared" si="33"/>
        <v>0.75609999999999999</v>
      </c>
      <c r="L116" s="848">
        <f t="shared" si="33"/>
        <v>0.75609999999999999</v>
      </c>
      <c r="M116" s="849">
        <f t="shared" si="33"/>
        <v>0.75609999999999999</v>
      </c>
    </row>
    <row r="117" spans="1:13">
      <c r="A117" s="847" t="s">
        <v>2702</v>
      </c>
      <c r="B117" s="848">
        <f>ROUND(0.8808-0.006*B113,4)</f>
        <v>0.87509999999999999</v>
      </c>
      <c r="C117" s="848">
        <f>B117</f>
        <v>0.87509999999999999</v>
      </c>
      <c r="D117" s="848">
        <f>ROUND(0.8748-0.008*B113,4)</f>
        <v>0.86719999999999997</v>
      </c>
      <c r="E117" s="848">
        <f t="shared" si="34"/>
        <v>0.86719999999999997</v>
      </c>
      <c r="F117" s="848">
        <f t="shared" si="34"/>
        <v>0.86719999999999997</v>
      </c>
      <c r="G117" s="848">
        <f t="shared" si="34"/>
        <v>0.86719999999999997</v>
      </c>
      <c r="H117" s="848">
        <f t="shared" si="34"/>
        <v>0.86719999999999997</v>
      </c>
      <c r="I117" s="848">
        <f>ROUND(0.7412-0.0095*B113,4)</f>
        <v>0.73219999999999996</v>
      </c>
      <c r="J117" s="848">
        <f t="shared" si="33"/>
        <v>0.73219999999999996</v>
      </c>
      <c r="K117" s="848">
        <f t="shared" si="33"/>
        <v>0.73219999999999996</v>
      </c>
      <c r="L117" s="848">
        <f t="shared" si="33"/>
        <v>0.73219999999999996</v>
      </c>
      <c r="M117" s="849">
        <f t="shared" si="33"/>
        <v>0.73219999999999996</v>
      </c>
    </row>
    <row r="118" spans="1:13" ht="13.5" thickBot="1">
      <c r="A118" s="669" t="s">
        <v>2703</v>
      </c>
      <c r="B118" s="850">
        <f>ROUND(0.7275-0.01*B113,4)</f>
        <v>0.71799999999999997</v>
      </c>
      <c r="C118" s="850">
        <f>B118</f>
        <v>0.71799999999999997</v>
      </c>
      <c r="D118" s="850">
        <f>ROUND(0.7043-0.012*B113,4)</f>
        <v>0.69289999999999996</v>
      </c>
      <c r="E118" s="850">
        <f>D118</f>
        <v>0.69289999999999996</v>
      </c>
      <c r="F118" s="850">
        <f>E118</f>
        <v>0.69289999999999996</v>
      </c>
      <c r="G118" s="850">
        <f>ROUND(0.6299-0.0122*B113,4)</f>
        <v>0.61829999999999996</v>
      </c>
      <c r="H118" s="850">
        <f>G118</f>
        <v>0.61829999999999996</v>
      </c>
      <c r="I118" s="850">
        <f>ROUND(0.5667-0.0136*B113,4)</f>
        <v>0.55379999999999996</v>
      </c>
      <c r="J118" s="850">
        <f t="shared" si="33"/>
        <v>0.55379999999999996</v>
      </c>
      <c r="K118" s="850">
        <f t="shared" si="33"/>
        <v>0.55379999999999996</v>
      </c>
      <c r="L118" s="850">
        <f t="shared" si="33"/>
        <v>0.55379999999999996</v>
      </c>
      <c r="M118" s="851">
        <f t="shared" si="33"/>
        <v>0.55379999999999996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9" t="s">
        <v>183</v>
      </c>
      <c r="B18" s="820" t="s">
        <v>560</v>
      </c>
      <c r="C18" s="821" t="s">
        <v>561</v>
      </c>
      <c r="D18" s="822"/>
      <c r="E18" s="820">
        <v>1</v>
      </c>
      <c r="F18" s="823" t="s">
        <v>562</v>
      </c>
      <c r="G18" s="824"/>
      <c r="H18" s="816"/>
      <c r="I18" s="816"/>
    </row>
    <row r="19" spans="1:9" s="825" customFormat="1" ht="19.5" customHeight="1">
      <c r="A19" s="3399"/>
      <c r="B19" s="3399" t="s">
        <v>563</v>
      </c>
      <c r="C19" s="821" t="s">
        <v>564</v>
      </c>
      <c r="D19" s="822"/>
      <c r="E19" s="820">
        <v>0.9</v>
      </c>
      <c r="F19" s="823" t="s">
        <v>565</v>
      </c>
      <c r="G19" s="824"/>
      <c r="H19" s="816"/>
      <c r="I19" s="816"/>
    </row>
    <row r="20" spans="1:9" s="825" customFormat="1" ht="19.5" customHeight="1">
      <c r="A20" s="3399"/>
      <c r="B20" s="3399"/>
      <c r="C20" s="821" t="s">
        <v>566</v>
      </c>
      <c r="D20" s="822"/>
      <c r="E20" s="820">
        <v>1.1000000000000001</v>
      </c>
      <c r="F20" s="823" t="s">
        <v>567</v>
      </c>
      <c r="G20" s="824"/>
      <c r="H20" s="816"/>
      <c r="I20" s="816"/>
    </row>
    <row r="21" spans="1:9" s="825" customFormat="1" ht="19.5" customHeight="1">
      <c r="A21" s="3399"/>
      <c r="B21" s="3399"/>
      <c r="C21" s="821" t="s">
        <v>568</v>
      </c>
      <c r="D21" s="822"/>
      <c r="E21" s="820">
        <v>0.8</v>
      </c>
      <c r="F21" s="823" t="s">
        <v>569</v>
      </c>
      <c r="G21" s="824"/>
      <c r="H21" s="816"/>
      <c r="I21" s="816"/>
    </row>
    <row r="22" spans="1:9" s="825" customFormat="1" ht="19.5" customHeight="1">
      <c r="A22" s="3399"/>
      <c r="B22" s="3399"/>
      <c r="C22" s="821" t="s">
        <v>570</v>
      </c>
      <c r="D22" s="822"/>
      <c r="E22" s="820">
        <v>0.5</v>
      </c>
      <c r="F22" s="823"/>
      <c r="G22" s="824"/>
      <c r="H22" s="816"/>
      <c r="I22" s="816"/>
    </row>
    <row r="23" spans="1:9" s="825" customFormat="1" ht="19.5" customHeight="1">
      <c r="A23" s="3399" t="s">
        <v>184</v>
      </c>
      <c r="B23" s="820" t="s">
        <v>560</v>
      </c>
      <c r="C23" s="821" t="s">
        <v>571</v>
      </c>
      <c r="D23" s="822"/>
      <c r="E23" s="820">
        <v>1</v>
      </c>
      <c r="F23" s="823" t="s">
        <v>572</v>
      </c>
      <c r="G23" s="824"/>
      <c r="H23" s="816"/>
      <c r="I23" s="816"/>
    </row>
    <row r="24" spans="1:9" s="825" customFormat="1" ht="19.5" customHeight="1">
      <c r="A24" s="3399"/>
      <c r="B24" s="3399" t="s">
        <v>563</v>
      </c>
      <c r="C24" s="821" t="s">
        <v>573</v>
      </c>
      <c r="D24" s="822"/>
      <c r="E24" s="820">
        <v>0.5</v>
      </c>
      <c r="F24" s="823"/>
      <c r="G24" s="824"/>
      <c r="H24" s="816"/>
      <c r="I24" s="816"/>
    </row>
    <row r="25" spans="1:9" s="825" customFormat="1" ht="19.5" customHeight="1">
      <c r="A25" s="3399"/>
      <c r="B25" s="3399"/>
      <c r="C25" s="821" t="s">
        <v>574</v>
      </c>
      <c r="D25" s="822"/>
      <c r="E25" s="820">
        <v>1.1000000000000001</v>
      </c>
      <c r="F25" s="823"/>
      <c r="G25" s="824"/>
      <c r="H25" s="816"/>
      <c r="I25" s="816"/>
    </row>
    <row r="26" spans="1:9" s="825" customFormat="1" ht="19.5" customHeight="1">
      <c r="A26" s="3399"/>
      <c r="B26" s="3399"/>
      <c r="C26" s="821" t="s">
        <v>575</v>
      </c>
      <c r="D26" s="822"/>
      <c r="E26" s="820">
        <v>1.1000000000000001</v>
      </c>
      <c r="F26" s="823"/>
      <c r="G26" s="824"/>
      <c r="H26" s="816"/>
      <c r="I26" s="816"/>
    </row>
    <row r="27" spans="1:9" s="825" customFormat="1" ht="19.5" customHeight="1">
      <c r="A27" s="3399"/>
      <c r="B27" s="3399"/>
      <c r="C27" s="821" t="s">
        <v>576</v>
      </c>
      <c r="D27" s="822"/>
      <c r="E27" s="820">
        <v>0.9</v>
      </c>
      <c r="F27" s="823" t="s">
        <v>577</v>
      </c>
      <c r="G27" s="824"/>
      <c r="H27" s="816"/>
      <c r="I27" s="816"/>
    </row>
    <row r="28" spans="1:9" s="825" customFormat="1" ht="19.5" customHeight="1">
      <c r="A28" s="3399"/>
      <c r="B28" s="3399"/>
      <c r="C28" s="821" t="s">
        <v>578</v>
      </c>
      <c r="D28" s="822"/>
      <c r="E28" s="820">
        <v>0.9</v>
      </c>
      <c r="F28" s="823" t="s">
        <v>579</v>
      </c>
      <c r="G28" s="824"/>
      <c r="H28" s="816"/>
      <c r="I28" s="816"/>
    </row>
    <row r="29" spans="1:9" s="825" customFormat="1" ht="19.5" customHeight="1">
      <c r="A29" s="3399"/>
      <c r="B29" s="3399"/>
      <c r="C29" s="821" t="s">
        <v>580</v>
      </c>
      <c r="D29" s="822"/>
      <c r="E29" s="820">
        <v>0.9</v>
      </c>
      <c r="F29" s="823" t="s">
        <v>581</v>
      </c>
      <c r="G29" s="824"/>
      <c r="H29" s="816"/>
      <c r="I29" s="816"/>
    </row>
    <row r="30" spans="1:9" s="825" customFormat="1" ht="19.5" customHeight="1">
      <c r="A30" s="3399"/>
      <c r="B30" s="3399"/>
      <c r="C30" s="821" t="s">
        <v>582</v>
      </c>
      <c r="D30" s="822"/>
      <c r="E30" s="820">
        <v>0.9</v>
      </c>
      <c r="F30" s="823" t="s">
        <v>583</v>
      </c>
      <c r="G30" s="824"/>
      <c r="H30" s="816"/>
      <c r="I30" s="816"/>
    </row>
    <row r="31" spans="1:9" s="825" customFormat="1" ht="19.5" customHeight="1">
      <c r="A31" s="3399"/>
      <c r="B31" s="3399"/>
      <c r="C31" s="821" t="s">
        <v>584</v>
      </c>
      <c r="D31" s="822"/>
      <c r="E31" s="820">
        <v>0.8</v>
      </c>
      <c r="F31" s="823" t="s">
        <v>585</v>
      </c>
      <c r="G31" s="824"/>
      <c r="H31" s="816"/>
      <c r="I31" s="816"/>
    </row>
    <row r="32" spans="1:9" s="825" customFormat="1" ht="19.5" customHeight="1">
      <c r="A32" s="3399"/>
      <c r="B32" s="3399"/>
      <c r="C32" s="821" t="s">
        <v>586</v>
      </c>
      <c r="D32" s="822"/>
      <c r="E32" s="820">
        <v>0.8</v>
      </c>
      <c r="F32" s="823" t="s">
        <v>587</v>
      </c>
      <c r="G32" s="824"/>
      <c r="H32" s="816"/>
      <c r="I32" s="816"/>
    </row>
    <row r="33" spans="1:9" s="825" customFormat="1" ht="19.5" customHeight="1">
      <c r="A33" s="3399" t="s">
        <v>185</v>
      </c>
      <c r="B33" s="820" t="s">
        <v>560</v>
      </c>
      <c r="C33" s="821" t="s">
        <v>588</v>
      </c>
      <c r="D33" s="822"/>
      <c r="E33" s="820">
        <v>1</v>
      </c>
      <c r="F33" s="823" t="s">
        <v>589</v>
      </c>
      <c r="G33" s="824"/>
      <c r="H33" s="816"/>
      <c r="I33" s="816"/>
    </row>
    <row r="34" spans="1:9" s="825" customFormat="1" ht="19.5" customHeight="1">
      <c r="A34" s="3399"/>
      <c r="B34" s="820" t="s">
        <v>563</v>
      </c>
      <c r="C34" s="821" t="s">
        <v>590</v>
      </c>
      <c r="D34" s="822"/>
      <c r="E34" s="820">
        <v>1.5</v>
      </c>
      <c r="F34" s="823" t="s">
        <v>591</v>
      </c>
      <c r="G34" s="824"/>
      <c r="H34" s="816"/>
      <c r="I34" s="816"/>
    </row>
    <row r="35" spans="1:9" s="825" customFormat="1" ht="19.5" customHeight="1">
      <c r="A35" s="3399" t="s">
        <v>186</v>
      </c>
      <c r="B35" s="820" t="s">
        <v>560</v>
      </c>
      <c r="C35" s="821" t="s">
        <v>592</v>
      </c>
      <c r="D35" s="822"/>
      <c r="E35" s="820">
        <v>1</v>
      </c>
      <c r="F35" s="823" t="s">
        <v>593</v>
      </c>
      <c r="G35" s="824"/>
      <c r="H35" s="816"/>
      <c r="I35" s="816"/>
    </row>
    <row r="36" spans="1:9" s="825" customFormat="1" ht="19.5" customHeight="1">
      <c r="A36" s="3399"/>
      <c r="B36" s="3399" t="s">
        <v>563</v>
      </c>
      <c r="C36" s="821" t="s">
        <v>594</v>
      </c>
      <c r="D36" s="822"/>
      <c r="E36" s="820">
        <v>1</v>
      </c>
      <c r="F36" s="823" t="s">
        <v>595</v>
      </c>
      <c r="G36" s="824"/>
      <c r="H36" s="816"/>
      <c r="I36" s="816"/>
    </row>
    <row r="37" spans="1:9" s="825" customFormat="1" ht="19.5" customHeight="1">
      <c r="A37" s="3399"/>
      <c r="B37" s="3399"/>
      <c r="C37" s="821" t="s">
        <v>596</v>
      </c>
      <c r="D37" s="822"/>
      <c r="E37" s="820">
        <v>1.5</v>
      </c>
      <c r="F37" s="823" t="s">
        <v>597</v>
      </c>
      <c r="G37" s="824"/>
      <c r="H37" s="816"/>
      <c r="I37" s="816"/>
    </row>
    <row r="38" spans="1:9" s="825" customFormat="1" ht="19.5" customHeight="1">
      <c r="A38" s="3399"/>
      <c r="B38" s="3399"/>
      <c r="C38" s="821" t="s">
        <v>598</v>
      </c>
      <c r="D38" s="822"/>
      <c r="E38" s="820">
        <v>1</v>
      </c>
      <c r="F38" s="823" t="s">
        <v>599</v>
      </c>
      <c r="G38" s="824"/>
      <c r="H38" s="816"/>
      <c r="I38" s="816"/>
    </row>
    <row r="39" spans="1:9" s="825" customFormat="1" ht="19.5" customHeight="1">
      <c r="A39" s="3399"/>
      <c r="B39" s="339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9" t="s">
        <v>614</v>
      </c>
      <c r="C61" s="756" t="s">
        <v>615</v>
      </c>
      <c r="D61" s="756" t="s">
        <v>616</v>
      </c>
      <c r="E61" s="833">
        <v>0.5</v>
      </c>
      <c r="F61" s="820">
        <v>80</v>
      </c>
    </row>
    <row r="62" spans="1:8" s="816" customFormat="1" ht="24">
      <c r="A62" s="820">
        <v>2</v>
      </c>
      <c r="B62" s="3399"/>
      <c r="C62" s="756" t="s">
        <v>617</v>
      </c>
      <c r="D62" s="756" t="s">
        <v>618</v>
      </c>
      <c r="E62" s="833">
        <v>0.5</v>
      </c>
      <c r="F62" s="820">
        <v>80</v>
      </c>
    </row>
    <row r="63" spans="1:8" s="816" customFormat="1" ht="36">
      <c r="A63" s="820">
        <v>3</v>
      </c>
      <c r="B63" s="3399"/>
      <c r="C63" s="756" t="s">
        <v>619</v>
      </c>
      <c r="D63" s="756" t="s">
        <v>620</v>
      </c>
      <c r="E63" s="833">
        <v>0.5</v>
      </c>
      <c r="F63" s="820">
        <v>80</v>
      </c>
    </row>
    <row r="64" spans="1:8" s="816" customFormat="1" ht="36">
      <c r="A64" s="820">
        <v>4</v>
      </c>
      <c r="B64" s="3399"/>
      <c r="C64" s="756" t="s">
        <v>621</v>
      </c>
      <c r="D64" s="756" t="s">
        <v>622</v>
      </c>
      <c r="E64" s="833">
        <v>0.4</v>
      </c>
      <c r="F64" s="820">
        <v>60</v>
      </c>
    </row>
    <row r="65" spans="1:6" s="816" customFormat="1" ht="36">
      <c r="A65" s="820">
        <v>5</v>
      </c>
      <c r="B65" s="3399"/>
      <c r="C65" s="756" t="s">
        <v>623</v>
      </c>
      <c r="D65" s="756" t="s">
        <v>624</v>
      </c>
      <c r="E65" s="833">
        <v>0.2</v>
      </c>
      <c r="F65" s="820">
        <v>30</v>
      </c>
    </row>
    <row r="66" spans="1:6" s="816" customFormat="1" ht="36">
      <c r="A66" s="820">
        <v>6</v>
      </c>
      <c r="B66" s="3399"/>
      <c r="C66" s="756" t="s">
        <v>625</v>
      </c>
      <c r="D66" s="756" t="s">
        <v>626</v>
      </c>
      <c r="E66" s="833">
        <v>0.3</v>
      </c>
      <c r="F66" s="820">
        <v>50</v>
      </c>
    </row>
    <row r="67" spans="1:6" s="816" customFormat="1" ht="36">
      <c r="A67" s="820">
        <v>7</v>
      </c>
      <c r="B67" s="3399"/>
      <c r="C67" s="756" t="s">
        <v>627</v>
      </c>
      <c r="D67" s="756" t="s">
        <v>628</v>
      </c>
      <c r="E67" s="833">
        <v>0.2</v>
      </c>
      <c r="F67" s="820">
        <v>30</v>
      </c>
    </row>
    <row r="68" spans="1:6" s="816" customFormat="1" ht="36">
      <c r="A68" s="820">
        <v>8</v>
      </c>
      <c r="B68" s="3399"/>
      <c r="C68" s="756" t="s">
        <v>629</v>
      </c>
      <c r="D68" s="756" t="s">
        <v>630</v>
      </c>
      <c r="E68" s="833">
        <v>0.2</v>
      </c>
      <c r="F68" s="820">
        <v>30</v>
      </c>
    </row>
    <row r="69" spans="1:6" s="816" customFormat="1" ht="36">
      <c r="A69" s="820">
        <v>9</v>
      </c>
      <c r="B69" s="3399"/>
      <c r="C69" s="756" t="s">
        <v>631</v>
      </c>
      <c r="D69" s="756" t="s">
        <v>632</v>
      </c>
      <c r="E69" s="833">
        <v>0.2</v>
      </c>
      <c r="F69" s="820">
        <v>30</v>
      </c>
    </row>
    <row r="70" spans="1:6" s="816" customFormat="1" ht="48">
      <c r="A70" s="820">
        <v>10</v>
      </c>
      <c r="B70" s="3399"/>
      <c r="C70" s="756" t="s">
        <v>633</v>
      </c>
      <c r="D70" s="756" t="s">
        <v>634</v>
      </c>
      <c r="E70" s="833">
        <v>0.2</v>
      </c>
      <c r="F70" s="820">
        <v>30</v>
      </c>
    </row>
    <row r="71" spans="1:6" s="816" customFormat="1" ht="48">
      <c r="A71" s="820">
        <v>11</v>
      </c>
      <c r="B71" s="3399"/>
      <c r="C71" s="756" t="s">
        <v>635</v>
      </c>
      <c r="D71" s="756" t="s">
        <v>636</v>
      </c>
      <c r="E71" s="833">
        <v>0.2</v>
      </c>
      <c r="F71" s="820">
        <v>30</v>
      </c>
    </row>
    <row r="72" spans="1:6" s="816" customFormat="1" ht="36">
      <c r="A72" s="820">
        <v>12</v>
      </c>
      <c r="B72" s="3399"/>
      <c r="C72" s="756" t="s">
        <v>637</v>
      </c>
      <c r="D72" s="756" t="s">
        <v>638</v>
      </c>
      <c r="E72" s="833">
        <v>0.5</v>
      </c>
      <c r="F72" s="820">
        <v>80</v>
      </c>
    </row>
    <row r="73" spans="1:6" s="816" customFormat="1" ht="24">
      <c r="A73" s="820">
        <v>13</v>
      </c>
      <c r="B73" s="3399"/>
      <c r="C73" s="756" t="s">
        <v>639</v>
      </c>
      <c r="D73" s="756" t="s">
        <v>640</v>
      </c>
      <c r="E73" s="833">
        <v>0.4</v>
      </c>
      <c r="F73" s="820">
        <v>60</v>
      </c>
    </row>
    <row r="74" spans="1:6" s="816" customFormat="1" ht="24">
      <c r="A74" s="820">
        <v>14</v>
      </c>
      <c r="B74" s="3399"/>
      <c r="C74" s="756" t="s">
        <v>641</v>
      </c>
      <c r="D74" s="756" t="s">
        <v>642</v>
      </c>
      <c r="E74" s="833">
        <v>0.2</v>
      </c>
      <c r="F74" s="820">
        <v>30</v>
      </c>
    </row>
    <row r="75" spans="1:6" s="816" customFormat="1" ht="24">
      <c r="A75" s="820">
        <v>15</v>
      </c>
      <c r="B75" s="3399"/>
      <c r="C75" s="756" t="s">
        <v>643</v>
      </c>
      <c r="D75" s="756" t="s">
        <v>644</v>
      </c>
      <c r="E75" s="833">
        <v>0.2</v>
      </c>
      <c r="F75" s="820">
        <v>30</v>
      </c>
    </row>
    <row r="76" spans="1:6" s="816" customFormat="1" ht="24">
      <c r="A76" s="820">
        <v>16</v>
      </c>
      <c r="B76" s="3399" t="s">
        <v>645</v>
      </c>
      <c r="C76" s="756" t="s">
        <v>646</v>
      </c>
      <c r="D76" s="756" t="s">
        <v>647</v>
      </c>
      <c r="E76" s="833">
        <v>0.5</v>
      </c>
      <c r="F76" s="820">
        <v>80</v>
      </c>
    </row>
    <row r="77" spans="1:6" s="816" customFormat="1" ht="24">
      <c r="A77" s="820">
        <v>17</v>
      </c>
      <c r="B77" s="3399"/>
      <c r="C77" s="756" t="s">
        <v>648</v>
      </c>
      <c r="D77" s="756" t="s">
        <v>649</v>
      </c>
      <c r="E77" s="833">
        <v>0.5</v>
      </c>
      <c r="F77" s="820">
        <v>80</v>
      </c>
    </row>
    <row r="78" spans="1:6" s="816" customFormat="1" ht="24">
      <c r="A78" s="820">
        <v>18</v>
      </c>
      <c r="B78" s="3399"/>
      <c r="C78" s="756" t="s">
        <v>650</v>
      </c>
      <c r="D78" s="756" t="s">
        <v>651</v>
      </c>
      <c r="E78" s="833">
        <v>0.2</v>
      </c>
      <c r="F78" s="820">
        <v>30</v>
      </c>
    </row>
    <row r="79" spans="1:6" s="816" customFormat="1" ht="24">
      <c r="A79" s="820">
        <v>19</v>
      </c>
      <c r="B79" s="3399"/>
      <c r="C79" s="756" t="s">
        <v>652</v>
      </c>
      <c r="D79" s="756" t="s">
        <v>653</v>
      </c>
      <c r="E79" s="833">
        <v>0.5</v>
      </c>
      <c r="F79" s="820">
        <v>80</v>
      </c>
    </row>
    <row r="80" spans="1:6" s="816" customFormat="1" ht="36">
      <c r="A80" s="820">
        <v>20</v>
      </c>
      <c r="B80" s="3399"/>
      <c r="C80" s="756" t="s">
        <v>654</v>
      </c>
      <c r="D80" s="756" t="s">
        <v>655</v>
      </c>
      <c r="E80" s="833">
        <v>0.2</v>
      </c>
      <c r="F80" s="820">
        <v>30</v>
      </c>
    </row>
    <row r="81" spans="1:6" s="816" customFormat="1" ht="36">
      <c r="A81" s="820">
        <v>21</v>
      </c>
      <c r="B81" s="3399"/>
      <c r="C81" s="756" t="s">
        <v>656</v>
      </c>
      <c r="D81" s="756" t="s">
        <v>657</v>
      </c>
      <c r="E81" s="833">
        <v>0.2</v>
      </c>
      <c r="F81" s="820">
        <v>30</v>
      </c>
    </row>
    <row r="82" spans="1:6" s="816" customFormat="1" ht="48">
      <c r="A82" s="820">
        <v>22</v>
      </c>
      <c r="B82" s="3399"/>
      <c r="C82" s="756" t="s">
        <v>658</v>
      </c>
      <c r="D82" s="756" t="s">
        <v>659</v>
      </c>
      <c r="E82" s="833">
        <v>0.2</v>
      </c>
      <c r="F82" s="820">
        <v>30</v>
      </c>
    </row>
    <row r="83" spans="1:6" s="816" customFormat="1" ht="48">
      <c r="A83" s="820">
        <v>23</v>
      </c>
      <c r="B83" s="3399"/>
      <c r="C83" s="756" t="s">
        <v>660</v>
      </c>
      <c r="D83" s="756" t="s">
        <v>661</v>
      </c>
      <c r="E83" s="833">
        <v>0.2</v>
      </c>
      <c r="F83" s="820">
        <v>30</v>
      </c>
    </row>
    <row r="84" spans="1:6" s="816" customFormat="1" ht="36">
      <c r="A84" s="820">
        <v>24</v>
      </c>
      <c r="B84" s="3399"/>
      <c r="C84" s="756" t="s">
        <v>662</v>
      </c>
      <c r="D84" s="756" t="s">
        <v>663</v>
      </c>
      <c r="E84" s="833">
        <v>0.2</v>
      </c>
      <c r="F84" s="820">
        <v>30</v>
      </c>
    </row>
    <row r="85" spans="1:6" s="816" customFormat="1" ht="36">
      <c r="A85" s="820">
        <v>25</v>
      </c>
      <c r="B85" s="3399"/>
      <c r="C85" s="756" t="s">
        <v>664</v>
      </c>
      <c r="D85" s="756" t="s">
        <v>665</v>
      </c>
      <c r="E85" s="833">
        <v>0.5</v>
      </c>
      <c r="F85" s="820">
        <v>80</v>
      </c>
    </row>
    <row r="86" spans="1:6" s="816" customFormat="1" ht="36">
      <c r="A86" s="820">
        <v>26</v>
      </c>
      <c r="B86" s="3399"/>
      <c r="C86" s="756" t="s">
        <v>666</v>
      </c>
      <c r="D86" s="756" t="s">
        <v>667</v>
      </c>
      <c r="E86" s="833">
        <v>0.2</v>
      </c>
      <c r="F86" s="820">
        <v>30</v>
      </c>
    </row>
    <row r="87" spans="1:6" s="816" customFormat="1" ht="36">
      <c r="A87" s="820">
        <v>27</v>
      </c>
      <c r="B87" s="3399"/>
      <c r="C87" s="756" t="s">
        <v>668</v>
      </c>
      <c r="D87" s="756" t="s">
        <v>669</v>
      </c>
      <c r="E87" s="833">
        <v>0.2</v>
      </c>
      <c r="F87" s="820">
        <v>30</v>
      </c>
    </row>
    <row r="88" spans="1:6" s="816" customFormat="1" ht="36">
      <c r="A88" s="820">
        <v>28</v>
      </c>
      <c r="B88" s="3399"/>
      <c r="C88" s="756" t="s">
        <v>670</v>
      </c>
      <c r="D88" s="756" t="s">
        <v>671</v>
      </c>
      <c r="E88" s="833">
        <v>0.2</v>
      </c>
      <c r="F88" s="820">
        <v>30</v>
      </c>
    </row>
    <row r="89" spans="1:6" s="816" customFormat="1" ht="24">
      <c r="A89" s="820">
        <v>29</v>
      </c>
      <c r="B89" s="3399"/>
      <c r="C89" s="756" t="s">
        <v>672</v>
      </c>
      <c r="D89" s="756" t="s">
        <v>673</v>
      </c>
      <c r="E89" s="833">
        <v>0.2</v>
      </c>
      <c r="F89" s="820">
        <v>30</v>
      </c>
    </row>
    <row r="90" spans="1:6" s="816" customFormat="1" ht="24">
      <c r="A90" s="820">
        <v>30</v>
      </c>
      <c r="B90" s="3399"/>
      <c r="C90" s="756" t="s">
        <v>674</v>
      </c>
      <c r="D90" s="756" t="s">
        <v>675</v>
      </c>
      <c r="E90" s="833">
        <v>0.2</v>
      </c>
      <c r="F90" s="820">
        <v>30</v>
      </c>
    </row>
    <row r="91" spans="1:6" s="816" customFormat="1" ht="36">
      <c r="A91" s="820">
        <v>31</v>
      </c>
      <c r="B91" s="3399"/>
      <c r="C91" s="756" t="s">
        <v>676</v>
      </c>
      <c r="D91" s="756" t="s">
        <v>677</v>
      </c>
      <c r="E91" s="833">
        <v>0.2</v>
      </c>
      <c r="F91" s="820">
        <v>30</v>
      </c>
    </row>
    <row r="92" spans="1:6" s="816" customFormat="1" ht="24">
      <c r="A92" s="820">
        <v>32</v>
      </c>
      <c r="B92" s="3399" t="s">
        <v>678</v>
      </c>
      <c r="C92" s="820" t="s">
        <v>679</v>
      </c>
      <c r="D92" s="756" t="s">
        <v>680</v>
      </c>
      <c r="E92" s="833">
        <v>0.2</v>
      </c>
      <c r="F92" s="820">
        <v>30</v>
      </c>
    </row>
    <row r="93" spans="1:6" s="816" customFormat="1" ht="36">
      <c r="A93" s="820">
        <v>33</v>
      </c>
      <c r="B93" s="3399"/>
      <c r="C93" s="820" t="s">
        <v>681</v>
      </c>
      <c r="D93" s="756" t="s">
        <v>682</v>
      </c>
      <c r="E93" s="833">
        <v>0.2</v>
      </c>
      <c r="F93" s="820">
        <v>30</v>
      </c>
    </row>
    <row r="94" spans="1:6" s="816" customFormat="1" ht="48">
      <c r="A94" s="820">
        <v>34</v>
      </c>
      <c r="B94" s="3399"/>
      <c r="C94" s="820" t="s">
        <v>683</v>
      </c>
      <c r="D94" s="756" t="s">
        <v>684</v>
      </c>
      <c r="E94" s="833">
        <v>0.2</v>
      </c>
      <c r="F94" s="820">
        <v>30</v>
      </c>
    </row>
    <row r="95" spans="1:6" s="816" customFormat="1" ht="36">
      <c r="A95" s="820">
        <v>35</v>
      </c>
      <c r="B95" s="3399"/>
      <c r="C95" s="820" t="s">
        <v>685</v>
      </c>
      <c r="D95" s="756" t="s">
        <v>686</v>
      </c>
      <c r="E95" s="833">
        <v>0.2</v>
      </c>
      <c r="F95" s="820">
        <v>30</v>
      </c>
    </row>
    <row r="96" spans="1:6" s="816" customFormat="1" ht="48">
      <c r="A96" s="820">
        <v>36</v>
      </c>
      <c r="B96" s="3399"/>
      <c r="C96" s="756" t="s">
        <v>687</v>
      </c>
      <c r="D96" s="756" t="s">
        <v>688</v>
      </c>
      <c r="E96" s="833">
        <v>0.2</v>
      </c>
      <c r="F96" s="820">
        <v>30</v>
      </c>
    </row>
    <row r="97" spans="1:6" s="816" customFormat="1" ht="36">
      <c r="A97" s="820">
        <v>37</v>
      </c>
      <c r="B97" s="3399"/>
      <c r="C97" s="820" t="s">
        <v>689</v>
      </c>
      <c r="D97" s="756" t="s">
        <v>690</v>
      </c>
      <c r="E97" s="833">
        <v>0.2</v>
      </c>
      <c r="F97" s="820">
        <v>30</v>
      </c>
    </row>
    <row r="98" spans="1:6" s="816" customFormat="1" ht="36">
      <c r="A98" s="820">
        <v>38</v>
      </c>
      <c r="B98" s="3399"/>
      <c r="C98" s="820" t="s">
        <v>691</v>
      </c>
      <c r="D98" s="756" t="s">
        <v>692</v>
      </c>
      <c r="E98" s="833">
        <v>0.2</v>
      </c>
      <c r="F98" s="820">
        <v>30</v>
      </c>
    </row>
    <row r="99" spans="1:6" s="816" customFormat="1" ht="36">
      <c r="A99" s="820">
        <v>39</v>
      </c>
      <c r="B99" s="3399" t="s">
        <v>693</v>
      </c>
      <c r="C99" s="820" t="s">
        <v>694</v>
      </c>
      <c r="D99" s="756" t="s">
        <v>695</v>
      </c>
      <c r="E99" s="833">
        <v>0.3</v>
      </c>
      <c r="F99" s="820">
        <v>50</v>
      </c>
    </row>
    <row r="100" spans="1:6" s="816" customFormat="1" ht="24">
      <c r="A100" s="820">
        <v>40</v>
      </c>
      <c r="B100" s="3399"/>
      <c r="C100" s="820" t="s">
        <v>696</v>
      </c>
      <c r="D100" s="756" t="s">
        <v>697</v>
      </c>
      <c r="E100" s="833">
        <v>0.2</v>
      </c>
      <c r="F100" s="820">
        <v>30</v>
      </c>
    </row>
    <row r="101" spans="1:6" s="816" customFormat="1" ht="36">
      <c r="A101" s="820">
        <v>41</v>
      </c>
      <c r="B101" s="339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9" t="s">
        <v>708</v>
      </c>
      <c r="C105" s="820" t="s">
        <v>709</v>
      </c>
      <c r="D105" s="756" t="s">
        <v>710</v>
      </c>
      <c r="E105" s="833">
        <v>0.2</v>
      </c>
      <c r="F105" s="820">
        <v>30</v>
      </c>
    </row>
    <row r="106" spans="1:6" s="816" customFormat="1" ht="36">
      <c r="A106" s="820">
        <v>46</v>
      </c>
      <c r="B106" s="3399"/>
      <c r="C106" s="820" t="s">
        <v>711</v>
      </c>
      <c r="D106" s="756" t="s">
        <v>712</v>
      </c>
      <c r="E106" s="833">
        <v>0.2</v>
      </c>
      <c r="F106" s="820">
        <v>30</v>
      </c>
    </row>
    <row r="107" spans="1:6" s="816" customFormat="1" ht="36">
      <c r="A107" s="820">
        <v>47</v>
      </c>
      <c r="B107" s="3399" t="s">
        <v>713</v>
      </c>
      <c r="C107" s="820" t="s">
        <v>714</v>
      </c>
      <c r="D107" s="756" t="s">
        <v>715</v>
      </c>
      <c r="E107" s="833">
        <v>0.3</v>
      </c>
      <c r="F107" s="820">
        <v>50</v>
      </c>
    </row>
    <row r="108" spans="1:6" s="816" customFormat="1" ht="36">
      <c r="A108" s="820">
        <v>48</v>
      </c>
      <c r="B108" s="339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9" t="s">
        <v>724</v>
      </c>
      <c r="C111" s="820" t="s">
        <v>725</v>
      </c>
      <c r="D111" s="756" t="s">
        <v>726</v>
      </c>
      <c r="E111" s="833">
        <v>0.2</v>
      </c>
      <c r="F111" s="820">
        <v>30</v>
      </c>
    </row>
    <row r="112" spans="1:6" s="816" customFormat="1" ht="24">
      <c r="A112" s="820">
        <v>52</v>
      </c>
      <c r="B112" s="3399"/>
      <c r="C112" s="820" t="s">
        <v>727</v>
      </c>
      <c r="D112" s="756" t="s">
        <v>728</v>
      </c>
      <c r="E112" s="833">
        <v>0.2</v>
      </c>
      <c r="F112" s="820">
        <v>30</v>
      </c>
    </row>
    <row r="113" spans="1:6" s="816" customFormat="1" ht="24">
      <c r="A113" s="820">
        <v>53</v>
      </c>
      <c r="B113" s="339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9" t="s">
        <v>737</v>
      </c>
      <c r="C116" s="820" t="s">
        <v>738</v>
      </c>
      <c r="D116" s="756" t="s">
        <v>739</v>
      </c>
      <c r="E116" s="833">
        <v>0.2</v>
      </c>
      <c r="F116" s="820">
        <v>30</v>
      </c>
    </row>
    <row r="117" spans="1:6" ht="36">
      <c r="A117" s="820">
        <v>57</v>
      </c>
      <c r="B117" s="339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5" t="s">
        <v>1117</v>
      </c>
      <c r="C1" s="3405"/>
      <c r="D1" s="3405"/>
      <c r="E1" s="3405"/>
      <c r="F1" s="3405"/>
      <c r="G1" s="3401" t="s">
        <v>1118</v>
      </c>
      <c r="H1" s="3401"/>
      <c r="I1" s="3401"/>
      <c r="J1" s="3401"/>
      <c r="K1" s="3401"/>
      <c r="L1" s="3401"/>
      <c r="N1" s="3401" t="s">
        <v>1119</v>
      </c>
      <c r="O1" s="3401"/>
      <c r="P1" s="3401"/>
      <c r="Q1" s="3401"/>
      <c r="S1" s="3401" t="s">
        <v>1120</v>
      </c>
      <c r="T1" s="3401"/>
      <c r="U1" s="3401"/>
      <c r="V1" s="3401"/>
      <c r="X1" s="3400" t="s">
        <v>1121</v>
      </c>
      <c r="Y1" s="3401"/>
      <c r="Z1" s="3401"/>
      <c r="AA1" s="3401"/>
      <c r="AB1" s="3401"/>
      <c r="AD1" s="3400" t="s">
        <v>1122</v>
      </c>
      <c r="AE1" s="3401"/>
      <c r="AF1" s="3401"/>
      <c r="AG1" s="3401"/>
      <c r="AH1" s="340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2856</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3064</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2857</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3063</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3062</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3060</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3059</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2873</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2871</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2870</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2869</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2867</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2865</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2868</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3">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2863</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3"/>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2862</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3"/>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2855</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10"/>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2853</v>
      </c>
      <c r="B20" s="2436">
        <v>439</v>
      </c>
      <c r="C20" s="2436">
        <v>327</v>
      </c>
      <c r="D20" s="2436">
        <f>C20</f>
        <v>327</v>
      </c>
      <c r="E20" s="2436">
        <v>627</v>
      </c>
      <c r="F20" s="2437">
        <v>283</v>
      </c>
      <c r="G20" s="3406">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2854</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3"/>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3"/>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10"/>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6">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3"/>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3"/>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4"/>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2">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3"/>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3"/>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4"/>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2">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3"/>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3"/>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4"/>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07">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08"/>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08"/>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09"/>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2">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3"/>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3"/>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4"/>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2">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3">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3">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4">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2">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3">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3">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4">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2">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3">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3">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4">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2">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3">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3">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4">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2">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3">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3">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4">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2">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3">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3">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4">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2">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3">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3">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4">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2">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3">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3">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4">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2">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3">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3">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4">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2">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3">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3">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4">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估价结果一览表（市场价值不需“结果表-1”）</v>
      </c>
      <c r="B3" s="3088"/>
      <c r="C3" s="3088"/>
      <c r="D3" s="3088"/>
      <c r="E3" s="3088"/>
    </row>
    <row r="4" spans="1:5" ht="19.5" thickBot="1">
      <c r="A4" s="1676"/>
      <c r="B4" s="3086" t="s">
        <v>1595</v>
      </c>
      <c r="C4" s="3086"/>
      <c r="D4" s="3086"/>
      <c r="E4" s="1676"/>
    </row>
    <row r="5" spans="1:5" ht="16.5" thickTop="1">
      <c r="A5" s="1674"/>
      <c r="B5" s="3084" t="s">
        <v>1587</v>
      </c>
      <c r="C5" s="1677" t="s">
        <v>1588</v>
      </c>
      <c r="D5" s="958">
        <f ca="1">结果表!H101</f>
        <v>10381</v>
      </c>
      <c r="E5" s="1674"/>
    </row>
    <row r="6" spans="1:5" ht="15.75">
      <c r="A6" s="1674"/>
      <c r="B6" s="3084"/>
      <c r="C6" s="1677" t="s">
        <v>1589</v>
      </c>
      <c r="D6" s="958" t="str">
        <f ca="1">NUMBERSTRING(INT(D5*10000),2)&amp;"元整"</f>
        <v>壹亿零叁佰捌拾壹万元整</v>
      </c>
      <c r="E6" s="1674"/>
    </row>
    <row r="7" spans="1:5" ht="15.75">
      <c r="A7" s="1674"/>
      <c r="B7" s="3089"/>
      <c r="C7" s="1678" t="s">
        <v>1590</v>
      </c>
      <c r="D7" s="959">
        <f ca="1">结果表!H102</f>
        <v>5983</v>
      </c>
      <c r="E7" s="1674"/>
    </row>
    <row r="8" spans="1:5" ht="15.75">
      <c r="A8" s="1674"/>
      <c r="B8" s="3090" t="str">
        <f>结果表!E103</f>
        <v>2.估价师知悉的法定优先受偿款</v>
      </c>
      <c r="C8" s="1679" t="s">
        <v>1591</v>
      </c>
      <c r="D8" s="959">
        <f>结果表!H103</f>
        <v>0</v>
      </c>
      <c r="E8" s="1674"/>
    </row>
    <row r="9" spans="1:5" ht="15.75">
      <c r="A9" s="1674"/>
      <c r="B9" s="3092"/>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3" t="str">
        <f>结果表!E107</f>
        <v>3.房地产抵押价值</v>
      </c>
      <c r="C13" s="1682" t="s">
        <v>1588</v>
      </c>
      <c r="D13" s="961">
        <f ca="1">结果表!H107</f>
        <v>10381</v>
      </c>
      <c r="E13" s="1674"/>
    </row>
    <row r="14" spans="1:5" ht="15.75">
      <c r="A14" s="1674"/>
      <c r="B14" s="3084"/>
      <c r="C14" s="1677" t="s">
        <v>1589</v>
      </c>
      <c r="D14" s="958" t="str">
        <f ca="1">NUMBERSTRING(INT(D13*10000),2)&amp;"元整"</f>
        <v>壹亿零叁佰捌拾壹万元整</v>
      </c>
      <c r="E14" s="1674"/>
    </row>
    <row r="15" spans="1:5" ht="15">
      <c r="A15" s="1674"/>
      <c r="B15" s="3089"/>
      <c r="C15" s="1678" t="s">
        <v>1599</v>
      </c>
      <c r="D15" s="967">
        <f ca="1">结果表!H108</f>
        <v>5983</v>
      </c>
      <c r="E15" s="1674"/>
    </row>
    <row r="16" spans="1:5" ht="15">
      <c r="A16" s="1674"/>
      <c r="B16" s="3090" t="str">
        <f>结果表!E109</f>
        <v>——</v>
      </c>
      <c r="C16" s="1682" t="s">
        <v>1600</v>
      </c>
      <c r="D16" s="1683" t="str">
        <f>结果表!H109</f>
        <v>——</v>
      </c>
      <c r="E16" s="1674"/>
    </row>
    <row r="17" spans="1:5" ht="15.75">
      <c r="A17" s="1674"/>
      <c r="B17" s="3091"/>
      <c r="C17" s="1677" t="s">
        <v>1601</v>
      </c>
      <c r="D17" s="958" t="e">
        <f>NUMBERSTRING(INT(D16*10000),2)&amp;"元整"</f>
        <v>#VALUE!</v>
      </c>
      <c r="E17" s="1674"/>
    </row>
    <row r="18" spans="1:5" ht="15">
      <c r="A18" s="1674"/>
      <c r="B18" s="3092"/>
      <c r="C18" s="1678" t="s">
        <v>1590</v>
      </c>
      <c r="D18" s="967" t="str">
        <f>结果表!H110</f>
        <v>——</v>
      </c>
      <c r="E18" s="1674"/>
    </row>
    <row r="19" spans="1:5" ht="15.75">
      <c r="A19" s="1674"/>
      <c r="B19" s="3083" t="str">
        <f>结果表!E111</f>
        <v>——</v>
      </c>
      <c r="C19" s="1682" t="s">
        <v>1588</v>
      </c>
      <c r="D19" s="959" t="str">
        <f>结果表!H111</f>
        <v>——</v>
      </c>
      <c r="E19" s="1674"/>
    </row>
    <row r="20" spans="1:5" ht="15.75">
      <c r="A20" s="1674"/>
      <c r="B20" s="3084"/>
      <c r="C20" s="1677" t="s">
        <v>1601</v>
      </c>
      <c r="D20" s="958" t="e">
        <f>NUMBERSTRING(INT(D19*10000),2)&amp;"元整"</f>
        <v>#VALUE!</v>
      </c>
      <c r="E20" s="1674"/>
    </row>
    <row r="21" spans="1:5" ht="15.75" thickBot="1">
      <c r="A21" s="1674"/>
      <c r="B21" s="3085"/>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14" t="s">
        <v>2826</v>
      </c>
      <c r="D1" s="3415"/>
      <c r="E1" s="3415"/>
      <c r="F1" s="3415"/>
      <c r="G1" s="3415"/>
      <c r="H1" s="3415"/>
      <c r="I1" s="3415"/>
      <c r="J1" s="3415"/>
      <c r="K1" s="3415"/>
      <c r="L1" s="3415"/>
      <c r="M1" s="3415"/>
      <c r="N1" s="3415"/>
      <c r="O1" s="3415"/>
      <c r="P1" s="3415"/>
      <c r="Q1" s="3415"/>
      <c r="R1" s="3415"/>
      <c r="S1" s="3416"/>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2835</v>
      </c>
      <c r="B17" s="2363"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2837</v>
      </c>
      <c r="E19" s="1522"/>
      <c r="F19" s="1522"/>
      <c r="G19" s="1522"/>
      <c r="H19" s="1189"/>
      <c r="I19" s="163"/>
      <c r="J19" s="163"/>
      <c r="K19" s="163"/>
      <c r="L19" s="163"/>
      <c r="M19" s="163"/>
      <c r="N19" s="163"/>
      <c r="O19" s="163"/>
      <c r="P19" s="163"/>
      <c r="Q19" s="163"/>
      <c r="R19" s="726"/>
      <c r="S19" s="133"/>
    </row>
    <row r="20" spans="1:45" ht="16.5" thickBot="1">
      <c r="A20" s="670" t="s">
        <v>2838</v>
      </c>
      <c r="B20" s="299" t="e">
        <f ca="1">IF(D20="——",S22,S22-F20)</f>
        <v>#REF!</v>
      </c>
      <c r="C20" s="163"/>
      <c r="D20" s="2365"/>
      <c r="E20" s="1523"/>
      <c r="F20" s="1113" t="e">
        <f ca="1">SUMIF(INDIRECT("'"&amp;H20&amp;"'"&amp;"!A:A"),"承租人权益价值",INDIRECT("'"&amp;H20&amp;"'"&amp;"!c:c"))</f>
        <v>#REF!</v>
      </c>
      <c r="G20" s="1113" t="s">
        <v>2839</v>
      </c>
      <c r="H20" s="2366"/>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11" t="s">
        <v>33</v>
      </c>
      <c r="D22" s="3412"/>
      <c r="E22" s="3412"/>
      <c r="F22" s="3412"/>
      <c r="G22" s="3412"/>
      <c r="H22" s="3412"/>
      <c r="I22" s="3412"/>
      <c r="J22" s="3412"/>
      <c r="K22" s="3412"/>
      <c r="L22" s="3412"/>
      <c r="M22" s="3412"/>
      <c r="N22" s="3412"/>
      <c r="O22" s="3412"/>
      <c r="P22" s="3412"/>
      <c r="Q22" s="3413"/>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30436</v>
      </c>
      <c r="C2" s="2" t="s">
        <v>133</v>
      </c>
      <c r="D2" s="204"/>
      <c r="E2" s="204"/>
      <c r="F2" s="204"/>
      <c r="G2" s="204"/>
    </row>
    <row r="3" spans="1:7" s="205" customFormat="1" ht="18" customHeight="1" thickBot="1">
      <c r="A3" s="208" t="s">
        <v>85</v>
      </c>
      <c r="B3" s="209">
        <f ca="1">ROUND(B2*10000/'数据-汇总表'!E3,0)</f>
        <v>17543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295</v>
      </c>
      <c r="D10" s="953">
        <f>'数据-汇总表'!E6</f>
        <v>17349.86</v>
      </c>
      <c r="E10" s="230">
        <f>'数据-取费表'!B28</f>
        <v>170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347</v>
      </c>
      <c r="D19" s="957">
        <f>'数据-汇总表'!E3</f>
        <v>17349.86</v>
      </c>
      <c r="E19" s="216">
        <f>'数据-取费表'!B31</f>
        <v>200</v>
      </c>
      <c r="F19" s="236"/>
      <c r="G19" s="1" t="s">
        <v>1042</v>
      </c>
    </row>
    <row r="20" spans="1:7" s="219" customFormat="1" ht="13.5" customHeight="1">
      <c r="A20" s="884" t="s">
        <v>1025</v>
      </c>
      <c r="B20" s="215" t="s">
        <v>104</v>
      </c>
      <c r="C20" s="237">
        <f>ROUND((C5+C19)*F20,0)</f>
        <v>210</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63">
        <f ca="1">ROUND(SUM(C23:C25),0)</f>
        <v>917</v>
      </c>
      <c r="D22" s="240">
        <f ca="1">C26</f>
        <v>2.0000000000000001E-4</v>
      </c>
      <c r="E22" s="241" t="s">
        <v>126</v>
      </c>
      <c r="F22" s="242">
        <f ca="1">'数据-取费表'!B40</f>
        <v>4.3499999999999997E-2</v>
      </c>
      <c r="G22" s="1198" t="str">
        <f>IF('数据-取费表'!B22&lt;=1,"单利计息","复利计息")</f>
        <v>单利计息</v>
      </c>
    </row>
    <row r="23" spans="1:7" s="219" customFormat="1" ht="13.5" customHeight="1">
      <c r="A23" s="887" t="s">
        <v>794</v>
      </c>
      <c r="B23" s="220" t="s">
        <v>1029</v>
      </c>
      <c r="C23" s="1264">
        <f ca="1">ROUND(IF('数据-取费表'!B22&lt;=1,C5*F22*'数据-取费表'!B23,C5*(POWER((1+F22),'数据-取费表'!B23)-1)),0)</f>
        <v>897</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15</v>
      </c>
      <c r="D24" s="243"/>
      <c r="E24" s="243"/>
      <c r="F24" s="244"/>
      <c r="G24" s="245" t="s">
        <v>109</v>
      </c>
    </row>
    <row r="25" spans="1:7" s="219" customFormat="1" ht="24">
      <c r="A25" s="887" t="s">
        <v>793</v>
      </c>
      <c r="B25" s="220" t="s">
        <v>1026</v>
      </c>
      <c r="C25" s="1264">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1693</v>
      </c>
      <c r="D27" s="240">
        <f>C29</f>
        <v>8.0000000000000004E-4</v>
      </c>
      <c r="E27" s="241" t="s">
        <v>126</v>
      </c>
      <c r="F27" s="251">
        <f>'数据-取费表'!Q16</f>
        <v>0.08</v>
      </c>
      <c r="G27" s="252" t="s">
        <v>1037</v>
      </c>
    </row>
    <row r="28" spans="1:7" s="219" customFormat="1" ht="13.5" customHeight="1">
      <c r="A28" s="887" t="s">
        <v>794</v>
      </c>
      <c r="B28" s="253" t="s">
        <v>1030</v>
      </c>
      <c r="C28" s="254">
        <f>ROUND((C5+C19+C20)*F27*'数据-取费表'!B21/'数据-取费表'!B20,0)</f>
        <v>1693</v>
      </c>
      <c r="D28" s="240"/>
      <c r="E28" s="241"/>
      <c r="F28" s="251"/>
      <c r="G28" s="252"/>
    </row>
    <row r="29" spans="1:7" s="219" customFormat="1" ht="13.5" customHeight="1">
      <c r="A29" s="887" t="s">
        <v>792</v>
      </c>
      <c r="B29" s="253" t="s">
        <v>1031</v>
      </c>
      <c r="C29" s="243">
        <f>ROUND(C21*F27*'数据-取费表'!B21/'数据-取费表'!B20,4)</f>
        <v>8.0000000000000004E-4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25412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5786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5205</v>
      </c>
      <c r="D34" s="222"/>
      <c r="E34" s="225"/>
      <c r="F34" s="262">
        <f>IF('数据-取费表'!B24=0,1,'数据-取费表'!N16)</f>
        <v>1</v>
      </c>
      <c r="G34" s="224" t="s">
        <v>116</v>
      </c>
    </row>
    <row r="35" spans="1:7" ht="13.5" customHeight="1">
      <c r="A35" s="887" t="s">
        <v>796</v>
      </c>
      <c r="B35" s="220" t="s">
        <v>60</v>
      </c>
      <c r="C35" s="225">
        <f>ROUND(C34*F35,0)</f>
        <v>156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0.03</v>
      </c>
      <c r="G36" s="265" t="s">
        <v>62</v>
      </c>
    </row>
    <row r="37" spans="1:7" s="263" customFormat="1" ht="13.5" customHeight="1">
      <c r="A37" s="887" t="s">
        <v>798</v>
      </c>
      <c r="B37" s="220" t="s">
        <v>118</v>
      </c>
      <c r="C37" s="254">
        <f>ROUND(E37*D37*F34/10000,0)</f>
        <v>347</v>
      </c>
      <c r="D37" s="222">
        <f>'数据-汇总表'!E3</f>
        <v>17349.86</v>
      </c>
      <c r="E37" s="254">
        <f>'数据-取费表'!B35</f>
        <v>200</v>
      </c>
      <c r="F37" s="264"/>
      <c r="G37" s="266" t="s">
        <v>119</v>
      </c>
    </row>
    <row r="38" spans="1:7" ht="13.5" customHeight="1">
      <c r="A38" s="887" t="s">
        <v>799</v>
      </c>
      <c r="B38" s="220" t="s">
        <v>63</v>
      </c>
      <c r="C38" s="225">
        <f>ROUND(C34*F38,0)</f>
        <v>78</v>
      </c>
      <c r="D38" s="225"/>
      <c r="E38" s="225"/>
      <c r="F38" s="264">
        <f>'数据-取费表'!B36</f>
        <v>1.4999999999999999E-2</v>
      </c>
      <c r="G38" s="224" t="s">
        <v>117</v>
      </c>
    </row>
    <row r="39" spans="1:7" s="219" customFormat="1" ht="13.5" customHeight="1">
      <c r="A39" s="884" t="s">
        <v>783</v>
      </c>
      <c r="B39" s="215" t="s">
        <v>104</v>
      </c>
      <c r="C39" s="237">
        <f>ROUND(C33*F20,0)</f>
        <v>58</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127</v>
      </c>
      <c r="D41" s="240">
        <f ca="1">C44</f>
        <v>2.0000000000000001E-4</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126</v>
      </c>
      <c r="D42" s="243"/>
      <c r="E42" s="243"/>
      <c r="F42" s="244"/>
      <c r="G42" s="3271" t="s">
        <v>121</v>
      </c>
    </row>
    <row r="43" spans="1:7" ht="13.5" customHeight="1">
      <c r="A43" s="887" t="s">
        <v>792</v>
      </c>
      <c r="B43" s="220" t="s">
        <v>1032</v>
      </c>
      <c r="C43" s="243">
        <f ca="1">ROUND(IF('数据-取费表'!B22&lt;=1,C39*F22*'数据-取费表'!B21/2,C39*(POWER((1+F22),'数据-取费表'!B21/2)-1)),0)</f>
        <v>1</v>
      </c>
      <c r="D43" s="243"/>
      <c r="E43" s="243"/>
      <c r="F43" s="244"/>
      <c r="G43" s="3272"/>
    </row>
    <row r="44" spans="1:7" ht="13.5" customHeight="1">
      <c r="A44" s="887" t="s">
        <v>793</v>
      </c>
      <c r="B44" s="220" t="s">
        <v>1034</v>
      </c>
      <c r="C44" s="243">
        <f ca="1">ROUND(IF('数据-取费表'!B22&lt;=1,C40*F22*'数据-取费表'!B21/2,C40*(POWER((1+F22),'数据-取费表'!B21/2)-1)),4)</f>
        <v>2.0000000000000001E-4</v>
      </c>
      <c r="D44" s="243"/>
      <c r="E44" s="243"/>
      <c r="F44" s="244"/>
      <c r="G44" s="3273"/>
    </row>
    <row r="45" spans="1:7" s="219" customFormat="1" ht="13.5" customHeight="1">
      <c r="A45" s="884" t="s">
        <v>786</v>
      </c>
      <c r="B45" s="249" t="s">
        <v>112</v>
      </c>
      <c r="C45" s="250">
        <f>C46</f>
        <v>468</v>
      </c>
      <c r="D45" s="240">
        <f>C47</f>
        <v>8.0000000000000004E-4</v>
      </c>
      <c r="E45" s="241" t="s">
        <v>129</v>
      </c>
      <c r="F45" s="251"/>
      <c r="G45" s="252" t="s">
        <v>1040</v>
      </c>
    </row>
    <row r="46" spans="1:7" s="219" customFormat="1" ht="13.5" customHeight="1">
      <c r="A46" s="887" t="s">
        <v>794</v>
      </c>
      <c r="B46" s="253" t="s">
        <v>1033</v>
      </c>
      <c r="C46" s="254">
        <f>ROUND((C33+C39)*F27,0)</f>
        <v>468</v>
      </c>
      <c r="D46" s="268"/>
      <c r="E46" s="241"/>
      <c r="F46" s="251"/>
      <c r="G46" s="252"/>
    </row>
    <row r="47" spans="1:7" s="219" customFormat="1" ht="13.5" customHeight="1">
      <c r="A47" s="887" t="s">
        <v>792</v>
      </c>
      <c r="B47" s="253" t="s">
        <v>1035</v>
      </c>
      <c r="C47" s="243">
        <f>ROUND(C40*F27,4)</f>
        <v>8.0000000000000004E-4</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6882</v>
      </c>
      <c r="D49" s="237"/>
      <c r="E49" s="237"/>
      <c r="F49" s="269"/>
      <c r="G49" s="239" t="s">
        <v>1041</v>
      </c>
    </row>
    <row r="50" spans="1:7" s="263" customFormat="1" ht="24">
      <c r="A50" s="884" t="s">
        <v>789</v>
      </c>
      <c r="B50" s="215" t="s">
        <v>124</v>
      </c>
      <c r="C50" s="237"/>
      <c r="D50" s="237"/>
      <c r="E50" s="237"/>
      <c r="F50" s="269">
        <f>IF('数据-取费表'!B24=0,'数据-取费表'!N16,1)</f>
        <v>0.73</v>
      </c>
      <c r="G50" s="252" t="s">
        <v>125</v>
      </c>
    </row>
    <row r="51" spans="1:7" ht="16.5" customHeight="1">
      <c r="A51" s="884" t="s">
        <v>790</v>
      </c>
      <c r="B51" s="215" t="s">
        <v>132</v>
      </c>
      <c r="C51" s="237">
        <f ca="1">ROUND(C49*F50,0)</f>
        <v>5024</v>
      </c>
      <c r="D51" s="237"/>
      <c r="E51" s="237"/>
      <c r="F51" s="269"/>
      <c r="G51" s="239" t="s">
        <v>64</v>
      </c>
    </row>
    <row r="52" spans="1:7" s="213" customFormat="1" ht="16.5" thickBot="1">
      <c r="A52" s="270" t="s">
        <v>65</v>
      </c>
      <c r="B52" s="271"/>
      <c r="C52" s="272">
        <f ca="1">C31+C51</f>
        <v>30436</v>
      </c>
      <c r="D52" s="271"/>
      <c r="E52" s="271"/>
      <c r="F52" s="271"/>
      <c r="G52" s="273"/>
    </row>
    <row r="55" spans="1:7" ht="15">
      <c r="B55" s="275" t="s">
        <v>66</v>
      </c>
      <c r="C55" s="276"/>
    </row>
    <row r="56" spans="1:7">
      <c r="B56" s="278" t="s">
        <v>67</v>
      </c>
      <c r="C56" s="279">
        <f ca="1">ROUND(C51/C52,3)</f>
        <v>0.16500000000000001</v>
      </c>
    </row>
    <row r="57" spans="1:7">
      <c r="B57" s="278" t="s">
        <v>68</v>
      </c>
      <c r="C57" s="280">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7" t="s">
        <v>156</v>
      </c>
      <c r="B1" s="3417"/>
      <c r="C1" s="3417"/>
      <c r="D1" s="3417"/>
      <c r="E1" s="3417"/>
      <c r="F1" s="341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8" t="s">
        <v>169</v>
      </c>
      <c r="B2" s="3418"/>
      <c r="C2" s="3418"/>
      <c r="D2" s="3418"/>
      <c r="E2" s="3418"/>
      <c r="F2" s="341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7" t="s">
        <v>839</v>
      </c>
      <c r="B1" s="341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44421</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3061</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3" t="str">
        <f>IF(项目基本情况!B9="房地产市场价值","估价结果一览表","结果表-2")</f>
        <v>估价结果一览表</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房地产市场价值</v>
      </c>
      <c r="I2" s="3094"/>
    </row>
    <row r="3" spans="1:9" ht="15">
      <c r="A3" s="3095"/>
      <c r="B3" s="3095"/>
      <c r="C3" s="3095"/>
      <c r="D3" s="962" t="s">
        <v>1603</v>
      </c>
      <c r="E3" s="962" t="s">
        <v>1609</v>
      </c>
      <c r="F3" s="962" t="s">
        <v>1603</v>
      </c>
      <c r="G3" s="962" t="s">
        <v>1604</v>
      </c>
      <c r="H3" s="962" t="s">
        <v>1603</v>
      </c>
      <c r="I3" s="962" t="s">
        <v>1604</v>
      </c>
    </row>
    <row r="4" spans="1:9" ht="15">
      <c r="A4" s="1688" t="str">
        <f>项目基本情况!S2</f>
        <v>房地产</v>
      </c>
      <c r="B4" s="962">
        <f>项目基本情况!C17</f>
        <v>17349.86</v>
      </c>
      <c r="C4" s="962">
        <f>项目基本情况!C18</f>
        <v>18286.599999999999</v>
      </c>
      <c r="D4" s="962">
        <f ca="1">结果表!D118</f>
        <v>6156</v>
      </c>
      <c r="E4" s="962">
        <f ca="1">结果表!E118</f>
        <v>3548</v>
      </c>
      <c r="F4" s="962">
        <f ca="1">结果表!F118</f>
        <v>4225</v>
      </c>
      <c r="G4" s="962">
        <f ca="1">结果表!G118</f>
        <v>2435</v>
      </c>
      <c r="H4" s="962">
        <f ca="1">结果表!H118</f>
        <v>10381</v>
      </c>
      <c r="I4" s="962">
        <f ca="1">结果表!I118</f>
        <v>5983</v>
      </c>
    </row>
    <row r="5" spans="1:9" ht="30" customHeight="1">
      <c r="A5" s="3095" t="s">
        <v>1605</v>
      </c>
      <c r="B5" s="3095"/>
      <c r="C5" s="3095"/>
      <c r="D5" s="3096" t="str">
        <f ca="1">结果表!D119</f>
        <v>陆仟壹佰伍拾陆万元整</v>
      </c>
      <c r="E5" s="3096"/>
      <c r="F5" s="3096" t="str">
        <f ca="1">结果表!F119</f>
        <v>肆仟贰佰贰拾伍万元整</v>
      </c>
      <c r="G5" s="3096"/>
      <c r="H5" s="3096" t="str">
        <f ca="1">结果表!H119</f>
        <v>壹亿零叁佰捌拾壹万元整</v>
      </c>
      <c r="I5" s="3096"/>
    </row>
    <row r="6" spans="1:9" ht="15.75">
      <c r="A6" s="3097" t="str">
        <f>结果表!A120</f>
        <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
      </c>
      <c r="B8" s="3097"/>
      <c r="C8" s="3097"/>
      <c r="D8" s="3097">
        <f ca="1">结果表!D122</f>
        <v>10381</v>
      </c>
      <c r="E8" s="3097"/>
      <c r="F8" s="3097"/>
      <c r="G8" s="3097"/>
      <c r="H8" s="3097"/>
      <c r="I8" s="3097"/>
    </row>
    <row r="9" spans="1:9" ht="15">
      <c r="A9" s="3095" t="s">
        <v>1605</v>
      </c>
      <c r="B9" s="3095"/>
      <c r="C9" s="3095"/>
      <c r="D9" s="3096" t="str">
        <f ca="1">结果表!D123</f>
        <v>壹亿零叁佰捌拾壹万元整</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4" t="s">
        <v>1627</v>
      </c>
      <c r="B1" s="3104"/>
      <c r="C1" s="3104"/>
      <c r="D1" s="3104"/>
    </row>
    <row r="2" spans="1:4" ht="18">
      <c r="A2" s="3105" t="s">
        <v>1611</v>
      </c>
      <c r="B2" s="3105"/>
      <c r="C2" s="3105"/>
      <c r="D2" s="3105"/>
    </row>
    <row r="3" spans="1:4" ht="18.75">
      <c r="A3" s="1692" t="s">
        <v>1612</v>
      </c>
      <c r="B3" s="1692" t="s">
        <v>1613</v>
      </c>
      <c r="C3" s="1692" t="s">
        <v>1614</v>
      </c>
      <c r="D3" s="1692" t="s">
        <v>1615</v>
      </c>
    </row>
    <row r="4" spans="1:4" ht="56.25" customHeight="1">
      <c r="A4" s="1693" t="str">
        <f>项目基本情况!B4</f>
        <v>吴薇</v>
      </c>
      <c r="B4" s="1694">
        <f ca="1">项目基本情况!C4</f>
        <v>1419970001</v>
      </c>
      <c r="C4" s="1695"/>
      <c r="D4" s="1696" t="s">
        <v>1616</v>
      </c>
    </row>
    <row r="5" spans="1:4" ht="56.25" customHeight="1">
      <c r="A5" s="1693" t="str">
        <f>项目基本情况!D4</f>
        <v>郑燚</v>
      </c>
      <c r="B5" s="1694">
        <f ca="1">项目基本情况!E4</f>
        <v>1120070131</v>
      </c>
      <c r="C5" s="1697"/>
      <c r="D5" s="1696" t="s">
        <v>1616</v>
      </c>
    </row>
    <row r="6" spans="1:4" ht="18">
      <c r="A6" s="3105" t="s">
        <v>1617</v>
      </c>
      <c r="B6" s="3105"/>
      <c r="C6" s="3105"/>
      <c r="D6" s="3105"/>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8"/>
      <c r="C12" s="3108"/>
      <c r="D12" s="3108"/>
    </row>
    <row r="13" spans="1:4" ht="30" customHeight="1">
      <c r="A13" s="3107" t="str">
        <f>IF(项目基本情况!B8="抵押","3.抵押双方在办理抵押登记手续时，应使用本公司出具的正式《房地产评估报告》，特提醒报告使用者注意。","——")</f>
        <v>——</v>
      </c>
      <c r="B13" s="3108"/>
      <c r="C13" s="3108"/>
      <c r="D13" s="3108"/>
    </row>
    <row r="14" spans="1:4" ht="15.75" customHeight="1">
      <c r="A14" s="3107" t="str">
        <f>IF(项目基本情况!B8="抵押","4.本次评估估价师所知悉的法定优先受偿款情况说明如下：","——")</f>
        <v>——</v>
      </c>
      <c r="B14" s="3108"/>
      <c r="C14" s="3108"/>
      <c r="D14" s="3108"/>
    </row>
    <row r="15" spans="1:4" ht="42" customHeight="1">
      <c r="A15" s="3107" t="str">
        <f>IF(项目基本情况!B8="抵押","（1）"&amp;CONCATENATE(项目基本情况!L20,项目基本情况!L21,项目基本情况!L22),"——")</f>
        <v>——</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8" t="s">
        <v>1634</v>
      </c>
      <c r="B15" s="3113" t="s">
        <v>136</v>
      </c>
      <c r="C15" s="3114"/>
    </row>
    <row r="16" spans="1:7" ht="13.5">
      <c r="A16" s="3119"/>
      <c r="B16" s="3113" t="s">
        <v>69</v>
      </c>
      <c r="C16" s="3114"/>
    </row>
    <row r="17" spans="1:3" ht="13.5">
      <c r="A17" s="3119"/>
      <c r="B17" s="3116" t="s">
        <v>1635</v>
      </c>
      <c r="C17" s="1715" t="s">
        <v>1634</v>
      </c>
    </row>
    <row r="18" spans="1:3" ht="13.5">
      <c r="A18" s="3119"/>
      <c r="B18" s="3116"/>
      <c r="C18" s="1715" t="s">
        <v>1636</v>
      </c>
    </row>
    <row r="19" spans="1:3" ht="13.5">
      <c r="A19" s="3119"/>
      <c r="B19" s="3116"/>
      <c r="C19" s="1715" t="s">
        <v>1637</v>
      </c>
    </row>
    <row r="20" spans="1:3" ht="13.5">
      <c r="A20" s="3120"/>
      <c r="B20" s="3115" t="s">
        <v>1638</v>
      </c>
      <c r="C20" s="3114"/>
    </row>
    <row r="21" spans="1:3" ht="13.5">
      <c r="A21" s="1716" t="s">
        <v>1639</v>
      </c>
      <c r="B21" s="1717"/>
      <c r="C21" s="1718"/>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5" t="s">
        <v>1645</v>
      </c>
    </row>
    <row r="26" spans="1:3" ht="13.5">
      <c r="A26" s="3117"/>
      <c r="B26" s="3116"/>
      <c r="C26" s="1715" t="s">
        <v>1646</v>
      </c>
    </row>
    <row r="27" spans="1:3" ht="13.5">
      <c r="A27" s="3117"/>
      <c r="B27" s="3116"/>
      <c r="C27" s="1715" t="s">
        <v>1647</v>
      </c>
    </row>
    <row r="28" spans="1:3" ht="13.5">
      <c r="A28" s="3117"/>
      <c r="B28" s="3116"/>
      <c r="C28" s="1715" t="s">
        <v>1648</v>
      </c>
    </row>
    <row r="29" spans="1:3" ht="13.5">
      <c r="A29" s="3117"/>
      <c r="B29" s="3116"/>
      <c r="C29" s="1715" t="s">
        <v>1649</v>
      </c>
    </row>
    <row r="30" spans="1:3" ht="13.5">
      <c r="A30" s="3117"/>
      <c r="B30" s="3116"/>
      <c r="C30" s="1715" t="s">
        <v>1650</v>
      </c>
    </row>
    <row r="31" spans="1:3" ht="13.5">
      <c r="A31" s="3117"/>
      <c r="B31" s="3116"/>
      <c r="C31" s="1715" t="s">
        <v>1651</v>
      </c>
    </row>
    <row r="32" spans="1:3" ht="13.5">
      <c r="A32" s="3117"/>
      <c r="B32" s="3116"/>
      <c r="C32" s="1715" t="s">
        <v>1652</v>
      </c>
    </row>
    <row r="33" spans="1:3" ht="13.5">
      <c r="A33" s="3117"/>
      <c r="B33" s="311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44428</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t="str">
        <f ca="1">IF(C6&lt;B2,"已过期",1120050019)</f>
        <v>已过期</v>
      </c>
      <c r="C6" s="2566">
        <v>44395</v>
      </c>
      <c r="D6" s="2567" t="str">
        <f t="shared" ca="1" si="0"/>
        <v>王鹏（注册号：已过期）</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t="str">
        <f ca="1">IF(C13&lt;B2,"已过期",1120020033)</f>
        <v>已过期</v>
      </c>
      <c r="C13" s="2566">
        <v>44339</v>
      </c>
      <c r="D13" s="2567" t="str">
        <f t="shared" ca="1" si="0"/>
        <v>刘敬东（注册号：已过期）</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21" t="s">
        <v>2903</v>
      </c>
      <c r="B17" s="3121"/>
      <c r="C17" s="3121"/>
      <c r="D17" s="3121"/>
      <c r="E17" s="3121"/>
      <c r="F17" s="3121"/>
      <c r="G17" s="3121"/>
      <c r="H17" s="3121"/>
    </row>
    <row r="18" spans="1:8" ht="24" customHeight="1">
      <c r="A18" s="3122" t="s">
        <v>2904</v>
      </c>
      <c r="B18" s="3122"/>
      <c r="C18" s="3122"/>
      <c r="D18" s="2564"/>
      <c r="E18" s="3123" t="s">
        <v>2905</v>
      </c>
      <c r="F18" s="3122"/>
      <c r="G18" s="3122"/>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2021-08-20T04:43:52Z</dcterms:modified>
</cp:coreProperties>
</file>