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8"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25" i="31"/>
  <c r="B26"/>
  <c r="B27"/>
  <c r="B28"/>
  <c r="B29"/>
  <c r="B30"/>
  <c r="B31"/>
  <c r="B32"/>
  <c r="B33"/>
  <c r="B34"/>
  <c r="B35"/>
  <c r="B36"/>
  <c r="B37"/>
  <c r="B38"/>
  <c r="B39"/>
  <c r="B40"/>
  <c r="B41"/>
  <c r="B42"/>
  <c r="B43"/>
  <c r="B44"/>
  <c r="B45"/>
  <c r="B46"/>
  <c r="B47"/>
  <c r="B48"/>
  <c r="B49"/>
  <c r="B50"/>
  <c r="B51"/>
  <c r="B52"/>
  <c r="B53"/>
  <c r="B54"/>
  <c r="B55"/>
  <c r="B56"/>
  <c r="B57"/>
  <c r="B58"/>
  <c r="B59"/>
  <c r="B60"/>
  <c r="B61"/>
  <c r="B62"/>
  <c r="B63"/>
  <c r="B64"/>
  <c r="B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4"/>
  <c r="I47" i="33"/>
  <c r="E47"/>
  <c r="N7" i="1" l="1"/>
  <c r="N6"/>
  <c r="F19" i="6"/>
  <c r="E44" i="77"/>
  <c r="I13" i="3" s="1"/>
  <c r="A3" s="1"/>
  <c r="L43" i="77"/>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A379" i="31"/>
  <c r="B379"/>
  <c r="A380"/>
  <c r="B380"/>
  <c r="A381"/>
  <c r="B381"/>
  <c r="A382"/>
  <c r="B382"/>
  <c r="A383"/>
  <c r="B383"/>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A315"/>
  <c r="B315"/>
  <c r="A316"/>
  <c r="B316"/>
  <c r="A317"/>
  <c r="B317"/>
  <c r="A318"/>
  <c r="B318"/>
  <c r="A319"/>
  <c r="B319"/>
  <c r="A320"/>
  <c r="B320"/>
  <c r="A321"/>
  <c r="B321"/>
  <c r="A322"/>
  <c r="B322"/>
  <c r="A323"/>
  <c r="B323"/>
  <c r="A324"/>
  <c r="B324"/>
  <c r="A325"/>
  <c r="B325"/>
  <c r="A326"/>
  <c r="B326"/>
  <c r="A327"/>
  <c r="B327"/>
  <c r="A328"/>
  <c r="B328"/>
  <c r="A329"/>
  <c r="B329"/>
  <c r="A330"/>
  <c r="B330"/>
  <c r="A331"/>
  <c r="B331"/>
  <c r="A332"/>
  <c r="B332"/>
  <c r="A333"/>
  <c r="B333"/>
  <c r="A334"/>
  <c r="B334"/>
  <c r="A335"/>
  <c r="B335"/>
  <c r="A336"/>
  <c r="B336"/>
  <c r="A337"/>
  <c r="B337"/>
  <c r="A338"/>
  <c r="B338"/>
  <c r="A339"/>
  <c r="B339"/>
  <c r="A340"/>
  <c r="B340"/>
  <c r="A341"/>
  <c r="B341"/>
  <c r="A342"/>
  <c r="B342"/>
  <c r="A343"/>
  <c r="B343"/>
  <c r="A344"/>
  <c r="B344"/>
  <c r="A345"/>
  <c r="B345"/>
  <c r="A346"/>
  <c r="B346"/>
  <c r="A347"/>
  <c r="B347"/>
  <c r="A348"/>
  <c r="B348"/>
  <c r="A349"/>
  <c r="B349"/>
  <c r="A350"/>
  <c r="B350"/>
  <c r="A351"/>
  <c r="B351"/>
  <c r="A352"/>
  <c r="B352"/>
  <c r="A353"/>
  <c r="B353"/>
  <c r="A354"/>
  <c r="B354"/>
  <c r="A355"/>
  <c r="B355"/>
  <c r="A356"/>
  <c r="B356"/>
  <c r="A357"/>
  <c r="B357"/>
  <c r="A358"/>
  <c r="B358"/>
  <c r="A359"/>
  <c r="B359"/>
  <c r="A360"/>
  <c r="B360"/>
  <c r="A361"/>
  <c r="B361"/>
  <c r="A362"/>
  <c r="B362"/>
  <c r="A363"/>
  <c r="B363"/>
  <c r="A364"/>
  <c r="B364"/>
  <c r="A365"/>
  <c r="B365"/>
  <c r="A366"/>
  <c r="B366"/>
  <c r="A367"/>
  <c r="B367"/>
  <c r="A368"/>
  <c r="B368"/>
  <c r="A369"/>
  <c r="B369"/>
  <c r="A370"/>
  <c r="B370"/>
  <c r="A371"/>
  <c r="B371"/>
  <c r="A372"/>
  <c r="B372"/>
  <c r="A373"/>
  <c r="B373"/>
  <c r="A374"/>
  <c r="B374"/>
  <c r="A375"/>
  <c r="B375"/>
  <c r="A376"/>
  <c r="B376"/>
  <c r="A377"/>
  <c r="B377"/>
  <c r="A378"/>
  <c r="B378"/>
  <c r="C118" i="33"/>
  <c r="C40"/>
  <c r="I67" i="78"/>
  <c r="I68"/>
  <c r="I69"/>
  <c r="I70"/>
  <c r="I71"/>
  <c r="I72"/>
  <c r="I73"/>
  <c r="I74"/>
  <c r="I75"/>
  <c r="I76"/>
  <c r="I77"/>
  <c r="I78"/>
  <c r="I79"/>
  <c r="I80"/>
  <c r="I81"/>
  <c r="I82"/>
  <c r="I83"/>
  <c r="I84"/>
  <c r="I85"/>
  <c r="I86"/>
  <c r="I87"/>
  <c r="I88"/>
  <c r="I89"/>
  <c r="I90"/>
  <c r="I91"/>
  <c r="I66"/>
  <c r="G91"/>
  <c r="G67"/>
  <c r="G68"/>
  <c r="G69"/>
  <c r="G70"/>
  <c r="G71"/>
  <c r="G72"/>
  <c r="G73"/>
  <c r="G74"/>
  <c r="G75"/>
  <c r="G76"/>
  <c r="G77"/>
  <c r="G78"/>
  <c r="G79"/>
  <c r="G80"/>
  <c r="G81"/>
  <c r="G82"/>
  <c r="G83"/>
  <c r="G84"/>
  <c r="G85"/>
  <c r="G86"/>
  <c r="G87"/>
  <c r="G88"/>
  <c r="G89"/>
  <c r="G90"/>
  <c r="G66"/>
  <c r="E67"/>
  <c r="E68"/>
  <c r="E69"/>
  <c r="E70"/>
  <c r="E71"/>
  <c r="E72"/>
  <c r="E73"/>
  <c r="E74"/>
  <c r="E75"/>
  <c r="E76"/>
  <c r="E77"/>
  <c r="E78"/>
  <c r="E79"/>
  <c r="E80"/>
  <c r="E81"/>
  <c r="E82"/>
  <c r="E83"/>
  <c r="E84"/>
  <c r="E85"/>
  <c r="E86"/>
  <c r="E87"/>
  <c r="E88"/>
  <c r="E89"/>
  <c r="E90"/>
  <c r="E91"/>
  <c r="E66"/>
  <c r="C69"/>
  <c r="C70"/>
  <c r="C68"/>
  <c r="C60"/>
  <c r="C91" s="1"/>
  <c r="C50"/>
  <c r="C81" s="1"/>
  <c r="C51"/>
  <c r="C82" s="1"/>
  <c r="C52"/>
  <c r="C83" s="1"/>
  <c r="C53"/>
  <c r="C84" s="1"/>
  <c r="C54"/>
  <c r="C85" s="1"/>
  <c r="C55"/>
  <c r="C86" s="1"/>
  <c r="C56"/>
  <c r="C87" s="1"/>
  <c r="C57"/>
  <c r="C88" s="1"/>
  <c r="C58"/>
  <c r="C89" s="1"/>
  <c r="C59"/>
  <c r="C90" s="1"/>
  <c r="C49"/>
  <c r="C80" s="1"/>
  <c r="C48"/>
  <c r="C79" s="1"/>
  <c r="C41"/>
  <c r="C72" s="1"/>
  <c r="C42"/>
  <c r="C73" s="1"/>
  <c r="C43"/>
  <c r="C74" s="1"/>
  <c r="C44"/>
  <c r="C75" s="1"/>
  <c r="C45"/>
  <c r="C76" s="1"/>
  <c r="C46"/>
  <c r="C77" s="1"/>
  <c r="C47"/>
  <c r="C78" s="1"/>
  <c r="C40"/>
  <c r="C71" s="1"/>
  <c r="N43" i="77" l="1"/>
  <c r="C36" i="33"/>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11"/>
  <c r="B12"/>
  <c r="E9"/>
  <c r="B7"/>
  <c r="E8"/>
  <c r="E12"/>
  <c r="E10"/>
  <c r="E7"/>
  <c r="E13"/>
  <c r="B8"/>
  <c r="B13"/>
  <c r="B10"/>
  <c r="B9"/>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4" i="73"/>
  <c r="F3"/>
  <c r="F5"/>
  <c r="D5"/>
  <c r="F6"/>
  <c r="I1" l="1"/>
  <c r="B39" i="1" s="1"/>
  <c r="D4" i="73"/>
  <c r="D3"/>
  <c r="D7"/>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2" i="1"/>
  <c r="AO9"/>
  <c r="AO13"/>
  <c r="AO11"/>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F96" s="1"/>
  <c r="G96" s="1"/>
  <c r="H96" s="1"/>
  <c r="I96" s="1"/>
  <c r="J96" s="1"/>
  <c r="K96" s="1"/>
  <c r="L96" s="1"/>
  <c r="M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Q33"/>
  <c r="Z33" s="1"/>
  <c r="Q32"/>
  <c r="Z32" s="1"/>
  <c r="H32"/>
  <c r="AB32" s="1"/>
  <c r="F32"/>
  <c r="AA32" s="1"/>
  <c r="Q31"/>
  <c r="Z31" s="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H38"/>
  <c r="AB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S30"/>
  <c r="AC31"/>
  <c r="W31"/>
  <c r="U31"/>
  <c r="J33"/>
  <c r="W33" s="1"/>
  <c r="H22" i="35"/>
  <c r="AB22" s="1"/>
  <c r="W28"/>
  <c r="U31"/>
  <c r="W22"/>
  <c r="S31"/>
  <c r="F36" i="34"/>
  <c r="J35"/>
  <c r="W9"/>
  <c r="U34"/>
  <c r="H39" i="33"/>
  <c r="AB39" s="1"/>
  <c r="F26"/>
  <c r="AA26" s="1"/>
  <c r="S40"/>
  <c r="W39"/>
  <c r="H39" i="37"/>
  <c r="AB39" s="1"/>
  <c r="S27" i="35"/>
  <c r="F11" i="40"/>
  <c r="AA11" s="1"/>
  <c r="H11"/>
  <c r="AB11" s="1"/>
  <c r="W8"/>
  <c r="AA9"/>
  <c r="AC9"/>
  <c r="U9"/>
  <c r="S34"/>
  <c r="U38"/>
  <c r="U34"/>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C15"/>
  <c r="H11" i="21"/>
  <c r="U11" s="1"/>
  <c r="J11"/>
  <c r="W11" s="1"/>
  <c r="H37" i="40"/>
  <c r="U37" s="1"/>
  <c r="H36"/>
  <c r="AB36" s="1"/>
  <c r="F35"/>
  <c r="AA35" s="1"/>
  <c r="H23"/>
  <c r="AB23" s="1"/>
  <c r="H17"/>
  <c r="U17" s="1"/>
  <c r="J15"/>
  <c r="W15" s="1"/>
  <c r="J11"/>
  <c r="W11" s="1"/>
  <c r="AB8" i="39"/>
  <c r="AB12" i="33"/>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S12" s="1"/>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S15" s="1"/>
  <c r="J15"/>
  <c r="H15"/>
  <c r="AB15" s="1"/>
  <c r="W8"/>
  <c r="J28"/>
  <c r="W28" s="1"/>
  <c r="F41" i="33"/>
  <c r="AA41" s="1"/>
  <c r="E113"/>
  <c r="F113" s="1"/>
  <c r="G113" s="1"/>
  <c r="H113" s="1"/>
  <c r="I113" s="1"/>
  <c r="J113" s="1"/>
  <c r="K113" s="1"/>
  <c r="L113" s="1"/>
  <c r="M113" s="1"/>
  <c r="J19"/>
  <c r="AC19" s="1"/>
  <c r="J15"/>
  <c r="AC15" s="1"/>
  <c r="U8"/>
  <c r="S8"/>
  <c r="F37" i="40"/>
  <c r="AA37" s="1"/>
  <c r="F36"/>
  <c r="AA36" s="1"/>
  <c r="H28"/>
  <c r="U28" s="1"/>
  <c r="F23"/>
  <c r="AA23" s="1"/>
  <c r="F17"/>
  <c r="AA17" s="1"/>
  <c r="J17"/>
  <c r="W17" s="1"/>
  <c r="F15"/>
  <c r="S15" s="1"/>
  <c r="H15"/>
  <c r="AB15" s="1"/>
  <c r="AC11"/>
  <c r="AA12" i="36"/>
  <c r="AB30"/>
  <c r="AC34"/>
  <c r="U30" i="35"/>
  <c r="F29"/>
  <c r="S29" s="1"/>
  <c r="H29"/>
  <c r="AB29" s="1"/>
  <c r="H33" i="37"/>
  <c r="AB33" s="1"/>
  <c r="F33"/>
  <c r="AA33" s="1"/>
  <c r="U34"/>
  <c r="S34"/>
  <c r="AA34"/>
  <c r="J43" i="34"/>
  <c r="AB42"/>
  <c r="J40"/>
  <c r="H38"/>
  <c r="AB38" s="1"/>
  <c r="J36"/>
  <c r="W36" s="1"/>
  <c r="H37"/>
  <c r="U37" s="1"/>
  <c r="H25"/>
  <c r="AB25" s="1"/>
  <c r="J25"/>
  <c r="AC25" s="1"/>
  <c r="AB23"/>
  <c r="F23"/>
  <c r="AA23" s="1"/>
  <c r="J19"/>
  <c r="AC19" s="1"/>
  <c r="F17"/>
  <c r="AA17" s="1"/>
  <c r="J17"/>
  <c r="W17" s="1"/>
  <c r="AB17"/>
  <c r="AA15"/>
  <c r="S41" i="33"/>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31" i="34"/>
  <c r="J36" i="37"/>
  <c r="AC36" s="1"/>
  <c r="AB11" i="36"/>
  <c r="AB11" i="35"/>
  <c r="J10" i="36"/>
  <c r="AC10" s="1"/>
  <c r="AB30" i="21"/>
  <c r="AA14" i="37"/>
  <c r="W31" i="34"/>
  <c r="W13" i="36"/>
  <c r="W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AZ546" s="1"/>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AZ563" s="1"/>
  <c r="BQ561"/>
  <c r="BL561" s="1"/>
  <c r="AZ561" s="1"/>
  <c r="BQ559"/>
  <c r="BL559" s="1"/>
  <c r="AZ559" s="1"/>
  <c r="G559"/>
  <c r="G555"/>
  <c r="G553"/>
  <c r="G549"/>
  <c r="G547"/>
  <c r="G545"/>
  <c r="G543"/>
  <c r="G541"/>
  <c r="G539"/>
  <c r="G537"/>
  <c r="BQ555"/>
  <c r="BL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AZ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AC28" i="34"/>
  <c r="S21" i="40"/>
  <c r="H25" i="21"/>
  <c r="U25" s="1"/>
  <c r="F25"/>
  <c r="S25" s="1"/>
  <c r="J25"/>
  <c r="AC25" s="1"/>
  <c r="E125" i="33"/>
  <c r="F125" s="1"/>
  <c r="G125" s="1"/>
  <c r="H17" i="37"/>
  <c r="U17" s="1"/>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J43" i="33"/>
  <c r="AC43" s="1"/>
  <c r="AC32" i="36"/>
  <c r="AC33"/>
  <c r="U35" i="35"/>
  <c r="AA12"/>
  <c r="AB28" i="37"/>
  <c r="U33"/>
  <c r="U39"/>
  <c r="W26"/>
  <c r="AC8"/>
  <c r="W47" i="34"/>
  <c r="W37"/>
  <c r="AB37"/>
  <c r="AC36"/>
  <c r="AC31" i="33"/>
  <c r="U19" i="21"/>
  <c r="W44"/>
  <c r="U26"/>
  <c r="AC46"/>
  <c r="U12"/>
  <c r="AB38"/>
  <c r="F43" i="33"/>
  <c r="AA43" s="1"/>
  <c r="W15" i="34"/>
  <c r="AC15"/>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C12" i="43"/>
  <c r="H19" i="40"/>
  <c r="U19" s="1"/>
  <c r="F19"/>
  <c r="S19" s="1"/>
  <c r="AC13"/>
  <c r="W23" i="39"/>
  <c r="G101"/>
  <c r="H37"/>
  <c r="AB37" s="1"/>
  <c r="H25"/>
  <c r="AB25" s="1"/>
  <c r="J25"/>
  <c r="F25"/>
  <c r="AA25" s="1"/>
  <c r="F15"/>
  <c r="AA15" s="1"/>
  <c r="H15"/>
  <c r="U15" s="1"/>
  <c r="J15"/>
  <c r="W15" s="1"/>
  <c r="H41"/>
  <c r="W27"/>
  <c r="AB34"/>
  <c r="U40"/>
  <c r="S42"/>
  <c r="AA41"/>
  <c r="W9"/>
  <c r="W8"/>
  <c r="J19" i="40"/>
  <c r="AC19" s="1"/>
  <c r="J50"/>
  <c r="B54" i="72"/>
  <c r="H103" i="9"/>
  <c r="D8" i="53" s="1"/>
  <c r="B16"/>
  <c r="B33" i="72" s="1"/>
  <c r="C7" i="37"/>
  <c r="C7" i="34"/>
  <c r="C7" i="36"/>
  <c r="J11" i="39"/>
  <c r="W11" s="1"/>
  <c r="F11"/>
  <c r="AA11" s="1"/>
  <c r="A12" i="52"/>
  <c r="B56" i="72" s="1"/>
  <c r="S11" i="39"/>
  <c r="G4" i="4"/>
  <c r="I4"/>
  <c r="K5"/>
  <c r="B47" i="48" s="1"/>
  <c r="N2" i="43"/>
  <c r="F59" s="1"/>
  <c r="AZ24" i="3"/>
  <c r="BL549"/>
  <c r="AZ549" s="1"/>
  <c r="AZ502"/>
  <c r="AZ522"/>
  <c r="G546"/>
  <c r="G524"/>
  <c r="G303"/>
  <c r="BL304"/>
  <c r="G305"/>
  <c r="BL306"/>
  <c r="BA308"/>
  <c r="AZ308" s="1"/>
  <c r="BA309"/>
  <c r="BL309"/>
  <c r="G310"/>
  <c r="BA311"/>
  <c r="G319"/>
  <c r="BL320"/>
  <c r="G321"/>
  <c r="BL322"/>
  <c r="BA324"/>
  <c r="BA325"/>
  <c r="BL325"/>
  <c r="G326"/>
  <c r="BA327"/>
  <c r="G335"/>
  <c r="BL336"/>
  <c r="G337"/>
  <c r="BL338"/>
  <c r="BA340"/>
  <c r="AZ340" s="1"/>
  <c r="BA341"/>
  <c r="BL341"/>
  <c r="BA343"/>
  <c r="BA345"/>
  <c r="BL355"/>
  <c r="G356"/>
  <c r="BL357"/>
  <c r="BA359"/>
  <c r="AZ359" s="1"/>
  <c r="BA360"/>
  <c r="BL360"/>
  <c r="G361"/>
  <c r="BA362"/>
  <c r="G370"/>
  <c r="BL371"/>
  <c r="G372"/>
  <c r="BL373"/>
  <c r="BA375"/>
  <c r="AZ375" s="1"/>
  <c r="BA376"/>
  <c r="BL376"/>
  <c r="G377"/>
  <c r="BA378"/>
  <c r="AZ378" s="1"/>
  <c r="BL378"/>
  <c r="G379"/>
  <c r="BA380"/>
  <c r="G388"/>
  <c r="BL389"/>
  <c r="G390"/>
  <c r="BL391"/>
  <c r="BA393"/>
  <c r="AZ393" s="1"/>
  <c r="BA394"/>
  <c r="BL394"/>
  <c r="G113"/>
  <c r="BA115"/>
  <c r="BL116"/>
  <c r="AZ116" s="1"/>
  <c r="G117"/>
  <c r="BA119"/>
  <c r="BL120"/>
  <c r="G121"/>
  <c r="BA123"/>
  <c r="AZ123" s="1"/>
  <c r="BL124"/>
  <c r="G125"/>
  <c r="BA127"/>
  <c r="AZ127" s="1"/>
  <c r="BL128"/>
  <c r="G129"/>
  <c r="BA131"/>
  <c r="AZ131" s="1"/>
  <c r="BL132"/>
  <c r="AZ132" s="1"/>
  <c r="G133"/>
  <c r="BA135"/>
  <c r="BL136"/>
  <c r="AZ136" s="1"/>
  <c r="G137"/>
  <c r="BA139"/>
  <c r="BL140"/>
  <c r="AZ140" s="1"/>
  <c r="G141"/>
  <c r="BA143"/>
  <c r="BL144"/>
  <c r="G145"/>
  <c r="BA147"/>
  <c r="BL148"/>
  <c r="G149"/>
  <c r="BA151"/>
  <c r="AZ151" s="1"/>
  <c r="BL152"/>
  <c r="G153"/>
  <c r="BA155"/>
  <c r="AZ155" s="1"/>
  <c r="BL156"/>
  <c r="G157"/>
  <c r="BA159"/>
  <c r="AZ159"/>
  <c r="BL160"/>
  <c r="G161"/>
  <c r="BA163"/>
  <c r="BL164"/>
  <c r="G165"/>
  <c r="BA167"/>
  <c r="AZ167" s="1"/>
  <c r="BL168"/>
  <c r="G169"/>
  <c r="BA171"/>
  <c r="AZ171" s="1"/>
  <c r="BL172"/>
  <c r="G173"/>
  <c r="BA175"/>
  <c r="AZ175" s="1"/>
  <c r="BL176"/>
  <c r="AZ176" s="1"/>
  <c r="G177"/>
  <c r="BA179"/>
  <c r="BL180"/>
  <c r="G181"/>
  <c r="BA183"/>
  <c r="AZ183" s="1"/>
  <c r="BL184"/>
  <c r="G185"/>
  <c r="BA187"/>
  <c r="AZ187" s="1"/>
  <c r="BL188"/>
  <c r="G189"/>
  <c r="BA191"/>
  <c r="AZ191"/>
  <c r="BL192"/>
  <c r="G193"/>
  <c r="BA195"/>
  <c r="BL196"/>
  <c r="G197"/>
  <c r="BA199"/>
  <c r="AZ199" s="1"/>
  <c r="BL200"/>
  <c r="G201"/>
  <c r="BA203"/>
  <c r="AZ203" s="1"/>
  <c r="BL204"/>
  <c r="AZ51"/>
  <c r="AZ55"/>
  <c r="AZ79"/>
  <c r="AZ83"/>
  <c r="AZ144"/>
  <c r="AZ160"/>
  <c r="AZ192"/>
  <c r="AZ85"/>
  <c r="AZ89"/>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BL337"/>
  <c r="G338"/>
  <c r="G341"/>
  <c r="BA342"/>
  <c r="BL342"/>
  <c r="AZ342" s="1"/>
  <c r="BA344"/>
  <c r="BL344"/>
  <c r="BA346"/>
  <c r="BA347"/>
  <c r="BL347"/>
  <c r="G350"/>
  <c r="BA351"/>
  <c r="AZ351" s="1"/>
  <c r="BL351"/>
  <c r="G352"/>
  <c r="G354"/>
  <c r="BA355"/>
  <c r="AZ355" s="1"/>
  <c r="BA356"/>
  <c r="AZ356" s="1"/>
  <c r="BL356"/>
  <c r="G357"/>
  <c r="G360"/>
  <c r="BL361"/>
  <c r="BA363"/>
  <c r="BA364"/>
  <c r="BL364"/>
  <c r="G365"/>
  <c r="G368"/>
  <c r="BL369"/>
  <c r="BA371"/>
  <c r="BA372"/>
  <c r="AZ372" s="1"/>
  <c r="BL372"/>
  <c r="G373"/>
  <c r="G376"/>
  <c r="BL377"/>
  <c r="BL379"/>
  <c r="BA381"/>
  <c r="AZ381" s="1"/>
  <c r="BA382"/>
  <c r="BL382"/>
  <c r="G383"/>
  <c r="G386"/>
  <c r="BL387"/>
  <c r="BA389"/>
  <c r="AZ389" s="1"/>
  <c r="BA390"/>
  <c r="BL390"/>
  <c r="G391"/>
  <c r="G394"/>
  <c r="AZ158"/>
  <c r="AZ174"/>
  <c r="AZ190"/>
  <c r="AZ500"/>
  <c r="BA16"/>
  <c r="AZ16" s="1"/>
  <c r="BL303"/>
  <c r="G304"/>
  <c r="BA306"/>
  <c r="AZ306" s="1"/>
  <c r="BL307"/>
  <c r="G308"/>
  <c r="BA310"/>
  <c r="BL311"/>
  <c r="AZ311" s="1"/>
  <c r="G312"/>
  <c r="BA314"/>
  <c r="BL315"/>
  <c r="G316"/>
  <c r="BA318"/>
  <c r="AZ318"/>
  <c r="BL319"/>
  <c r="G320"/>
  <c r="BA322"/>
  <c r="AZ322"/>
  <c r="BL323"/>
  <c r="AZ323"/>
  <c r="G324"/>
  <c r="BA326"/>
  <c r="AZ326" s="1"/>
  <c r="BL327"/>
  <c r="G328"/>
  <c r="BA330"/>
  <c r="AZ330" s="1"/>
  <c r="BL331"/>
  <c r="G332"/>
  <c r="BA334"/>
  <c r="AZ334" s="1"/>
  <c r="BL335"/>
  <c r="G336"/>
  <c r="BA338"/>
  <c r="AZ338" s="1"/>
  <c r="BL339"/>
  <c r="G340"/>
  <c r="BL343"/>
  <c r="G344"/>
  <c r="G348"/>
  <c r="G355"/>
  <c r="AZ209"/>
  <c r="AZ319"/>
  <c r="G342"/>
  <c r="BL345"/>
  <c r="AZ345" s="1"/>
  <c r="G346"/>
  <c r="BL349"/>
  <c r="BL352"/>
  <c r="AZ352" s="1"/>
  <c r="G353"/>
  <c r="BA357"/>
  <c r="AZ357" s="1"/>
  <c r="BL358"/>
  <c r="AZ358" s="1"/>
  <c r="G359"/>
  <c r="BA361"/>
  <c r="BL362"/>
  <c r="G363"/>
  <c r="BA365"/>
  <c r="AZ365" s="1"/>
  <c r="BL366"/>
  <c r="G367"/>
  <c r="BA369"/>
  <c r="AZ369"/>
  <c r="BL370"/>
  <c r="G371"/>
  <c r="BA373"/>
  <c r="AZ373"/>
  <c r="BL374"/>
  <c r="AZ374"/>
  <c r="G375"/>
  <c r="BA377"/>
  <c r="AZ377" s="1"/>
  <c r="AZ229"/>
  <c r="AZ370"/>
  <c r="BA379"/>
  <c r="AZ379" s="1"/>
  <c r="BL380"/>
  <c r="G381"/>
  <c r="BA383"/>
  <c r="BL384"/>
  <c r="G385"/>
  <c r="BA387"/>
  <c r="AZ387" s="1"/>
  <c r="BL388"/>
  <c r="G389"/>
  <c r="BA391"/>
  <c r="BL392"/>
  <c r="G393"/>
  <c r="BO5"/>
  <c r="BM5"/>
  <c r="BJ5"/>
  <c r="BH5"/>
  <c r="BF5"/>
  <c r="BD5"/>
  <c r="AZ309"/>
  <c r="AZ325"/>
  <c r="AZ333"/>
  <c r="AZ341"/>
  <c r="AC5"/>
  <c r="AZ506"/>
  <c r="AZ496"/>
  <c r="G548"/>
  <c r="G538"/>
  <c r="G520"/>
  <c r="G502"/>
  <c r="BS5"/>
  <c r="BP5"/>
  <c r="BN5"/>
  <c r="BK5"/>
  <c r="BI5"/>
  <c r="BG5"/>
  <c r="BE5"/>
  <c r="BC5"/>
  <c r="G17"/>
  <c r="BA17"/>
  <c r="BT5"/>
  <c r="AZ364"/>
  <c r="BA15"/>
  <c r="BB5"/>
  <c r="E8" i="6" s="1"/>
  <c r="F27" s="1"/>
  <c r="BR5" i="3"/>
  <c r="AZ384"/>
  <c r="AZ396"/>
  <c r="AZ394"/>
  <c r="G509"/>
  <c r="BL493"/>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W37" i="37"/>
  <c r="W44" i="34"/>
  <c r="AC44"/>
  <c r="U13" i="37"/>
  <c r="U12" i="40"/>
  <c r="AA12"/>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H74" i="43"/>
  <c r="I20"/>
  <c r="F23" i="39"/>
  <c r="AA23" s="1"/>
  <c r="H27" i="36"/>
  <c r="U27" s="1"/>
  <c r="F27"/>
  <c r="AA27" s="1"/>
  <c r="H33" i="34"/>
  <c r="U33" s="1"/>
  <c r="F32" i="37"/>
  <c r="AA32" s="1"/>
  <c r="F20" i="36"/>
  <c r="AA20" s="1"/>
  <c r="J33" i="34"/>
  <c r="AC33" s="1"/>
  <c r="H23" i="39"/>
  <c r="U23" s="1"/>
  <c r="D48" i="9"/>
  <c r="M52" s="1"/>
  <c r="H86" i="43"/>
  <c r="H87"/>
  <c r="K9" i="1"/>
  <c r="M9" s="1"/>
  <c r="O9" s="1"/>
  <c r="P9" s="1"/>
  <c r="AE9"/>
  <c r="U27" i="37" l="1"/>
  <c r="AB27"/>
  <c r="AC31" i="40"/>
  <c r="W31"/>
  <c r="W33"/>
  <c r="AC33"/>
  <c r="AA38"/>
  <c r="S38"/>
  <c r="W40"/>
  <c r="AC40"/>
  <c r="S12" i="21"/>
  <c r="AA12"/>
  <c r="AB14" i="37"/>
  <c r="U14"/>
  <c r="AB26"/>
  <c r="U26"/>
  <c r="U25"/>
  <c r="AB25"/>
  <c r="AC32" i="40"/>
  <c r="W32"/>
  <c r="G28" i="6"/>
  <c r="AZ391" i="3"/>
  <c r="AZ380"/>
  <c r="AZ361"/>
  <c r="AZ382"/>
  <c r="AZ347"/>
  <c r="AZ344"/>
  <c r="AZ337"/>
  <c r="AZ376"/>
  <c r="AZ360"/>
  <c r="AZ343"/>
  <c r="W35" i="40"/>
  <c r="W14" i="39"/>
  <c r="S14" i="40"/>
  <c r="AA25" i="21"/>
  <c r="AC45" i="33"/>
  <c r="AA13"/>
  <c r="AB13" i="34"/>
  <c r="U14" i="40"/>
  <c r="H42" i="33"/>
  <c r="AB42" s="1"/>
  <c r="H43"/>
  <c r="AB43" s="1"/>
  <c r="BQ5" i="3"/>
  <c r="AZ501"/>
  <c r="AZ555"/>
  <c r="AZ565"/>
  <c r="AZ566"/>
  <c r="AZ574"/>
  <c r="S11" i="36"/>
  <c r="AA44" i="33"/>
  <c r="W33" i="37"/>
  <c r="C25" i="39"/>
  <c r="W33" i="33"/>
  <c r="W34" i="35"/>
  <c r="AC27"/>
  <c r="AA31" i="36"/>
  <c r="W28"/>
  <c r="J12" i="21"/>
  <c r="AC12" s="1"/>
  <c r="F38" i="33"/>
  <c r="J38"/>
  <c r="AC38" s="1"/>
  <c r="F9" i="34"/>
  <c r="H12"/>
  <c r="J12" i="35"/>
  <c r="W12" s="1"/>
  <c r="AC31"/>
  <c r="F34"/>
  <c r="J23" i="36"/>
  <c r="AC23" s="1"/>
  <c r="F25" i="37"/>
  <c r="AA25" s="1"/>
  <c r="J38" i="40"/>
  <c r="AC38" s="1"/>
  <c r="F40"/>
  <c r="G582" i="3"/>
  <c r="G556"/>
  <c r="G552"/>
  <c r="G551"/>
  <c r="AZ147"/>
  <c r="G398"/>
  <c r="BA399"/>
  <c r="BL399"/>
  <c r="BA400"/>
  <c r="AZ400" s="1"/>
  <c r="BA402"/>
  <c r="BL402"/>
  <c r="BL404"/>
  <c r="G405"/>
  <c r="G407"/>
  <c r="BA408"/>
  <c r="BL408"/>
  <c r="BA409"/>
  <c r="AZ409" s="1"/>
  <c r="BA410"/>
  <c r="AZ410" s="1"/>
  <c r="BA411"/>
  <c r="AZ411" s="1"/>
  <c r="BL413"/>
  <c r="G414"/>
  <c r="BA415"/>
  <c r="AZ415" s="1"/>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BL468"/>
  <c r="BL470"/>
  <c r="G471"/>
  <c r="BL472"/>
  <c r="G473"/>
  <c r="G477"/>
  <c r="G481"/>
  <c r="G484"/>
  <c r="BL485"/>
  <c r="G486"/>
  <c r="G488"/>
  <c r="BL489"/>
  <c r="G490"/>
  <c r="G492"/>
  <c r="BA303"/>
  <c r="AZ303" s="1"/>
  <c r="BA307"/>
  <c r="AZ307" s="1"/>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BL215"/>
  <c r="BA216"/>
  <c r="AZ216" s="1"/>
  <c r="BA218"/>
  <c r="AZ218" s="1"/>
  <c r="BL218"/>
  <c r="BA219"/>
  <c r="AZ219" s="1"/>
  <c r="BL221"/>
  <c r="G222"/>
  <c r="BL223"/>
  <c r="G224"/>
  <c r="G227"/>
  <c r="G231"/>
  <c r="BL232"/>
  <c r="G233"/>
  <c r="BA234"/>
  <c r="BL234"/>
  <c r="BL236"/>
  <c r="G237"/>
  <c r="BA238"/>
  <c r="BL238"/>
  <c r="BA239"/>
  <c r="AZ239" s="1"/>
  <c r="BA240"/>
  <c r="AZ240" s="1"/>
  <c r="BA241"/>
  <c r="AZ241" s="1"/>
  <c r="BA243"/>
  <c r="AZ243" s="1"/>
  <c r="BL243"/>
  <c r="BA244"/>
  <c r="AZ244" s="1"/>
  <c r="BA245"/>
  <c r="AZ245" s="1"/>
  <c r="BL247"/>
  <c r="G248"/>
  <c r="BL249"/>
  <c r="G250"/>
  <c r="G252"/>
  <c r="BL253"/>
  <c r="G254"/>
  <c r="BA257"/>
  <c r="AZ257" s="1"/>
  <c r="BA259"/>
  <c r="AZ259" s="1"/>
  <c r="BL259"/>
  <c r="BA260"/>
  <c r="AZ260" s="1"/>
  <c r="BA261"/>
  <c r="AZ261" s="1"/>
  <c r="BA263"/>
  <c r="AZ263" s="1"/>
  <c r="BL263"/>
  <c r="BA264"/>
  <c r="AZ264" s="1"/>
  <c r="BA265"/>
  <c r="AZ265" s="1"/>
  <c r="BL267"/>
  <c r="G268"/>
  <c r="BL269"/>
  <c r="G270"/>
  <c r="G272"/>
  <c r="BL273"/>
  <c r="G274"/>
  <c r="G276"/>
  <c r="BA277"/>
  <c r="AZ277" s="1"/>
  <c r="BL277"/>
  <c r="BA278"/>
  <c r="AZ278" s="1"/>
  <c r="BA279"/>
  <c r="AZ279" s="1"/>
  <c r="BA280"/>
  <c r="AZ280" s="1"/>
  <c r="BL282"/>
  <c r="G283"/>
  <c r="BA284"/>
  <c r="BL284"/>
  <c r="BA285"/>
  <c r="AZ285" s="1"/>
  <c r="BA287"/>
  <c r="AZ287" s="1"/>
  <c r="BL287"/>
  <c r="BL289"/>
  <c r="G290"/>
  <c r="G292"/>
  <c r="BA293"/>
  <c r="BL293"/>
  <c r="BA294"/>
  <c r="AZ294" s="1"/>
  <c r="BA295"/>
  <c r="AZ295" s="1"/>
  <c r="BA296"/>
  <c r="AZ296" s="1"/>
  <c r="BL298"/>
  <c r="G299"/>
  <c r="BA300"/>
  <c r="AZ300" s="1"/>
  <c r="BL300"/>
  <c r="BA301"/>
  <c r="AZ301" s="1"/>
  <c r="BA302"/>
  <c r="AZ302" s="1"/>
  <c r="BA113"/>
  <c r="AZ113" s="1"/>
  <c r="BA114"/>
  <c r="AZ114" s="1"/>
  <c r="BL115"/>
  <c r="AZ115" s="1"/>
  <c r="BL118"/>
  <c r="G119"/>
  <c r="BA120"/>
  <c r="AZ120" s="1"/>
  <c r="BA122"/>
  <c r="AZ122" s="1"/>
  <c r="BL122"/>
  <c r="BA124"/>
  <c r="AZ124" s="1"/>
  <c r="G134"/>
  <c r="G136"/>
  <c r="BL137"/>
  <c r="G138"/>
  <c r="G140"/>
  <c r="BL141"/>
  <c r="G142"/>
  <c r="G144"/>
  <c r="BL145"/>
  <c r="G146"/>
  <c r="BL147"/>
  <c r="G148"/>
  <c r="BA150"/>
  <c r="BL150"/>
  <c r="BA152"/>
  <c r="AZ152" s="1"/>
  <c r="G155"/>
  <c r="G158"/>
  <c r="BA161"/>
  <c r="AZ161" s="1"/>
  <c r="BL161"/>
  <c r="BL163"/>
  <c r="AZ163" s="1"/>
  <c r="G164"/>
  <c r="BA166"/>
  <c r="AZ166" s="1"/>
  <c r="BL166"/>
  <c r="BA168"/>
  <c r="AZ168" s="1"/>
  <c r="G171"/>
  <c r="G174"/>
  <c r="BA177"/>
  <c r="BL177"/>
  <c r="BL179"/>
  <c r="AZ179" s="1"/>
  <c r="G180"/>
  <c r="BA182"/>
  <c r="BL182"/>
  <c r="BA184"/>
  <c r="AZ184" s="1"/>
  <c r="G187"/>
  <c r="G190"/>
  <c r="BA193"/>
  <c r="AZ193" s="1"/>
  <c r="BL193"/>
  <c r="BL195"/>
  <c r="AZ195" s="1"/>
  <c r="G196"/>
  <c r="BA198"/>
  <c r="AZ198" s="1"/>
  <c r="BL198"/>
  <c r="BA200"/>
  <c r="AZ200" s="1"/>
  <c r="BA202"/>
  <c r="BL202"/>
  <c r="BA204"/>
  <c r="AZ204" s="1"/>
  <c r="BA205"/>
  <c r="AZ205" s="1"/>
  <c r="BA206"/>
  <c r="AZ206" s="1"/>
  <c r="BL18"/>
  <c r="G19"/>
  <c r="G21"/>
  <c r="G24"/>
  <c r="G27"/>
  <c r="BL28"/>
  <c r="G29"/>
  <c r="BA30"/>
  <c r="BL30"/>
  <c r="BA32"/>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K100" i="43"/>
  <c r="U13" i="33"/>
  <c r="W40"/>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AZ461" s="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2"/>
  <c r="AZ477"/>
  <c r="AZ481"/>
  <c r="AZ217"/>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AZ207"/>
  <c r="AZ23"/>
  <c r="G100" i="43"/>
  <c r="G204" i="3"/>
  <c r="G206"/>
  <c r="G207"/>
  <c r="BL207"/>
  <c r="BA18"/>
  <c r="AZ18" s="1"/>
  <c r="BL20"/>
  <c r="AZ20" s="1"/>
  <c r="G23"/>
  <c r="BL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AA29"/>
  <c r="AB29"/>
  <c r="W38"/>
  <c r="H41"/>
  <c r="F121"/>
  <c r="G121" s="1"/>
  <c r="H121" s="1"/>
  <c r="I121" s="1"/>
  <c r="J121" s="1"/>
  <c r="K121" s="1"/>
  <c r="L121" s="1"/>
  <c r="M121" s="1"/>
  <c r="U42"/>
  <c r="S42"/>
  <c r="G111"/>
  <c r="F36" s="1"/>
  <c r="G108"/>
  <c r="H108" s="1"/>
  <c r="I108" s="1"/>
  <c r="J108" s="1"/>
  <c r="K108" s="1"/>
  <c r="L108" s="1"/>
  <c r="M108" s="1"/>
  <c r="J35"/>
  <c r="S37"/>
  <c r="AA37"/>
  <c r="S39"/>
  <c r="F101"/>
  <c r="J32" s="1"/>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E56" i="40"/>
  <c r="AR12" i="1"/>
  <c r="AQ12"/>
  <c r="T12"/>
  <c r="T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38" i="67"/>
  <c r="F8"/>
  <c r="M28"/>
  <c r="M8"/>
  <c r="F43" i="15"/>
  <c r="L48"/>
  <c r="F42"/>
  <c r="L48" i="67"/>
  <c r="J15" i="15"/>
  <c r="M6"/>
  <c r="F36" i="67"/>
  <c r="F26"/>
  <c r="M6"/>
  <c r="F38" i="15"/>
  <c r="F36"/>
  <c r="J15" i="67"/>
  <c r="M24"/>
  <c r="C76" i="15"/>
  <c r="F13" i="67"/>
  <c r="M26" i="15"/>
  <c r="F26"/>
  <c r="M28"/>
  <c r="F37"/>
  <c r="M9"/>
  <c r="F43" i="67"/>
  <c r="F9" i="15"/>
  <c r="F16" i="67"/>
  <c r="F13" i="15"/>
  <c r="M23"/>
  <c r="M22" i="67"/>
  <c r="M29"/>
  <c r="M8" i="15"/>
  <c r="F37" i="67"/>
  <c r="M22" i="15"/>
  <c r="F7" i="67"/>
  <c r="M9"/>
  <c r="F7" i="15"/>
  <c r="F40" i="67"/>
  <c r="M26"/>
  <c r="L47" i="15"/>
  <c r="F40"/>
  <c r="F6" i="67"/>
  <c r="F16" i="15"/>
  <c r="F9" i="67"/>
  <c r="C76"/>
  <c r="F8" i="15"/>
  <c r="M29"/>
  <c r="F42" i="67"/>
  <c r="L47"/>
  <c r="M24" i="15"/>
  <c r="F6"/>
  <c r="M23" i="67"/>
  <c r="G1" i="73"/>
  <c r="AA40" i="40" l="1"/>
  <c r="S40"/>
  <c r="AA34" i="35"/>
  <c r="S34"/>
  <c r="AA9" i="34"/>
  <c r="S9"/>
  <c r="AA38" i="33"/>
  <c r="S38"/>
  <c r="G101"/>
  <c r="H101" s="1"/>
  <c r="I101" s="1"/>
  <c r="J101" s="1"/>
  <c r="K101" s="1"/>
  <c r="L101" s="1"/>
  <c r="M101" s="1"/>
  <c r="H32"/>
  <c r="F32"/>
  <c r="AZ46" i="3"/>
  <c r="AZ42"/>
  <c r="AZ32"/>
  <c r="AZ30"/>
  <c r="AZ202"/>
  <c r="AZ182"/>
  <c r="AZ177"/>
  <c r="AZ150"/>
  <c r="AZ293"/>
  <c r="AZ284"/>
  <c r="AZ215"/>
  <c r="AZ468"/>
  <c r="AZ399"/>
  <c r="AR10" i="1"/>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S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S2" s="1"/>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L27" i="6"/>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AB45" i="21"/>
  <c r="AC33"/>
  <c r="W33"/>
  <c r="S33"/>
  <c r="AA33"/>
  <c r="W32"/>
  <c r="AC32"/>
  <c r="AB9"/>
  <c r="U9"/>
  <c r="AA32"/>
  <c r="S32"/>
  <c r="W9"/>
  <c r="AC9"/>
  <c r="AB32"/>
  <c r="U32"/>
  <c r="AA10"/>
  <c r="S10"/>
  <c r="C36" i="69"/>
  <c r="F59" i="15"/>
  <c r="F31" i="67"/>
  <c r="F31" i="15"/>
  <c r="M17" i="67"/>
  <c r="M17" i="15"/>
  <c r="F59" i="67"/>
  <c r="C16"/>
  <c r="C17" i="15"/>
  <c r="C16"/>
  <c r="K16" i="1" l="1"/>
  <c r="AQ7"/>
  <c r="AB32" i="33"/>
  <c r="U32"/>
  <c r="AA32"/>
  <c r="S32"/>
  <c r="S3" i="43"/>
  <c r="C23"/>
  <c r="C21" s="1"/>
  <c r="S5"/>
  <c r="S7"/>
  <c r="S4"/>
  <c r="S6"/>
  <c r="B73" i="72"/>
  <c r="B4"/>
  <c r="F11" i="33"/>
  <c r="H11"/>
  <c r="J11"/>
  <c r="B4" i="62"/>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M27" i="6"/>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5" i="6" l="1"/>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M21" i="15"/>
  <c r="F35" i="67"/>
  <c r="F35" i="15"/>
  <c r="M21" i="67"/>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F41"/>
  <c r="M27" i="67"/>
  <c r="M27" i="15"/>
  <c r="F41" i="67"/>
  <c r="L51" i="15"/>
  <c r="Q67"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AO8"/>
  <c r="AO6"/>
  <c r="E2" i="69"/>
  <c r="B8" i="70" l="1"/>
  <c r="B7"/>
  <c r="B6"/>
  <c r="C46" i="15"/>
  <c r="B2" i="69"/>
  <c r="B3" s="1"/>
  <c r="B2" i="68"/>
  <c r="B3" i="67"/>
  <c r="D2" i="35"/>
  <c r="C19" i="9"/>
  <c r="E2" i="68"/>
  <c r="D2" i="36"/>
  <c r="D2" i="37"/>
  <c r="D2" i="21"/>
  <c r="D2" i="33"/>
  <c r="F20" i="31"/>
  <c r="D2" i="34"/>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0"/>
  <c r="F66" i="39"/>
  <c r="B2" s="1"/>
  <c r="B3" s="1"/>
  <c r="D35" i="9"/>
  <c r="B21" i="31" l="1"/>
  <c r="C35" i="9"/>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<sst xmlns="http://schemas.openxmlformats.org/spreadsheetml/2006/main" count="8119" uniqueCount="3280">
  <si>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</si>
  <si>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</si>
  <si>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</si>
  <si>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</si>
  <si>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</si>
  <si>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</si>
  <si>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</si>
  <si>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</si>
  <si>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</si>
  <si>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</si>
  <si>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</si>
  <si>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</si>
  <si>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</si>
  <si>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</si>
  <si>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</si>
  <si>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</si>
  <si>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</si>
  <si>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</si>
  <si>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</si>
  <si>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</si>
  <si>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</si>
  <si>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</si>
  <si>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</si>
  <si>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</si>
  <si>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</si>
  <si>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</si>
  <si>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</si>
  <si>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</si>
  <si>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</si>
  <si>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</si>
  <si>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</si>
  <si>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</si>
  <si>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</si>
  <si>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</si>
  <si>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</si>
  <si>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</si>
  <si>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</si>
  <si>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</si>
  <si>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</si>
  <si>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</si>
  <si>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</si>
  <si>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</si>
  <si>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</si>
  <si>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</si>
  <si>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</si>
  <si>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</si>
  <si>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</si>
  <si>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</si>
  <si>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</si>
  <si>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</si>
  <si>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</si>
  <si>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</si>
  <si>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</si>
  <si>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</si>
  <si>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</si>
  <si>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</si>
  <si>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</si>
  <si>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</si>
  <si>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</si>
  <si>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</si>
  <si>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</si>
  <si>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</si>
  <si>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</si>
  <si>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</si>
  <si>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</si>
  <si>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</si>
  <si>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</si>
  <si>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</si>
  <si>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</si>
  <si>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</si>
  <si>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</si>
  <si>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</si>
  <si>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</si>
  <si>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</si>
  <si>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</si>
  <si>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</si>
  <si>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</si>
  <si>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</si>
  <si>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</si>
  <si>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</si>
  <si>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</si>
  <si>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</si>
  <si>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</si>
  <si>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</si>
  <si>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</si>
  <si>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</si>
  <si>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</si>
  <si>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</si>
  <si>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</si>
  <si>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</si>
  <si>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</si>
  <si>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</si>
  <si>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</si>
  <si>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</si>
  <si>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</si>
  <si>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</si>
  <si>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</si>
  <si>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</si>
  <si>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</si>
  <si>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</si>
  <si>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</si>
  <si>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</si>
  <si>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</si>
  <si>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</si>
  <si>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</si>
  <si>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</si>
  <si>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</si>
  <si>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</si>
  <si>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</si>
  <si>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</si>
  <si>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</si>
  <si>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</si>
  <si>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</si>
  <si>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</si>
  <si>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</si>
  <si>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</si>
  <si>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</si>
  <si>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</si>
  <si>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</si>
  <si>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</si>
  <si>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</si>
  <si>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</si>
  <si>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</si>
  <si>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</si>
  <si>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</si>
  <si>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</si>
  <si>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</si>
  <si>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</si>
  <si>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</si>
  <si>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</si>
  <si>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</si>
  <si>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</si>
  <si>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</si>
  <si>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</si>
  <si>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</si>
  <si>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</si>
  <si>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</si>
  <si>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</si>
  <si>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</si>
  <si>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</si>
  <si>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</si>
  <si>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</si>
  <si>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</si>
  <si>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</si>
  <si>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</si>
  <si>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</si>
  <si>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</si>
  <si>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</si>
  <si>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</si>
  <si>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</si>
  <si>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</si>
  <si>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</si>
  <si>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</si>
  <si>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</si>
  <si>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</si>
  <si>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</si>
  <si>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</si>
  <si>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</si>
  <si>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</si>
  <si>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</si>
  <si>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</si>
  <si>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</si>
  <si>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</si>
  <si>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</si>
  <si>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</si>
  <si>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</si>
  <si>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</si>
  <si>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</si>
  <si>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</si>
  <si>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</si>
  <si>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</si>
  <si>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</si>
  <si>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</si>
  <si>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</si>
  <si>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</si>
  <si>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</si>
  <si>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</si>
  <si>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</si>
  <si>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</si>
  <si>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</si>
  <si>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</si>
  <si>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</si>
  <si>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</si>
  <si>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</si>
  <si>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</si>
  <si>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</si>
  <si>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</si>
  <si>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</si>
  <si>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</si>
  <si>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</si>
  <si>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</si>
  <si>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</si>
  <si>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</si>
  <si>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</si>
  <si>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</si>
  <si>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</si>
  <si>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</si>
  <si>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</si>
  <si>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</si>
  <si>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</si>
  <si>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</si>
  <si>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</si>
  <si>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</si>
  <si>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</si>
  <si>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</si>
  <si>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</si>
  <si>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</si>
  <si>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</si>
  <si>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</si>
  <si>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</si>
  <si>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</si>
  <si>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</si>
  <si>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</si>
  <si>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</si>
  <si>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</si>
  <si>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</si>
  <si>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</si>
  <si>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</si>
  <si>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</si>
  <si>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</si>
  <si>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</si>
  <si>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</si>
  <si>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</si>
  <si>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</si>
  <si>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</si>
  <si>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</si>
  <si>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</si>
  <si>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</si>
  <si>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</si>
  <si>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</si>
  <si>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</si>
  <si>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</si>
  <si>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</si>
  <si>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</si>
  <si>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</si>
  <si>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</si>
  <si>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</si>
  <si>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</si>
  <si>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</si>
  <si>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</si>
  <si>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</si>
  <si>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</si>
  <si>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</si>
  <si>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</si>
  <si>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</si>
  <si>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</si>
  <si>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</si>
  <si>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</si>
  <si>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</si>
  <si>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</si>
  <si>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</si>
  <si>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</si>
  <si>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</si>
  <si>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</si>
  <si>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</si>
  <si>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</si>
  <si>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</si>
  <si>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</si>
  <si>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</si>
  <si>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</si>
  <si>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</si>
  <si>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</si>
  <si>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</si>
  <si>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</si>
  <si>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</si>
  <si>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</si>
  <si>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</si>
  <si>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</si>
  <si>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</si>
  <si>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</si>
  <si>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</si>
  <si>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</si>
  <si>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</si>
  <si>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</si>
  <si>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</si>
  <si>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</si>
  <si>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</si>
  <si>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</si>
  <si>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</si>
  <si>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</si>
  <si>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</si>
  <si>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</si>
  <si>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</si>
  <si>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</si>
  <si>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</si>
  <si>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</si>
  <si>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</si>
  <si>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</si>
  <si>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</si>
  <si>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</si>
  <si>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</si>
  <si>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</si>
  <si>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</si>
  <si>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</si>
  <si>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</si>
  <si>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</si>
  <si>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</si>
  <si>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</si>
  <si>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</si>
  <si>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</si>
  <si>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</si>
  <si>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</si>
  <si>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</si>
  <si>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</si>
  <si>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</si>
  <si>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</si>
  <si>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</si>
  <si>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</si>
  <si>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</si>
  <si>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</si>
  <si>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</si>
  <si>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</si>
  <si>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</si>
  <si>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</si>
  <si>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</si>
  <si>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</si>
  <si>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</si>
  <si>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</si>
  <si>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</si>
  <si>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</si>
  <si>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</si>
  <si>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</si>
  <si>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</si>
  <si>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</si>
  <si>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</si>
  <si>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</si>
  <si>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</si>
  <si>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</si>
  <si>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</si>
  <si>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</si>
  <si>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</si>
  <si>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</si>
  <si>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</si>
  <si>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</si>
  <si>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</si>
  <si>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</si>
  <si>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</si>
  <si>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</si>
  <si>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</si>
  <si>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</si>
  <si>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</si>
  <si>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</si>
  <si>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</si>
  <si>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</si>
  <si>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</si>
  <si>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</si>
  <si>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</si>
  <si>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</si>
  <si>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</si>
  <si>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</si>
  <si>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</si>
  <si>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</si>
  <si>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</si>
  <si>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</si>
  <si>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</si>
  <si>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</si>
  <si>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</si>
  <si>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</si>
  <si>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</si>
  <si>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</si>
  <si>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</si>
  <si>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</si>
  <si>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</si>
  <si>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</si>
  <si>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</si>
  <si>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</si>
  <si>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</si>
  <si>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</si>
  <si>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</si>
  <si>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</si>
  <si>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</si>
  <si>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</si>
  <si>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</si>
  <si>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</si>
  <si>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</si>
  <si>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</si>
  <si>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</si>
  <si>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</si>
  <si>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</si>
  <si>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</si>
  <si>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</si>
  <si>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</si>
  <si>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</si>
  <si>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</si>
  <si>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</si>
  <si>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</si>
  <si>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</si>
  <si>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</si>
  <si>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</si>
  <si>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</si>
  <si>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</si>
  <si>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</si>
  <si>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</si>
  <si>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</si>
  <si>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</si>
  <si>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</si>
  <si>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</si>
  <si>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</si>
  <si>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</si>
  <si>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</si>
  <si>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</si>
  <si>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</si>
  <si>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</si>
  <si>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</si>
  <si>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</si>
  <si>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</si>
  <si>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</si>
  <si>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</si>
  <si>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</si>
  <si>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</si>
  <si>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</si>
  <si>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</si>
  <si>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</si>
  <si>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</si>
  <si>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</si>
  <si>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</si>
  <si>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</si>
  <si>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</si>
  <si>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</si>
  <si>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</si>
  <si>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</si>
  <si>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</si>
  <si>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</si>
  <si>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</si>
  <si>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</si>
  <si>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</si>
  <si>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</si>
  <si>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</si>
  <si>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</si>
  <si>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</si>
  <si>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</si>
  <si>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</si>
  <si>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</si>
  <si>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</si>
  <si>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</si>
  <si>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</si>
  <si>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</si>
  <si>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</si>
  <si>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</si>
  <si>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</si>
  <si>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</si>
  <si>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</si>
  <si>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</si>
  <si>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</si>
  <si>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</si>
  <si>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</si>
  <si>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</si>
  <si>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</si>
  <si>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</si>
  <si>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</si>
  <si>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</si>
  <si>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</si>
  <si>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</si>
  <si>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</si>
  <si>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</si>
  <si>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</si>
  <si>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</si>
  <si>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</si>
  <si>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</si>
  <si>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</si>
  <si>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</si>
  <si>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</si>
  <si>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</si>
  <si>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</si>
  <si>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</si>
  <si>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</si>
  <si>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</si>
  <si>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</si>
  <si>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</si>
  <si>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</si>
  <si>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</si>
  <si>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</si>
  <si>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</si>
  <si>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</si>
  <si>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</si>
  <si>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</si>
  <si>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</si>
  <si>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</si>
  <si>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</si>
  <si>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</si>
  <si>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</si>
  <si>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</si>
  <si>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</si>
  <si>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</si>
  <si>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</si>
  <si>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</si>
  <si>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</si>
  <si>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</si>
  <si>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</si>
  <si>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</si>
  <si>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</si>
  <si>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</si>
  <si>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</si>
  <si>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</si>
  <si>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</si>
  <si>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</si>
  <si>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</si>
  <si>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</si>
  <si>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</si>
  <si>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</si>
  <si>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</si>
  <si>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</si>
  <si>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</si>
  <si>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</si>
  <si>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</si>
  <si>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</si>
  <si>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</si>
  <si>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</si>
  <si>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</si>
  <si>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</si>
  <si>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</si>
  <si>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</si>
  <si>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</si>
  <si>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</si>
  <si>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</si>
  <si>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</si>
  <si>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</si>
  <si>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</si>
  <si>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</si>
  <si>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</si>
  <si>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</si>
  <si>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</si>
  <si>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</si>
  <si>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</si>
  <si>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</si>
  <si>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</si>
  <si>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</si>
  <si>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</si>
  <si>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</si>
  <si>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</si>
  <si>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</si>
  <si>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</si>
  <si>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</si>
  <si>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</si>
  <si>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</si>
  <si>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</si>
  <si>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</si>
  <si>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</si>
  <si>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</si>
  <si>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</si>
  <si>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</si>
  <si>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</si>
  <si>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</si>
  <si>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</si>
  <si>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</si>
  <si>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</si>
  <si>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</si>
  <si>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</si>
  <si>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</si>
  <si>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</si>
  <si>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</si>
  <si>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</si>
  <si>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</si>
  <si>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</si>
  <si>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</si>
  <si>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</si>
  <si>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</si>
  <si>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</si>
  <si>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</si>
  <si>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</si>
  <si>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</si>
  <si>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</si>
  <si>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</si>
  <si>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</si>
  <si>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</si>
  <si>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</si>
  <si>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</si>
  <si>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</si>
  <si>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</si>
  <si>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</si>
  <si>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</si>
  <si>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</si>
  <si>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</si>
  <si>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</si>
  <si>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</si>
  <si>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</si>
  <si>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</si>
  <si>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</si>
  <si>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</si>
  <si>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</si>
  <si>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</si>
  <si>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</si>
  <si>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</si>
  <si>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</si>
  <si>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</si>
  <si>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</si>
  <si>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</si>
  <si>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</si>
  <si>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</si>
  <si>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</si>
  <si>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</si>
  <si>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</si>
  <si>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</si>
  <si>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</si>
  <si>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</si>
  <si>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</si>
  <si>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</si>
  <si>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</si>
  <si>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</si>
  <si>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</si>
  <si>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</si>
  <si>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</si>
  <si>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</si>
  <si>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</si>
  <si>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</si>
  <si>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</si>
  <si>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</si>
  <si>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</si>
  <si>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</si>
  <si>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</si>
  <si>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</si>
  <si>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</si>
  <si>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</si>
  <si>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</si>
  <si>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</si>
  <si>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</si>
  <si>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</si>
  <si>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</si>
  <si>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</si>
  <si>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</si>
  <si>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</si>
  <si>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</si>
  <si>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</si>
  <si>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</si>
  <si>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</si>
  <si>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</si>
  <si>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</si>
  <si>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</si>
  <si>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</si>
  <si>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</si>
  <si>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</si>
  <si>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</si>
  <si>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</si>
  <si>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</si>
  <si>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</si>
  <si>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</si>
  <si>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</si>
  <si>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</si>
  <si>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</si>
  <si>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</si>
  <si>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</si>
  <si>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</si>
  <si>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</si>
  <si>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</si>
  <si>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</si>
  <si>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</si>
  <si>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</si>
  <si>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</si>
  <si>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</si>
  <si>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</si>
  <si>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</si>
  <si>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</si>
  <si>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</si>
  <si>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</si>
  <si>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</si>
  <si>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</si>
  <si>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</si>
  <si>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</si>
  <si>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</si>
  <si>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</si>
  <si>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</si>
  <si>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</si>
  <si>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</si>
  <si>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</si>
  <si>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</si>
  <si>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</si>
  <si>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</si>
  <si>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</si>
  <si>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</si>
  <si>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</si>
  <si>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</si>
  <si>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</si>
  <si>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</si>
  <si>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</si>
  <si>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</si>
  <si>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</si>
  <si>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</si>
  <si>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</si>
  <si>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</si>
  <si>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</si>
  <si>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</si>
  <si>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</si>
  <si>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</si>
  <si>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</si>
  <si>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</si>
  <si>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</si>
  <si>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</si>
  <si>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</si>
  <si>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</si>
  <si>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</si>
  <si>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</si>
  <si>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</si>
  <si>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</si>
  <si>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</si>
  <si>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</si>
  <si>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</si>
  <si>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</si>
  <si>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</si>
  <si>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</si>
  <si>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</si>
  <si>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</si>
  <si>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</si>
  <si>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</si>
  <si>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</si>
  <si>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</si>
  <si>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</si>
  <si>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</si>
  <si>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</si>
  <si>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</si>
  <si>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</si>
  <si>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</si>
  <si>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</si>
  <si>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</si>
  <si>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</si>
  <si>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</si>
  <si>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</si>
  <si>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</si>
  <si>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</si>
  <si>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</si>
  <si>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</si>
  <si>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</si>
  <si>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</si>
  <si>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</si>
  <si>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</si>
  <si>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</si>
  <si>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</si>
  <si>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</si>
  <si>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</si>
  <si>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</si>
  <si>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</si>
  <si>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</si>
  <si>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</si>
  <si>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</si>
  <si>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</si>
  <si>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</si>
  <si>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</si>
  <si>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</si>
  <si>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</si>
  <si>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</si>
  <si>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</si>
  <si>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</si>
  <si>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</si>
  <si>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</si>
  <si>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</si>
  <si>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</si>
  <si>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</si>
  <si>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</si>
  <si>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</si>
  <si>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</si>
  <si>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</si>
  <si>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</si>
  <si>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</si>
  <si>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</si>
  <si>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</si>
  <si>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</si>
  <si>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</si>
  <si>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</si>
  <si>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</si>
  <si>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</si>
  <si>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</si>
  <si>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</si>
  <si>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</si>
  <si>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</si>
  <si>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</si>
  <si>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</si>
  <si>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</si>
  <si>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</si>
  <si>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</si>
  <si>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</si>
  <si>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</si>
  <si>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</si>
  <si>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</si>
  <si>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</si>
  <si>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</si>
  <si>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</si>
  <si>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</si>
  <si>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</si>
  <si>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</si>
  <si>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</si>
  <si>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</si>
  <si>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</si>
  <si>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</si>
  <si>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</si>
  <si>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</si>
  <si>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</si>
  <si>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</si>
  <si>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</si>
  <si>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</si>
  <si>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</si>
  <si>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</si>
  <si>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</si>
  <si>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</si>
  <si>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</si>
  <si>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</si>
  <si>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</si>
  <si>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</si>
  <si>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</si>
  <si>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</si>
  <si>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</si>
  <si>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</si>
  <si>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</si>
  <si>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</si>
  <si>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</si>
  <si>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</si>
  <si>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</si>
  <si>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</si>
  <si>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</si>
  <si>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</si>
  <si>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</si>
  <si>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</si>
  <si>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</si>
  <si>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</si>
  <si>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</si>
  <si>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</si>
  <si>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</si>
  <si>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</si>
  <si>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</si>
  <si>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</si>
  <si>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</si>
  <si>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</si>
  <si>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</si>
  <si>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</si>
  <si>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</si>
  <si>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</si>
  <si>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</si>
  <si>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</si>
  <si>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</si>
  <si>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</si>
  <si>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</si>
  <si>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</si>
  <si>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</si>
  <si>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</si>
  <si>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</si>
  <si>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</si>
  <si>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</si>
  <si>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</si>
  <si>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</si>
  <si>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</si>
  <si>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</si>
  <si>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</si>
  <si>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</si>
  <si>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</si>
  <si>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</si>
  <si>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</si>
  <si>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</si>
  <si>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</si>
  <si>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</si>
  <si>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</si>
  <si>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</si>
  <si>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</si>
  <si>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</si>
  <si>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</si>
  <si>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</si>
  <si>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</si>
  <si>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</si>
  <si>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</si>
  <si>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</si>
  <si>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</si>
  <si>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</si>
  <si>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</si>
  <si>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</si>
  <si>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</si>
  <si>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</si>
  <si>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</si>
  <si>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</si>
  <si>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</si>
  <si>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</si>
  <si>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</si>
  <si>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</si>
  <si>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</si>
  <si>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</si>
  <si>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</si>
  <si>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</si>
  <si>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</si>
  <si>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</si>
  <si>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</si>
  <si>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</si>
  <si>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</si>
  <si>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</si>
  <si>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</si>
  <si>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</si>
  <si>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</si>
  <si>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</si>
  <si>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</si>
  <si>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</si>
  <si>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</si>
  <si>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</si>
  <si>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</si>
  <si>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</si>
  <si>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</si>
  <si>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</si>
  <si>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</si>
  <si>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</si>
  <si>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</si>
  <si>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</si>
  <si>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</si>
  <si>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</si>
  <si>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</si>
  <si>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</si>
  <si>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</si>
  <si>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</si>
  <si>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</si>
  <si>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</si>
  <si>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</si>
  <si>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</si>
  <si>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</si>
  <si>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</si>
  <si>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</si>
  <si>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</si>
  <si>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</si>
  <si>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</si>
  <si>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</si>
  <si>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</si>
  <si>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</si>
  <si>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</si>
  <si>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</si>
  <si>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</si>
  <si>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</si>
  <si>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</si>
  <si>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</si>
  <si>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</si>
  <si>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</si>
  <si>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</si>
  <si>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</si>
  <si>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</si>
  <si>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</si>
  <si>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</si>
  <si>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</si>
  <si>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</si>
  <si>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</si>
  <si>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</si>
  <si>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</si>
  <si>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</si>
  <si>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</si>
  <si>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</si>
  <si>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</si>
  <si>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</si>
  <si>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</si>
  <si>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</si>
  <si>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</si>
  <si>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</si>
  <si>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</si>
  <si>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</si>
  <si>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</si>
  <si>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</si>
  <si>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</si>
  <si>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</si>
  <si>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</si>
  <si>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</si>
  <si>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</si>
  <si>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</si>
  <si>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</si>
  <si>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</si>
  <si>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</si>
  <si>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</si>
  <si>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</si>
  <si>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</si>
  <si>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</si>
  <si>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</si>
  <si>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</si>
  <si>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</si>
  <si>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</si>
  <si>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</si>
  <si>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</si>
  <si>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</si>
  <si>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</si>
  <si>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</si>
  <si>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</si>
  <si>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</si>
  <si>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</si>
  <si>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</si>
  <si>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</si>
  <si>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</si>
  <si>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</si>
  <si>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</si>
  <si>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</si>
  <si>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</si>
  <si>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</si>
  <si>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</si>
  <si>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</si>
  <si>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</si>
  <si>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</si>
  <si>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</si>
  <si>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</si>
  <si>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</si>
  <si>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</si>
  <si>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</si>
  <si>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</si>
  <si>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</si>
  <si>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</si>
  <si>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</si>
  <si>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</si>
  <si>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</si>
  <si>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</si>
  <si>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</si>
  <si>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</si>
  <si>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</si>
  <si>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</si>
  <si>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</si>
  <si>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</si>
  <si>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</si>
  <si>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</si>
  <si>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</si>
  <si>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</si>
  <si>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</si>
  <si>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</si>
  <si>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</si>
  <si>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</si>
  <si>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</si>
  <si>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</si>
  <si>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</si>
  <si>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</si>
  <si>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</si>
  <si>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</si>
  <si>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</si>
  <si>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</si>
  <si>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</si>
  <si>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</si>
  <si>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</si>
  <si>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</si>
  <si>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</si>
  <si>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</si>
  <si>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</si>
  <si>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</si>
  <si>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</si>
  <si>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</si>
  <si>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</si>
  <si>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</si>
  <si>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</si>
  <si>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</si>
  <si>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</si>
  <si>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</si>
  <si>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</si>
  <si>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</si>
  <si>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</si>
  <si>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</si>
  <si>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</si>
  <si>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</si>
  <si>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</si>
  <si>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</si>
  <si>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</si>
  <si>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</si>
  <si>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</si>
  <si>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</si>
  <si>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</si>
  <si>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</si>
  <si>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</si>
  <si>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</si>
  <si>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</si>
  <si>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</si>
  <si>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</si>
  <si>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</si>
  <si>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</si>
  <si>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</si>
  <si>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</si>
  <si>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</si>
  <si>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</si>
  <si>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</si>
  <si>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</si>
  <si>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</si>
  <si>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</si>
  <si>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</si>
  <si>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</si>
  <si>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</si>
  <si>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</si>
  <si>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</si>
  <si>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</si>
  <si>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</si>
  <si>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</si>
  <si>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</si>
  <si>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</si>
  <si>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</si>
  <si>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</si>
  <si>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</si>
  <si>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</si>
  <si>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</si>
  <si>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</si>
  <si>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</si>
  <si>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</si>
  <si>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</si>
  <si>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</si>
  <si>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</si>
  <si>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</si>
  <si>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</si>
  <si>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</si>
  <si>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</si>
  <si>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</si>
  <si>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</si>
  <si>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</si>
  <si>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</si>
  <si>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</si>
  <si>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</si>
  <si>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</si>
  <si>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</si>
  <si>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</si>
  <si>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</si>
  <si>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</si>
  <si>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</si>
  <si>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</si>
  <si>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</si>
  <si>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</si>
  <si>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</si>
  <si>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</si>
  <si>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</si>
  <si>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</si>
  <si>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</si>
  <si>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</si>
  <si>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</si>
  <si>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</si>
  <si>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</si>
  <si>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</si>
  <si>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</si>
  <si>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</si>
  <si>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</si>
  <si>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</si>
  <si>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</si>
  <si>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</si>
  <si>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</si>
  <si>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</si>
  <si>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</si>
  <si>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</si>
  <si>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</si>
  <si>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</si>
  <si>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</si>
  <si>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</si>
  <si>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</si>
  <si>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</si>
  <si>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</si>
  <si>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</si>
  <si>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</si>
  <si>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</si>
  <si>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</si>
  <si>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</si>
  <si>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</si>
  <si>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</si>
  <si>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</si>
  <si>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</si>
  <si>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</si>
  <si>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</si>
  <si>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</si>
  <si>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</si>
  <si>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</si>
  <si>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</si>
  <si>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</si>
  <si>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</si>
  <si>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</si>
  <si>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</si>
  <si>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</si>
  <si>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</si>
  <si>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</si>
  <si>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</si>
  <si>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</si>
  <si>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</si>
  <si>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</si>
  <si>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</si>
  <si>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</si>
  <si>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</si>
  <si>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</si>
  <si>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</si>
  <si>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</si>
  <si>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</si>
  <si>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</si>
  <si>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</si>
  <si>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</si>
  <si>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</si>
  <si>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</si>
  <si>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</si>
  <si>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</si>
  <si>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</si>
  <si>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</si>
  <si>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</si>
  <si>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</si>
  <si>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</si>
  <si>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</si>
  <si>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</si>
  <si>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</si>
  <si>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</si>
  <si>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</si>
  <si>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</si>
  <si>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</si>
  <si>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</si>
  <si>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</si>
  <si>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</si>
  <si>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</si>
  <si>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</si>
  <si>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</si>
  <si>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</si>
  <si>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</si>
  <si>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</si>
  <si>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</si>
  <si>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</si>
  <si>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</si>
  <si>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</si>
  <si>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</si>
  <si>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</si>
  <si>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</si>
  <si>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</si>
  <si>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</si>
  <si>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</si>
  <si>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</si>
  <si>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</si>
  <si>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</si>
  <si>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</si>
  <si>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</si>
  <si>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</si>
  <si>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</si>
  <si>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</si>
  <si>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</si>
  <si>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</si>
  <si>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</si>
  <si>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</si>
  <si>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</si>
  <si>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</si>
  <si>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</si>
  <si>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</si>
  <si>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</si>
  <si>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</si>
  <si>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</si>
  <si>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</si>
  <si>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</si>
  <si>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</si>
  <si>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</si>
  <si>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</si>
  <si>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</si>
  <si>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</si>
  <si>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</si>
  <si>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</si>
  <si>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</si>
  <si>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</si>
  <si>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</si>
  <si>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</si>
  <si>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</si>
  <si>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</si>
  <si>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</si>
  <si>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</si>
  <si>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</si>
  <si>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</si>
  <si>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</si>
  <si>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</si>
  <si>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</si>
  <si>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</si>
  <si>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</si>
  <si>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</si>
  <si>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</si>
  <si>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</si>
  <si>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</si>
  <si>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</si>
  <si>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</si>
  <si>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</si>
  <si>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</si>
  <si>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</si>
  <si>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</si>
  <si>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</si>
  <si>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</si>
  <si>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</si>
  <si>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</si>
  <si>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</si>
  <si>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</si>
  <si>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</si>
  <si>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</si>
  <si>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</si>
  <si>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</si>
  <si>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</si>
  <si>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</si>
  <si>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</si>
  <si>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</si>
  <si>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</si>
  <si>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</si>
  <si>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</si>
  <si>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</si>
  <si>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</si>
  <si>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</si>
  <si>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</si>
  <si>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</si>
  <si>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</si>
  <si>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</si>
  <si>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</si>
  <si>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</si>
  <si>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</si>
  <si>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</si>
  <si>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</si>
  <si>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</si>
  <si>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</si>
  <si>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</si>
  <si>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</si>
  <si>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</si>
  <si>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</si>
  <si>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</si>
  <si>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</si>
  <si>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</si>
  <si>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</si>
  <si>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</si>
  <si>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</si>
  <si>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</si>
  <si>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</si>
  <si>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</si>
  <si>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</si>
  <si>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</si>
  <si>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</si>
  <si>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</si>
  <si>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</si>
  <si>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</si>
  <si>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</si>
  <si>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</si>
  <si>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</si>
  <si>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</si>
  <si>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</si>
  <si>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</si>
  <si>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</si>
  <si>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</si>
  <si>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</si>
  <si>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</si>
  <si>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</si>
  <si>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</si>
  <si>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</si>
  <si>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</si>
  <si>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</si>
  <si>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</si>
  <si>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</si>
  <si>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</si>
  <si>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</si>
  <si>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</si>
  <si>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</si>
  <si>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</si>
  <si>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</si>
  <si>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</si>
  <si>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</si>
  <si>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</si>
  <si>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</si>
  <si>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</si>
  <si>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</si>
  <si>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</si>
  <si>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</si>
  <si>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</si>
  <si>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</si>
  <si>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</si>
  <si>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</si>
  <si>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</si>
  <si>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</si>
  <si>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</si>
  <si>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</si>
  <si>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</si>
  <si>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</si>
  <si>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</si>
  <si>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</si>
  <si>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</si>
  <si>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</si>
  <si>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</si>
  <si>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</si>
  <si>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</si>
  <si>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</si>
  <si>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</si>
  <si>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</si>
  <si>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</si>
  <si>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</si>
  <si>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</si>
  <si>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</si>
  <si>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</si>
  <si>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</si>
  <si>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</si>
  <si>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</si>
  <si>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</si>
  <si>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</si>
  <si>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</si>
  <si>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</si>
  <si>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</si>
  <si>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</si>
  <si>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</si>
  <si>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</si>
  <si>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</si>
  <si>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</si>
  <si>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</si>
  <si>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</si>
  <si>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</si>
  <si>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</si>
  <si>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</si>
  <si>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</si>
  <si>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</si>
  <si>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</si>
  <si>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</si>
  <si>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</si>
  <si>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</si>
  <si>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</si>
  <si>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</si>
  <si>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</si>
  <si>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</si>
  <si>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</si>
  <si>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</si>
  <si>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</si>
  <si>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</si>
  <si>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</si>
  <si>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</si>
  <si>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</si>
  <si>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</si>
  <si>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</si>
  <si>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</si>
  <si>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</si>
  <si>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</si>
  <si>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</si>
  <si>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</si>
  <si>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</si>
  <si>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</si>
  <si>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</si>
  <si>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</si>
  <si>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</si>
  <si>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</si>
  <si>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</si>
  <si>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</si>
  <si>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</si>
  <si>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</si>
  <si>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</si>
  <si>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</si>
  <si>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</si>
  <si>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</si>
  <si>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</si>
  <si>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</si>
  <si>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</si>
  <si>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</si>
  <si>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</si>
  <si>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</si>
  <si>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</si>
  <si>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</si>
  <si>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</si>
  <si>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</si>
  <si>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</si>
  <si>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</si>
  <si>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</si>
  <si>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</si>
  <si>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</si>
  <si>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</si>
  <si>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</si>
  <si>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</si>
  <si>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</si>
  <si>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</si>
  <si>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</si>
  <si>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</si>
  <si>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</si>
  <si>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</si>
  <si>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</si>
  <si>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</si>
  <si>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</si>
  <si>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</si>
  <si>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</si>
  <si>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</si>
  <si>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</si>
  <si>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</si>
  <si>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</si>
  <si>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</si>
  <si>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</si>
  <si>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</si>
  <si>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</si>
  <si>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</si>
  <si>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</si>
  <si>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</si>
  <si>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</si>
  <si>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</si>
  <si>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</si>
  <si>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</si>
  <si>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</si>
  <si>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</si>
  <si>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</si>
  <si>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</si>
  <si>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</si>
  <si>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</si>
  <si>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</si>
  <si>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</si>
  <si>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</si>
  <si>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</si>
  <si>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</si>
  <si>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</si>
  <si>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</si>
  <si>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</si>
  <si>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</si>
  <si>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</si>
  <si>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</si>
  <si>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</si>
  <si>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</si>
  <si>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</si>
  <si>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</si>
  <si>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</si>
  <si>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</si>
  <si>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</si>
  <si>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</si>
  <si>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</si>
  <si>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</si>
  <si>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</si>
  <si>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</si>
  <si>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</si>
  <si>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</si>
  <si>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</si>
  <si>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</si>
  <si>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</si>
  <si>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</si>
  <si>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</si>
  <si>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</si>
  <si>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</si>
  <si>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</si>
  <si>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</si>
  <si>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</si>
  <si>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</si>
  <si>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</si>
  <si>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</si>
  <si>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</si>
  <si>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</si>
  <si>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</si>
  <si>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</si>
  <si>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</si>
  <si>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</si>
  <si>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</si>
  <si>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</si>
  <si>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</si>
  <si>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</si>
  <si>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</si>
  <si>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</si>
  <si>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</si>
  <si>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</si>
  <si>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</si>
  <si>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</si>
  <si>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</si>
  <si>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</si>
  <si>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</si>
  <si>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</si>
  <si>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</si>
  <si>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</si>
  <si>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</si>
  <si>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</si>
  <si>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</si>
  <si>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</si>
  <si>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</si>
  <si>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</si>
  <si>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</si>
  <si>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</si>
  <si>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</si>
  <si>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</si>
  <si>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</si>
  <si>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</si>
  <si>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</si>
  <si>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</si>
  <si>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</si>
  <si>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</si>
  <si>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</si>
  <si>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</si>
  <si>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</si>
  <si>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</si>
  <si>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</si>
  <si>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</si>
  <si>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</si>
  <si>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</si>
  <si>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</si>
  <si>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</si>
  <si>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</si>
  <si>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</si>
  <si>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</si>
  <si>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</si>
  <si>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</si>
  <si>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</si>
  <si>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</si>
  <si>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</si>
  <si>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</si>
  <si>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</si>
  <si>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</si>
  <si>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</si>
  <si>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</si>
  <si>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</si>
  <si>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</si>
  <si>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</si>
  <si>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</si>
  <si>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</si>
  <si>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</si>
  <si>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</si>
  <si>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</si>
  <si>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</si>
  <si>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</si>
  <si>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</si>
  <si>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</si>
  <si>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</si>
  <si>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</si>
  <si>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</si>
  <si>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</si>
  <si>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</si>
  <si>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</si>
  <si>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</si>
  <si>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</si>
  <si>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</si>
  <si>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</si>
  <si>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</si>
  <si>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</si>
  <si>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</si>
  <si>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</si>
  <si>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</si>
  <si>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</si>
  <si>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</si>
  <si>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</si>
  <si>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</si>
  <si>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</si>
  <si>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</si>
  <si>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</si>
  <si>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</si>
  <si>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</si>
  <si>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</si>
  <si>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</si>
  <si>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</si>
  <si>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</si>
  <si>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</si>
  <si>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</si>
  <si>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</si>
  <si>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</si>
  <si>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</si>
  <si>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</si>
  <si>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</si>
  <si>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</si>
  <si>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</si>
  <si>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</si>
  <si>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</si>
  <si>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</si>
  <si>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</si>
  <si>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</si>
  <si>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</si>
  <si>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</si>
  <si>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</si>
  <si>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</si>
  <si>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</si>
  <si>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</si>
  <si>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</si>
  <si>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</si>
  <si>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</si>
  <si>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</si>
  <si>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</si>
  <si>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</si>
  <si>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</si>
  <si>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</si>
  <si>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</si>
  <si>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</si>
  <si>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</si>
  <si>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</si>
  <si>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</si>
  <si>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</si>
  <si>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</si>
  <si>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</si>
  <si>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</si>
  <si>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</si>
  <si>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</si>
  <si>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</si>
  <si>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</si>
  <si>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</si>
  <si>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</si>
  <si>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</si>
  <si>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</si>
  <si>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</si>
  <si>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</si>
  <si>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</si>
  <si>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</si>
  <si>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</si>
  <si>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</si>
  <si>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</si>
  <si>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</si>
  <si>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</si>
  <si>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</si>
  <si>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</si>
  <si>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</si>
  <si>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</si>
  <si>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</si>
  <si>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</si>
  <si>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</si>
  <si>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</si>
  <si>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</si>
  <si>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</si>
  <si>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</si>
  <si>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</si>
  <si>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</si>
  <si>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</si>
  <si>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</si>
  <si>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</si>
  <si>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</si>
  <si>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</si>
  <si>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</si>
  <si>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</si>
  <si>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</si>
  <si>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</si>
  <si>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</si>
  <si>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</si>
  <si>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</si>
  <si>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</si>
  <si>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</si>
  <si>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</si>
  <si>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</si>
  <si>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</si>
  <si>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</si>
  <si>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</si>
  <si>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</si>
  <si>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</si>
  <si>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</si>
  <si>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</si>
  <si>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</si>
  <si>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</si>
  <si>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</si>
  <si>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</si>
  <si>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</si>
  <si>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</si>
  <si>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</si>
  <si>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</si>
  <si>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</si>
  <si>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</si>
  <si>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</si>
  <si>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</si>
  <si>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</si>
  <si>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</si>
  <si>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</si>
  <si>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</si>
  <si>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</si>
  <si>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</si>
  <si>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</si>
  <si>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</si>
  <si>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</si>
  <si>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</si>
  <si>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</si>
  <si>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</si>
  <si>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</si>
  <si>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</si>
  <si>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</si>
  <si>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</si>
  <si>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</si>
  <si>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</si>
  <si>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</si>
  <si>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</si>
  <si>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</si>
  <si>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</si>
  <si>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</si>
  <si>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</si>
  <si>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</si>
  <si>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</si>
  <si>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</si>
  <si>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</si>
  <si>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</si>
  <si>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</si>
  <si>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</si>
  <si>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</si>
  <si>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</si>
  <si>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</si>
  <si>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</si>
  <si>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</si>
  <si>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</si>
  <si>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</si>
  <si>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</si>
  <si>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</si>
  <si>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</si>
  <si>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</si>
  <si>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</si>
  <si>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</si>
  <si>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</si>
  <si>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</si>
  <si>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</si>
  <si>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</si>
  <si>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</si>
  <si>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</si>
  <si>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</si>
  <si>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</si>
  <si>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</si>
  <si>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</si>
  <si>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</si>
  <si>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</si>
  <si>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</si>
  <si>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</si>
  <si>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</si>
  <si>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</si>
  <si>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</si>
  <si>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</si>
  <si>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</si>
  <si>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</si>
  <si>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</si>
  <si>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</si>
  <si>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</si>
  <si>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</si>
  <si>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</si>
  <si>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</si>
  <si>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</si>
  <si>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</si>
  <si>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</si>
  <si>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</si>
  <si>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</si>
  <si>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</si>
  <si>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</si>
  <si>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</si>
  <si>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</si>
  <si>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</si>
  <si>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</si>
  <si>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</si>
  <si>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</si>
  <si>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</si>
  <si>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</si>
  <si>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</si>
  <si>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</si>
  <si>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</si>
  <si>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</si>
  <si>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</si>
  <si>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</si>
  <si>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</si>
  <si>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</si>
  <si>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</si>
  <si>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</si>
  <si>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</si>
  <si>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</si>
  <si>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</si>
  <si>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</si>
  <si>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</si>
  <si>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</si>
  <si>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</si>
  <si>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</si>
  <si>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</si>
  <si>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</si>
  <si>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</si>
  <si>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</si>
  <si>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</si>
  <si>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</si>
  <si>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</si>
  <si>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</si>
  <si>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</si>
  <si>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</si>
  <si>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</si>
  <si>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</si>
  <si>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</si>
  <si>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</si>
  <si>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</si>
  <si>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</si>
  <si>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</si>
  <si>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</si>
  <si>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</si>
  <si>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</si>
  <si>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</si>
  <si>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</si>
  <si>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</si>
  <si>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</si>
  <si>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</si>
  <si>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</si>
  <si>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</si>
  <si>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</si>
  <si>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</si>
  <si>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</si>
  <si>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</si>
  <si>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</si>
  <si>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</si>
  <si>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</si>
  <si>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</si>
  <si>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</si>
  <si>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</si>
  <si>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</si>
  <si>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</si>
  <si>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</si>
  <si>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</si>
  <si>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</si>
  <si>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</si>
  <si>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</si>
  <si>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</si>
  <si>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</si>
  <si>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</si>
  <si>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</si>
  <si>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</si>
  <si>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</si>
  <si>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</si>
  <si>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</si>
  <si>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</si>
  <si>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</si>
  <si>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</si>
  <si>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</si>
  <si>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</si>
  <si>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</si>
  <si>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</si>
  <si>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</si>
  <si>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</si>
  <si>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</si>
  <si>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</si>
  <si>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</si>
  <si>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</si>
  <si>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</si>
  <si>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</si>
  <si>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</si>
  <si>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</si>
  <si>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</si>
  <si>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</si>
  <si>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</si>
  <si>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</si>
  <si>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</si>
  <si>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</si>
  <si>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</si>
  <si>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</si>
  <si>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</si>
  <si>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</si>
  <si>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</si>
  <si>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</si>
  <si>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</si>
  <si>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</si>
  <si>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</si>
  <si>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</si>
  <si>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</si>
  <si>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</si>
  <si>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</si>
  <si>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</si>
  <si>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</si>
  <si>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</si>
  <si>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</si>
  <si>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</si>
  <si>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</si>
  <si>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</si>
  <si>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</si>
  <si>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</si>
  <si>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</si>
  <si>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</si>
  <si>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</si>
  <si>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</si>
  <si>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</si>
  <si>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</si>
  <si>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</si>
  <si>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</si>
  <si>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</si>
  <si>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</si>
  <si>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</si>
  <si>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</si>
  <si>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</si>
  <si>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</si>
  <si>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</si>
  <si>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</si>
  <si>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</si>
  <si>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</si>
  <si>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</si>
  <si>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</si>
  <si>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</si>
  <si>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</si>
  <si>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</si>
  <si>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</si>
  <si>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</si>
  <si>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</si>
  <si>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</si>
  <si>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</si>
  <si>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</si>
  <si>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</si>
  <si>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</si>
  <si>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</si>
  <si>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</si>
  <si>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</si>
  <si>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</si>
  <si>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</si>
  <si>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</si>
  <si>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</si>
  <si>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</si>
  <si>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</si>
  <si>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</si>
  <si>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</si>
  <si>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</si>
  <si>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</si>
  <si>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</si>
  <si>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</si>
  <si>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</si>
  <si>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</si>
  <si>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</si>
  <si>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</si>
  <si>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</si>
  <si>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</si>
  <si>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</si>
  <si>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</si>
  <si>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</si>
  <si>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</si>
  <si>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</si>
  <si>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</si>
  <si>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</si>
  <si>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</si>
  <si>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</si>
  <si>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</si>
  <si>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</si>
  <si>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</si>
  <si>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</si>
  <si>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</si>
  <si>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</si>
  <si>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</si>
  <si>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</si>
  <si>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</si>
  <si>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</si>
  <si>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</si>
  <si>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</si>
  <si>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</si>
  <si>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</si>
  <si>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</si>
  <si>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</si>
  <si>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</si>
  <si>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</si>
  <si>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</si>
  <si>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</si>
  <si>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</si>
  <si>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</si>
  <si>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</si>
  <si>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</si>
  <si>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</si>
  <si>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</si>
  <si>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</si>
  <si>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</si>
  <si>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</si>
  <si>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</si>
  <si>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</si>
  <si>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</si>
  <si>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</si>
  <si>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</si>
  <si>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</si>
  <si>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</si>
  <si>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</si>
  <si>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</si>
  <si>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</si>
  <si>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</si>
  <si>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</si>
  <si>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</si>
  <si>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</si>
  <si>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</si>
  <si>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</si>
  <si>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</si>
  <si>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</si>
  <si>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</si>
  <si>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</si>
  <si>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</si>
  <si>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</si>
  <si>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</si>
  <si>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</si>
  <si>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</si>
  <si>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</si>
  <si>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</si>
  <si>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</si>
  <si>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</si>
  <si>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</si>
  <si>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</si>
  <si>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</si>
  <si>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</si>
  <si>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</si>
  <si>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</si>
  <si>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</si>
  <si>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</si>
  <si>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</si>
  <si>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</si>
  <si>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</si>
  <si>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</si>
  <si>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</si>
  <si>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</si>
  <si>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</si>
  <si>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</si>
  <si>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</si>
  <si>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</si>
  <si>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</si>
  <si>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</si>
  <si>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</si>
  <si>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</si>
  <si>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</si>
  <si>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</si>
  <si>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</si>
  <si>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</si>
  <si>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</si>
  <si>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</si>
  <si>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</si>
  <si>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</si>
  <si>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</si>
  <si>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</si>
  <si>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</si>
  <si>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</si>
  <si>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</si>
  <si>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</si>
  <si>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</si>
  <si>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</si>
  <si>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</si>
  <si>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</si>
  <si>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</si>
  <si>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</si>
  <si>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</si>
  <si>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</si>
  <si>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</si>
  <si>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</si>
  <si>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</si>
  <si>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</si>
  <si>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</si>
  <si>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</si>
  <si>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</si>
  <si>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</si>
  <si>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</si>
  <si>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</si>
  <si>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</si>
  <si>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</si>
  <si>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</si>
  <si>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</si>
  <si>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</si>
  <si>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</si>
  <si>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</si>
  <si>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</si>
  <si>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</si>
  <si>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</si>
  <si>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</si>
  <si>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</si>
  <si>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</si>
  <si>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</si>
  <si>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</si>
  <si>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</si>
  <si>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</si>
  <si>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</si>
  <si>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</si>
  <si>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</si>
  <si>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</si>
  <si>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</si>
  <si>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</si>
  <si>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</si>
  <si>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</si>
  <si>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</si>
  <si>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</si>
  <si>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</si>
  <si>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</si>
  <si>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</si>
  <si>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</si>
  <si>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</si>
  <si>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</si>
  <si>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</si>
  <si>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</si>
  <si>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</si>
  <si>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</si>
  <si>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</si>
  <si>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</si>
  <si>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</si>
  <si>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</si>
  <si>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</si>
  <si>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</si>
  <si>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</si>
  <si>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</si>
  <si>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</si>
  <si>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</si>
  <si>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</si>
  <si>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</si>
  <si>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</si>
  <si>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</si>
  <si>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</si>
  <si>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</si>
  <si>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</si>
  <si>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</si>
  <si>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</si>
  <si>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</si>
  <si>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</si>
  <si>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</si>
  <si>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</si>
  <si>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</si>
  <si>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</si>
  <si>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</si>
  <si>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</si>
  <si>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</si>
  <si>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</si>
  <si>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</si>
  <si>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</si>
  <si>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</si>
  <si>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</si>
  <si>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</si>
  <si>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</si>
  <si>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</si>
  <si>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</si>
  <si>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</si>
  <si>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</si>
  <si>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</si>
  <si>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</si>
  <si>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</si>
  <si>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</si>
  <si>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</si>
  <si>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</si>
  <si>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</si>
  <si>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</si>
  <si>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</si>
  <si>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</si>
  <si>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</si>
  <si>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</si>
  <si>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</si>
  <si>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</si>
  <si>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</si>
  <si>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</si>
  <si>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</si>
  <si>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</si>
  <si>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</si>
  <si>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</si>
  <si>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</si>
  <si>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</si>
  <si>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</si>
  <si>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</si>
  <si>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</si>
  <si>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</si>
  <si>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</si>
  <si>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</si>
  <si>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</si>
  <si>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</si>
  <si>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</si>
  <si>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</si>
  <si>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</si>
  <si>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</si>
  <si>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</si>
  <si>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</si>
  <si>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</si>
  <si>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</si>
  <si>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</si>
  <si>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</si>
  <si>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</si>
  <si>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</si>
  <si>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</si>
  <si>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</si>
  <si>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</si>
  <si>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</si>
  <si>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</si>
  <si>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</si>
  <si>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</si>
  <si>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</si>
  <si>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</si>
  <si>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</si>
  <si>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</si>
  <si>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</si>
  <si>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</si>
  <si>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</si>
  <si>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</si>
  <si>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</si>
  <si>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</si>
  <si>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</si>
  <si>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</si>
  <si>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</si>
  <si>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</si>
  <si>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</si>
  <si>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</si>
  <si>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</si>
  <si>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</si>
  <si>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</si>
  <si>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</si>
  <si>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</si>
  <si>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</si>
  <si>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</si>
  <si>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</si>
  <si>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</si>
  <si>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</si>
  <si>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</si>
  <si>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</si>
  <si>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</si>
  <si>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</si>
  <si>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</si>
  <si>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</si>
  <si>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</si>
  <si>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</si>
  <si>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</si>
  <si>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</si>
  <si>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</si>
  <si>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</si>
  <si>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</si>
  <si>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</si>
  <si>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</si>
  <si>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</si>
  <si>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</si>
  <si>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</si>
  <si>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</si>
  <si>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</si>
  <si>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</si>
  <si>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</si>
  <si>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</si>
  <si>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</si>
  <si>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</si>
  <si>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</si>
  <si>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</si>
  <si>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</si>
  <si>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</si>
  <si>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</si>
  <si>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</si>
  <si>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</si>
  <si>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</si>
  <si>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</si>
  <si>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</si>
  <si>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</si>
  <si>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</si>
  <si>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</si>
  <si>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</si>
  <si>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</si>
  <si>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</si>
  <si>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</si>
  <si>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</si>
  <si>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</si>
  <si>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</si>
  <si>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</si>
  <si>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</si>
  <si>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</si>
  <si>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</si>
  <si>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</si>
  <si>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</si>
  <si>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</si>
  <si>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</si>
  <si>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</si>
  <si>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</si>
  <si>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</si>
  <si>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</si>
  <si>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</si>
  <si>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</si>
  <si>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</si>
  <si>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</si>
  <si>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</si>
  <si>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</si>
  <si>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</si>
  <si>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</si>
  <si>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</si>
  <si>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</si>
  <si>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</si>
  <si>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</si>
  <si>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</si>
  <si>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</si>
  <si>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</si>
  <si>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</si>
  <si>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</si>
  <si>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</si>
  <si>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</si>
  <si>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</si>
  <si>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</si>
  <si>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</si>
  <si>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</si>
  <si>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</si>
  <si>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</si>
  <si>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</si>
  <si>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</si>
  <si>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</si>
  <si>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</si>
  <si>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</si>
  <si>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</si>
  <si>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</si>
  <si>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</si>
  <si>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</si>
  <si>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</si>
  <si>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</si>
  <si>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</si>
  <si>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</si>
  <si>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</si>
  <si>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</si>
  <si>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</si>
  <si>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</si>
  <si>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</si>
  <si>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</si>
  <si>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</si>
  <si>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</si>
  <si>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</si>
  <si>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</si>
  <si>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</si>
  <si>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</si>
  <si>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</si>
  <si>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</si>
  <si>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</si>
  <si>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</si>
  <si>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</si>
  <si>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</si>
  <si>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</si>
  <si>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</si>
  <si>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</si>
  <si>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</si>
  <si>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</si>
  <si>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</si>
  <si>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</si>
  <si>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</si>
  <si>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</si>
  <si>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</si>
  <si>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</si>
  <si>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</si>
  <si>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</si>
  <si>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</si>
  <si>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</si>
  <si>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</si>
  <si>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</si>
  <si>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</si>
  <si>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</si>
  <si>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</si>
  <si>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</si>
  <si>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</si>
  <si>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</si>
  <si>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</si>
  <si>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</si>
  <si>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</si>
  <si>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</si>
  <si>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</si>
  <si>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</si>
  <si>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</si>
  <si>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</si>
  <si>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</si>
  <si>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</si>
  <si>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</si>
  <si>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</si>
  <si>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</si>
  <si>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</si>
  <si>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</si>
  <si>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</si>
  <si>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</si>
  <si>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</si>
  <si>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</si>
  <si>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</si>
  <si>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</si>
  <si>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</si>
  <si>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</si>
  <si>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</si>
  <si>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</si>
  <si>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</si>
  <si>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</si>
  <si>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</si>
  <si>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</si>
  <si>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</si>
  <si>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</si>
  <si>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</si>
  <si>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</si>
  <si>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</si>
  <si>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</si>
  <si>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</si>
  <si>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</si>
  <si>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</si>
  <si>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</si>
  <si>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</si>
  <si>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</si>
  <si>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</si>
  <si>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</si>
  <si>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</si>
  <si>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</si>
  <si>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</si>
  <si>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</si>
  <si>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</si>
  <si>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</si>
  <si>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</si>
  <si>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</si>
  <si>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</si>
  <si>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</si>
  <si>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</si>
  <si>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</si>
  <si>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</si>
  <si>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</si>
  <si>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</si>
  <si>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</si>
  <si>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</si>
  <si>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</si>
  <si>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</si>
  <si>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</si>
  <si>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</si>
  <si>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</si>
  <si>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</si>
  <si>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</si>
  <si>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</si>
  <si>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</si>
  <si>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</si>
  <si>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</si>
  <si>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</si>
  <si>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</si>
  <si>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</si>
  <si>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</si>
  <si>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</si>
  <si>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</si>
  <si>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</si>
  <si>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</si>
  <si>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</si>
  <si>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</si>
  <si>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</si>
  <si>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</si>
  <si>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</si>
  <si>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</si>
  <si>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</si>
  <si>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</si>
  <si>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</si>
  <si>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</si>
  <si>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</si>
  <si>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</si>
  <si>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</si>
  <si>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</si>
  <si>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</si>
  <si>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</si>
  <si>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</si>
  <si>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</si>
  <si>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</si>
  <si>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</si>
  <si>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</si>
  <si>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</si>
  <si>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</si>
  <si>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</si>
  <si>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</si>
  <si>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</si>
  <si>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</si>
  <si>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</si>
  <si>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</si>
  <si>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</si>
  <si>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</si>
  <si>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</si>
  <si>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</si>
  <si>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</si>
  <si>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</si>
  <si>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</si>
  <si>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</si>
  <si>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</si>
  <si>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</si>
  <si>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</si>
  <si>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</si>
  <si>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</si>
  <si>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</si>
  <si>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</si>
  <si>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</si>
  <si>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</si>
  <si>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</si>
  <si>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</si>
  <si>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</si>
  <si>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</si>
  <si>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</si>
  <si>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</si>
  <si>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</si>
  <si>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</si>
  <si>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</si>
  <si>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</si>
  <si>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</si>
  <si>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</si>
  <si>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</si>
  <si>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</si>
  <si>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</si>
  <si>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</si>
  <si>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</si>
  <si>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</si>
  <si>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</si>
  <si>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</si>
  <si>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</si>
  <si>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</si>
  <si>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</si>
  <si>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</si>
  <si>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</si>
  <si>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</si>
  <si>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</si>
  <si>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</si>
  <si>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</si>
  <si>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</si>
  <si>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</si>
  <si>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</si>
  <si>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</si>
  <si>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</si>
  <si>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</si>
  <si>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</si>
  <si>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</si>
  <si>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</si>
  <si>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</si>
  <si>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</si>
  <si>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</si>
  <si>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</si>
  <si>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</si>
  <si>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</si>
  <si>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</si>
  <si>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</si>
  <si>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</si>
  <si>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</si>
  <si>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</si>
  <si>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</si>
  <si>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</si>
  <si>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</si>
  <si>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</si>
  <si>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</si>
  <si>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</si>
  <si>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</si>
  <si>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</si>
  <si>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</si>
  <si>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</si>
  <si>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</si>
  <si>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</si>
  <si>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</si>
  <si>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</si>
  <si>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</si>
  <si>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</si>
  <si>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</si>
  <si>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</si>
  <si>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</si>
  <si>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</si>
  <si>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</si>
  <si>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</si>
  <si>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</si>
  <si>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</si>
  <si>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</si>
  <si>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</si>
  <si>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</si>
  <si>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</si>
  <si>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</si>
  <si>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</si>
  <si>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</si>
  <si>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</si>
  <si>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</si>
  <si>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</si>
  <si>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</si>
  <si>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</si>
  <si>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</si>
  <si>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</si>
  <si>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</si>
  <si>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</si>
  <si>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</si>
  <si>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</si>
  <si>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</si>
  <si>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</si>
  <si>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</si>
  <si>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</si>
  <si>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</si>
  <si>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</si>
  <si>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</si>
  <si>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</si>
  <si>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</si>
  <si>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</si>
  <si>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</si>
  <si>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</si>
  <si>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</si>
  <si>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</si>
  <si>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</si>
  <si>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</si>
  <si>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</si>
  <si>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</si>
  <si>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</si>
  <si>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</si>
  <si>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</si>
  <si>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</si>
  <si>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</si>
  <si>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</si>
  <si>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</si>
  <si>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</si>
  <si>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</si>
  <si>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</si>
  <si>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</si>
  <si>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</si>
  <si>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</si>
  <si>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</si>
  <si>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</si>
  <si>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</si>
  <si>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</si>
  <si>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</si>
  <si>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</si>
  <si>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</si>
  <si>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</si>
  <si>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</si>
  <si>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</si>
  <si>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</si>
  <si>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</si>
  <si>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</si>
  <si>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</si>
  <si>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</si>
  <si>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</si>
  <si>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</si>
  <si>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</si>
  <si>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</si>
  <si>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</si>
  <si>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</si>
  <si>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</si>
  <si>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</si>
  <si>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</si>
  <si>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</si>
  <si>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</si>
  <si>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</si>
  <si>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</si>
  <si>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</si>
  <si>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</si>
  <si>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</si>
  <si>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</si>
  <si>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</si>
  <si>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</si>
  <si>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</si>
  <si>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</si>
  <si>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</si>
  <si>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</si>
  <si>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</si>
  <si>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</si>
  <si>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</si>
  <si>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</si>
  <si>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</si>
  <si>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</si>
  <si>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</si>
  <si>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</si>
  <si>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</si>
  <si>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</si>
  <si>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</si>
  <si>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</si>
  <si>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</si>
  <si>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</si>
  <si>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</si>
  <si>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</si>
  <si>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</si>
  <si>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</si>
  <si>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</si>
  <si>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</si>
  <si>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</si>
  <si>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</si>
  <si>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</si>
  <si>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</si>
  <si>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</si>
  <si>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</si>
  <si>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</si>
  <si>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</si>
  <si>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</si>
  <si>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</si>
  <si>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</si>
  <si>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</si>
  <si>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</si>
  <si>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</si>
  <si>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</si>
  <si>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</si>
  <si>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</si>
  <si>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</si>
  <si>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</si>
  <si>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</si>
  <si>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</si>
  <si>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</si>
  <si>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</si>
  <si>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</si>
  <si>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</si>
  <si>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</si>
  <si>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</si>
  <si>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</si>
  <si>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</si>
  <si>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</si>
  <si>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</si>
  <si>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</si>
  <si>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</si>
  <si>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</si>
  <si>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</si>
  <si>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</si>
  <si>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</si>
  <si>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</si>
  <si>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</si>
  <si>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</si>
  <si>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</si>
  <si>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</si>
  <si>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</si>
  <si>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</si>
  <si>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</si>
  <si>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</si>
  <si>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</si>
  <si>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</si>
  <si>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</si>
  <si>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</si>
  <si>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</si>
  <si>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</si>
  <si>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</si>
  <si>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</si>
  <si>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</si>
  <si>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</si>
  <si>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</si>
  <si>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</si>
  <si>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</si>
  <si>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</si>
  <si>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</si>
  <si>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</si>
  <si>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</si>
  <si>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</si>
  <si>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</si>
  <si>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</si>
  <si>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</si>
  <si>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</si>
  <si>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</si>
  <si>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</si>
  <si>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</si>
  <si>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</si>
  <si>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</si>
  <si>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</si>
  <si>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</si>
  <si>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</si>
  <si>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</si>
  <si>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</si>
  <si>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</si>
  <si>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</si>
  <si>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</si>
  <si>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</si>
  <si>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</si>
  <si>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</si>
  <si>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</si>
  <si>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</si>
  <si>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</si>
  <si>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</si>
  <si>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</si>
  <si>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</si>
  <si>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</si>
  <si>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</si>
  <si>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</si>
  <si>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</si>
  <si>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</si>
  <si>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</si>
  <si>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</si>
  <si>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</si>
  <si>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</si>
  <si>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</si>
  <si>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</si>
  <si>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</si>
  <si>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</si>
  <si>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</si>
  <si>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</si>
  <si>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</si>
  <si>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</si>
  <si>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</si>
  <si>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</si>
  <si>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</si>
  <si>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</si>
  <si>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</si>
  <si>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</si>
  <si>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</si>
  <si>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</si>
  <si>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</si>
  <si>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</si>
  <si>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</si>
  <si>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</si>
  <si>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</si>
  <si>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</si>
  <si>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</si>
  <si>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</si>
  <si>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</si>
  <si>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</si>
  <si>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</si>
  <si>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</si>
  <si>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</si>
  <si>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</si>
  <si>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</si>
  <si>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</si>
  <si>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</si>
  <si>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</si>
  <si>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</si>
  <si>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</si>
  <si>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</si>
  <si>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</si>
  <si>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</si>
  <si>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</si>
  <si>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</si>
  <si>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</si>
  <si>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</si>
  <si>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</si>
  <si>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</si>
  <si>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</si>
  <si>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</si>
  <si>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</si>
  <si>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</si>
  <si>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</si>
  <si>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</si>
  <si>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</si>
  <si>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</si>
  <si>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</si>
  <si>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</si>
  <si>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</si>
  <si>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</si>
  <si>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</si>
  <si>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</si>
  <si>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</si>
  <si>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</si>
  <si>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</si>
  <si>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</si>
  <si>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</si>
  <si>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</si>
  <si>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</si>
  <si>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</si>
  <si>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</si>
  <si>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</si>
  <si>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</si>
  <si>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</si>
  <si>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</si>
  <si>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</si>
  <si>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</si>
  <si>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</si>
  <si>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</si>
  <si>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</si>
  <si>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</si>
  <si>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</si>
  <si>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</si>
  <si>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</si>
  <si>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</si>
  <si>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</si>
  <si>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</si>
  <si>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</si>
  <si>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</si>
  <si>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</si>
  <si>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</si>
  <si>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</si>
  <si>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</si>
  <si>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</si>
  <si>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</si>
  <si>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</si>
  <si>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</si>
  <si>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</si>
  <si>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</si>
  <si>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</si>
  <si>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</si>
  <si>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</si>
  <si>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</si>
  <si>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</si>
  <si>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</si>
  <si>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</si>
  <si>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</si>
  <si>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</si>
  <si>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</si>
  <si>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</si>
  <si>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</si>
  <si>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</si>
  <si>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</si>
  <si>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</si>
  <si>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</si>
  <si>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</si>
  <si>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</si>
  <si>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</si>
  <si>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</si>
  <si>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</si>
  <si>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</si>
  <si>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</si>
  <si>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</si>
  <si>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</si>
  <si>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</si>
  <si>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</si>
  <si>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</si>
  <si>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</si>
  <si>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</si>
  <si>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</si>
  <si>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</si>
  <si>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</si>
  <si>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</si>
  <si>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</si>
  <si>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</si>
  <si>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</si>
  <si>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</si>
  <si>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</si>
  <si>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</si>
  <si>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</si>
  <si>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</si>
  <si>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</si>
  <si>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</si>
  <si>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</si>
  <si>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</si>
  <si>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</si>
  <si>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</si>
  <si>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</si>
  <si>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</si>
  <si>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</si>
  <si>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</si>
  <si>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</si>
  <si>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</si>
  <si>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</si>
  <si>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</si>
  <si>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</si>
  <si>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</si>
  <si>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</si>
  <si>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</si>
  <si>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</si>
  <si>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</si>
  <si>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</si>
  <si>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</si>
  <si>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</si>
  <si>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</si>
  <si>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</si>
  <si>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</si>
  <si>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</si>
  <si>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</si>
  <si>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</si>
  <si>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</si>
  <si>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</si>
  <si>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</si>
  <si>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</si>
  <si>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</si>
  <si>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</si>
  <si>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</si>
  <si>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</si>
  <si>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</si>
  <si>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</si>
  <si>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</si>
  <si>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</si>
  <si>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</si>
  <si>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</si>
  <si>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</si>
  <si>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</si>
  <si>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</si>
  <si>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</si>
  <si>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</si>
  <si>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</si>
  <si>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</si>
  <si>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</si>
  <si>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</si>
  <si>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</si>
  <si>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</si>
  <si>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</si>
  <si>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</si>
  <si>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</si>
  <si>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</si>
  <si>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</si>
  <si>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</si>
  <si>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</si>
  <si>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</si>
  <si>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</si>
  <si>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</si>
  <si>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</si>
  <si>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</si>
  <si>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</si>
  <si>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</si>
  <si>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</si>
  <si>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</si>
  <si>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</si>
  <si>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</si>
  <si>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</si>
  <si>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</si>
  <si>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</si>
  <si>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</si>
  <si>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</si>
  <si>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</si>
  <si>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</si>
  <si>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</si>
  <si>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</si>
  <si>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</si>
  <si>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</si>
  <si>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</si>
  <si>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</si>
  <si>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</si>
  <si>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</si>
  <si>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</si>
  <si>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</si>
  <si>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</si>
  <si>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</si>
  <si>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</si>
  <si>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</si>
  <si>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</si>
  <si>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</si>
  <si>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</si>
  <si>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</si>
  <si>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</si>
  <si>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</si>
  <si>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</si>
  <si>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</si>
  <si>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</si>
  <si>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</si>
  <si>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</si>
  <si>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</si>
  <si>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</si>
  <si>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</si>
  <si>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</si>
  <si>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</si>
  <si>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</si>
  <si>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</si>
  <si>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</si>
  <si>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</si>
  <si>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</si>
  <si>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</si>
  <si>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</si>
  <si>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</si>
  <si>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</si>
  <si>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</si>
  <si>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</si>
  <si>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</si>
  <si>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</si>
  <si>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</si>
  <si>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</si>
  <si>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</si>
  <si>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</si>
  <si>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</si>
  <si>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</si>
  <si>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</si>
  <si>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</si>
  <si>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</si>
  <si>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</si>
  <si>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</si>
  <si>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</si>
  <si>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</si>
  <si>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</si>
  <si>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</si>
  <si>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</si>
  <si>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</si>
  <si>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</si>
  <si>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</si>
  <si>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</si>
  <si>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</si>
  <si>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</si>
  <si>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</si>
  <si>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</si>
  <si>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</si>
  <si>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</si>
  <si>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</si>
  <si>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</si>
  <si>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</si>
  <si>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</si>
  <si>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</si>
  <si>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</si>
  <si>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</si>
  <si>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</si>
  <si>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</si>
  <si>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</si>
  <si>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</si>
  <si>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</si>
  <si>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</si>
  <si>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</si>
  <si>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</si>
  <si>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</si>
  <si>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</si>
  <si>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</si>
  <si>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</si>
  <si>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</si>
  <si>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</si>
  <si>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</si>
  <si>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</si>
  <si>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用世.水韵城</t>
    <phoneticPr fontId="3" type="noConversion"/>
  </si>
  <si>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</si>
  <si>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</si>
  <si>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</si>
  <si>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</si>
  <si>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</si>
  <si>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</si>
  <si>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</si>
  <si>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</si>
  <si>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</si>
  <si>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</si>
  <si>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</si>
  <si>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</si>
  <si>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</si>
  <si>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</si>
  <si>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</si>
  <si>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</si>
  <si>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</si>
  <si>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</si>
  <si>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</si>
  <si>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</si>
  <si>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</si>
  <si>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</si>
  <si>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</si>
  <si>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</si>
  <si>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</si>
  <si>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</si>
  <si>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</si>
  <si>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</si>
  <si>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</si>
  <si>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</si>
  <si>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</si>
  <si>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</si>
  <si>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</si>
  <si>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</si>
  <si>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</si>
  <si>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</si>
  <si>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</si>
  <si>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</si>
  <si>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</si>
  <si>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</si>
  <si>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</si>
  <si>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</si>
  <si>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</si>
  <si>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</si>
  <si>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</si>
  <si>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</si>
  <si>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</si>
  <si>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</si>
  <si>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</si>
  <si>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</si>
  <si>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</si>
  <si>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</si>
  <si>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</si>
  <si>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</si>
  <si>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</si>
  <si>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</si>
  <si>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</si>
  <si>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</si>
  <si>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</si>
  <si>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</si>
  <si>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</si>
  <si>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</si>
  <si>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</si>
  <si>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</si>
  <si>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</si>
  <si>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</si>
  <si>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</si>
  <si>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</si>
  <si>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</si>
  <si>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</si>
  <si>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</si>
  <si>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</si>
  <si>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</si>
  <si>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</si>
  <si>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</si>
  <si>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</si>
  <si>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143" type="noConversion"/>
  </si>
  <si>
    <t>中商.中央广场</t>
    <phoneticPr fontId="143" type="noConversion"/>
  </si>
  <si>
    <t>宿迁市宿城区幸福南路88号</t>
    <phoneticPr fontId="143" type="noConversion"/>
  </si>
  <si>
    <t>金鹰国际花园</t>
    <phoneticPr fontId="14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</si>
  <si>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</si>
  <si>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</si>
  <si>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</si>
  <si>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</si>
  <si>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</si>
  <si>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</si>
  <si>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</si>
  <si>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</si>
  <si>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</si>
  <si>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</si>
  <si>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</si>
  <si>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</si>
  <si>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</si>
  <si>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</si>
  <si>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</si>
  <si>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</si>
  <si>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</si>
  <si>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</si>
  <si>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</si>
  <si>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</si>
  <si>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</si>
  <si>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</si>
  <si>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</si>
  <si>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</si>
  <si>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</si>
  <si>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</si>
  <si>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</si>
  <si>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</si>
  <si>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</si>
  <si>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</si>
  <si>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</si>
  <si>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</si>
  <si>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</si>
  <si>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</si>
  <si>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</si>
  <si>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</si>
  <si>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</si>
  <si>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</si>
  <si>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</si>
  <si>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</si>
  <si>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</si>
  <si>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</si>
  <si>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</si>
  <si>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</si>
  <si>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</si>
  <si>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</si>
  <si>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</si>
  <si>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</si>
  <si>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</si>
  <si>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</si>
  <si>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</si>
  <si>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</si>
  <si>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</si>
  <si>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</si>
  <si>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</si>
  <si>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销售单价</t>
  </si>
  <si>
    <t>销售价格</t>
  </si>
  <si>
    <t>已办证</t>
  </si>
  <si>
    <t>暂未办证</t>
  </si>
  <si>
    <t>需确认办证</t>
  </si>
  <si>
    <t>不能办证</t>
  </si>
  <si>
    <t>商铺</t>
  </si>
  <si>
    <t>底商</t>
  </si>
  <si>
    <t>请录依据文件名称：</t>
    <phoneticPr fontId="3" type="noConversion"/>
  </si>
  <si>
    <t>押一</t>
  </si>
  <si>
    <t>一般</t>
  </si>
  <si>
    <t>较差</t>
  </si>
  <si>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</si>
  <si>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</si>
  <si>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</si>
  <si>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天成美雅未售资产统计表</t>
  </si>
  <si>
    <t>天成美雅</t>
  </si>
  <si>
    <t>8号楼-商2</t>
  </si>
  <si>
    <t>8号楼-商3</t>
  </si>
  <si>
    <t>8号楼-商4</t>
  </si>
  <si>
    <t>8号楼-商5</t>
  </si>
  <si>
    <t>8号楼-商6</t>
  </si>
  <si>
    <t>9号楼单体1-商1</t>
  </si>
  <si>
    <t>9号楼单体1-商2</t>
  </si>
  <si>
    <t>9号楼单体1-商3</t>
  </si>
  <si>
    <t>9号楼单体1-商4</t>
  </si>
  <si>
    <t>9号楼单体2-商1</t>
  </si>
  <si>
    <t>9号楼单体2-商2</t>
  </si>
  <si>
    <t>9号楼单体2-商3</t>
  </si>
  <si>
    <t>9号楼单体2-商4</t>
  </si>
  <si>
    <t>9号楼单体3-商1</t>
  </si>
  <si>
    <t>9号楼单体3-商2</t>
  </si>
  <si>
    <t>9号楼单体3-商3</t>
  </si>
  <si>
    <t>9号楼单体3-商4</t>
  </si>
  <si>
    <t>9号楼1-商10</t>
  </si>
  <si>
    <t xml:space="preserve">9号楼2-商7
</t>
  </si>
  <si>
    <t xml:space="preserve">9号楼2-商8
</t>
  </si>
  <si>
    <t>9号楼2-商10</t>
  </si>
  <si>
    <t>9号楼2-商14</t>
  </si>
  <si>
    <t>9-1号楼1-商1</t>
  </si>
  <si>
    <t>9-1号楼1-商2</t>
  </si>
  <si>
    <t>9-1号楼1-商3</t>
  </si>
  <si>
    <t>9-1号楼1-商4</t>
  </si>
  <si>
    <t>9-1号楼1-商5</t>
  </si>
  <si>
    <t>9-1号楼2-商1</t>
  </si>
  <si>
    <t>9-1号楼2-商2</t>
  </si>
  <si>
    <t>9-1号楼2-商3</t>
  </si>
  <si>
    <t>9-1号楼2-商4</t>
  </si>
  <si>
    <t>9-1号楼2-商5</t>
  </si>
  <si>
    <t>9-1号楼3-商1</t>
  </si>
  <si>
    <t>9-1号楼3-商2</t>
  </si>
  <si>
    <t>9-1号楼3-商3</t>
  </si>
  <si>
    <t>9-1号楼3-商4</t>
  </si>
  <si>
    <t>9-1号楼3-商5</t>
  </si>
  <si>
    <t>9-1号楼3-商6</t>
  </si>
  <si>
    <t>9-1号楼3-商7</t>
  </si>
  <si>
    <t>9-4号楼1-商2</t>
  </si>
  <si>
    <t>合计</t>
    <phoneticPr fontId="143" type="noConversion"/>
  </si>
  <si>
    <t>天成美雅、天成美景</t>
    <phoneticPr fontId="3" type="noConversion"/>
  </si>
  <si>
    <t>顺民34789</t>
    <phoneticPr fontId="3" type="noConversion"/>
  </si>
  <si>
    <t>武汉市东湖高新技术开发区光谷一路与南湖大道交汇处</t>
    <phoneticPr fontId="3" type="noConversion"/>
  </si>
  <si>
    <t>金地太阳城</t>
    <phoneticPr fontId="3" type="noConversion"/>
  </si>
  <si>
    <t>武汉市东湖高新技术开发区关山一路</t>
    <phoneticPr fontId="3" type="noConversion"/>
  </si>
  <si>
    <t>武汉市东湖高新技术开发区光谷一路和高新二路交汇处</t>
    <phoneticPr fontId="3" type="noConversion"/>
  </si>
  <si>
    <t>佳源花都</t>
    <phoneticPr fontId="3" type="noConversion"/>
  </si>
  <si>
    <t>8号楼-商1</t>
    <phoneticPr fontId="143"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</si>
</sst>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Font="1" applyBorder="1" applyAlignment="1">
      <alignment horizontal="center" vertical="center"/>
    </xf>
    <xf numFmtId="49" fontId="63" fillId="0" borderId="1" xfId="0" applyNumberFormat="1" applyFont="1" applyFill="1" applyBorder="1" applyAlignment="1" applyProtection="1">
      <alignment horizontal="center" vertical="center"/>
      <protection locked="0"/>
    </xf>
    <xf numFmtId="0" fontId="0" fillId="0" borderId="13" xfId="0" applyFont="1" applyBorder="1" applyAlignment="1">
      <alignment horizontal="center" vertical="center" wrapText="1"/>
    </xf>
    <xf numFmtId="0" fontId="0" fillId="0" borderId="0" xfId="0" applyFont="1" applyAlignment="1"/>
    <xf numFmtId="0" fontId="190" fillId="0" borderId="1" xfId="0" applyFont="1" applyFill="1" applyBorder="1" applyAlignment="1">
      <alignment horizontal="center" vertical="center"/>
    </xf>
    <xf numFmtId="179" fontId="0" fillId="0" borderId="1" xfId="0" applyNumberFormat="1" applyFont="1" applyBorder="1" applyAlignment="1">
      <alignment horizontal="center" vertical="center"/>
    </xf>
    <xf numFmtId="0" fontId="0" fillId="0" borderId="1" xfId="0" applyFont="1" applyBorder="1" applyAlignment="1"/>
    <xf numFmtId="0" fontId="0" fillId="0" borderId="1" xfId="0" applyFont="1" applyBorder="1" applyAlignment="1">
      <alignment horizontal="center"/>
    </xf>
    <xf numFmtId="0" fontId="0" fillId="0" borderId="1" xfId="0" applyFont="1" applyBorder="1" applyAlignment="1">
      <alignment horizontal="center" vertical="center" wrapText="1"/>
    </xf>
    <xf numFmtId="0" fontId="0" fillId="0" borderId="13" xfId="0" applyFont="1" applyBorder="1" applyAlignment="1">
      <alignment horizontal="center" vertical="center"/>
    </xf>
    <xf numFmtId="0" fontId="0" fillId="0" borderId="13" xfId="0" applyFont="1" applyBorder="1" applyAlignment="1"/>
    <xf numFmtId="179" fontId="144" fillId="0" borderId="1" xfId="0" applyNumberFormat="1" applyFont="1" applyBorder="1" applyAlignment="1">
      <alignment horizontal="center" vertical="center"/>
    </xf>
    <xf numFmtId="0" fontId="99" fillId="0" borderId="0" xfId="0" applyFont="1" applyAlignment="1"/>
    <xf numFmtId="0" fontId="63" fillId="0" borderId="1"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115" fillId="5" borderId="41" xfId="0" applyNumberFormat="1" applyFont="1" applyFill="1" applyBorder="1" applyAlignment="1" applyProtection="1">
      <alignment horizontal="center" vertical="center" wrapText="1"/>
      <protection locked="0"/>
    </xf>
    <xf numFmtId="0" fontId="115" fillId="5" borderId="29" xfId="0" applyNumberFormat="1" applyFont="1" applyFill="1" applyBorder="1" applyAlignment="1" applyProtection="1">
      <alignment horizontal="center" vertical="center" wrapText="1"/>
    </xf>
    <xf numFmtId="0" fontId="115" fillId="5" borderId="62" xfId="0" applyNumberFormat="1" applyFont="1" applyFill="1" applyBorder="1" applyAlignment="1" applyProtection="1">
      <alignment horizontal="center" vertical="center" wrapText="1"/>
    </xf>
    <xf numFmtId="0" fontId="115" fillId="5" borderId="3" xfId="0" applyNumberFormat="1" applyFont="1" applyFill="1" applyBorder="1" applyAlignment="1" applyProtection="1">
      <alignment horizontal="center" vertical="center" wrapText="1"/>
      <protection locked="0"/>
    </xf>
    <xf numFmtId="0" fontId="115" fillId="5" borderId="23" xfId="0" applyNumberFormat="1" applyFont="1" applyFill="1" applyBorder="1" applyAlignment="1" applyProtection="1">
      <alignment horizontal="center" vertical="center" wrapText="1"/>
      <protection locked="0"/>
    </xf>
    <xf numFmtId="0" fontId="221" fillId="17" borderId="78" xfId="0" applyNumberFormat="1" applyFont="1" applyFill="1" applyBorder="1" applyAlignment="1" applyProtection="1">
      <alignment horizontal="center" vertical="center" wrapText="1"/>
      <protection locked="0"/>
    </xf>
    <xf numFmtId="0" fontId="221" fillId="17" borderId="2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估价对象为湖北省武汉市房地产，为武汉统建所有。根据，估价对象（分摊）出让国有建设用地使用权面积为1148.6平方米，建筑面积为4020.1平方米。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估价对象为湖北省武汉市房地产,属武汉统建开发建设的商业项目，该项目尚在开发建设中。根据，估价对象（分摊）出让国有建设用地使用权面积为1148.6平方米，规划建筑面积为4020.1平方米。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585</v>
      </c>
    </row>
    <row r="21" spans="1:2" s="1595" customFormat="1">
      <c r="A21" s="1593" t="s">
        <v>1235</v>
      </c>
      <c r="B21" s="1594">
        <f ca="1">'预评函-2'!D7</f>
        <v>29968</v>
      </c>
    </row>
    <row r="22" spans="1:2" s="1595" customFormat="1">
      <c r="A22" s="1593" t="s">
        <v>1236</v>
      </c>
      <c r="B22" s="1594" t="str">
        <f ca="1">'预评函-2'!D6</f>
        <v>伍佰捌拾伍万元整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585</v>
      </c>
    </row>
    <row r="31" spans="1:2" s="1595" customFormat="1">
      <c r="A31" s="1593" t="s">
        <v>1274</v>
      </c>
      <c r="B31" s="1594">
        <f ca="1">'预评函-2'!D15</f>
        <v>1455</v>
      </c>
    </row>
    <row r="32" spans="1:2" s="1595" customFormat="1">
      <c r="A32" s="1593" t="s">
        <v>1241</v>
      </c>
      <c r="B32" s="1594" t="str">
        <f ca="1">'预评函-2'!D14</f>
        <v>伍佰捌拾伍万元整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4020.0999999999995</v>
      </c>
    </row>
    <row r="44" spans="1:2" s="1595" customFormat="1">
      <c r="A44" s="1593" t="s">
        <v>1273</v>
      </c>
      <c r="B44" s="1594" t="str">
        <f>'预评函-3'!C2</f>
        <v>(分摊)土地面积</v>
      </c>
    </row>
    <row r="45" spans="1:2" s="1595" customFormat="1">
      <c r="A45" s="1593" t="s">
        <v>1245</v>
      </c>
      <c r="B45" s="1594">
        <f>'预评函-3'!C4</f>
        <v>1148.5999999999999</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2"/>
      <c r="B54" s="2024" t="s">
        <v>864</v>
      </c>
      <c r="C54" s="2021" t="s">
        <v>1281</v>
      </c>
    </row>
    <row r="55" spans="1:4">
      <c r="A55" s="3072"/>
      <c r="B55" s="2024" t="s">
        <v>865</v>
      </c>
      <c r="C55" s="2021" t="s">
        <v>1282</v>
      </c>
    </row>
    <row r="56" spans="1:4">
      <c r="A56" s="3072"/>
      <c r="B56" s="2024" t="s">
        <v>866</v>
      </c>
      <c r="C56" s="2021" t="s">
        <v>1286</v>
      </c>
    </row>
    <row r="57" spans="1:4">
      <c r="A57" s="307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O15" sqref="O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73" t="str">
        <f>IF(B10="北京市","北京市",C10)&amp;F10&amp;IF(结果表!G1="在建","出让国有建设用地使用权及在建建筑物",IF(结果表!G1="土地","出让国有建设用地使用权",))&amp;B9&amp;"预评估"</f>
        <v>湖北省武汉市房地产抵押价值预评估</v>
      </c>
      <c r="C1" s="3074"/>
      <c r="D1" s="3074"/>
      <c r="E1" s="3074"/>
      <c r="F1" s="3074"/>
      <c r="G1" s="3074"/>
      <c r="H1" s="3074"/>
      <c r="I1" s="307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3207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3207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3208</v>
      </c>
      <c r="C7" s="2050"/>
      <c r="D7" s="2051"/>
      <c r="E7" s="2036"/>
      <c r="F7" s="2044"/>
      <c r="G7" s="2044"/>
      <c r="H7" s="2044"/>
      <c r="I7" s="2044"/>
      <c r="J7" s="2044"/>
      <c r="K7" s="2053"/>
      <c r="L7" s="2030"/>
      <c r="M7" s="2030"/>
      <c r="N7" s="2031"/>
      <c r="O7" s="2032"/>
      <c r="P7" s="2031"/>
      <c r="Q7" s="2031"/>
      <c r="R7" s="2031"/>
    </row>
    <row r="8" spans="1:19" ht="18" customHeight="1">
      <c r="A8" s="2049" t="s">
        <v>1783</v>
      </c>
      <c r="B8" s="2054" t="s">
        <v>3045</v>
      </c>
      <c r="C8" s="2055"/>
      <c r="D8" s="3076" t="s">
        <v>1784</v>
      </c>
      <c r="E8" s="2056" t="s">
        <v>3046</v>
      </c>
      <c r="F8" s="2057"/>
      <c r="G8" s="2028"/>
      <c r="H8" s="2028"/>
      <c r="I8" s="2028"/>
      <c r="J8" s="2044"/>
      <c r="K8" s="2045"/>
      <c r="L8" s="2030"/>
      <c r="M8" s="2030"/>
      <c r="N8" s="2031"/>
      <c r="O8" s="2032"/>
      <c r="P8" s="2031"/>
      <c r="Q8" s="2031"/>
      <c r="R8" s="2031"/>
    </row>
    <row r="9" spans="1:19" ht="18" customHeight="1" thickBot="1">
      <c r="A9" s="2042" t="s">
        <v>1785</v>
      </c>
      <c r="B9" s="2058" t="s">
        <v>3046</v>
      </c>
      <c r="C9" s="2059"/>
      <c r="D9" s="3077"/>
      <c r="E9" s="2058" t="s">
        <v>70</v>
      </c>
      <c r="F9" s="2060"/>
      <c r="G9" s="2061"/>
      <c r="H9" s="2061"/>
      <c r="I9" s="2061"/>
      <c r="J9" s="2044"/>
      <c r="K9" s="2053"/>
      <c r="L9" s="2030"/>
      <c r="M9" s="2030"/>
      <c r="N9" s="2031"/>
      <c r="O9" s="2032"/>
      <c r="P9" s="2031"/>
      <c r="Q9" s="2031"/>
      <c r="R9" s="2031"/>
    </row>
    <row r="10" spans="1:19" ht="26.25" customHeight="1" thickTop="1">
      <c r="A10" s="2062" t="s">
        <v>1786</v>
      </c>
      <c r="B10" s="2063" t="s">
        <v>3047</v>
      </c>
      <c r="C10" s="2943" t="s">
        <v>3209</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3048</v>
      </c>
      <c r="C11" s="2942" t="s">
        <v>3208</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3049</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54730</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31.56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083" t="s">
        <v>3050</v>
      </c>
      <c r="C16" s="3084"/>
      <c r="D16" s="3085"/>
      <c r="E16" s="2082" t="s">
        <v>1801</v>
      </c>
      <c r="F16" s="3086"/>
      <c r="G16" s="3087"/>
      <c r="H16" s="3087"/>
      <c r="I16" s="3088"/>
      <c r="J16" s="2031"/>
      <c r="K16" s="2079"/>
      <c r="L16" s="2080"/>
      <c r="M16" s="2080"/>
      <c r="N16" s="2081"/>
      <c r="O16" s="2080"/>
      <c r="P16" s="2081"/>
      <c r="Q16" s="2031"/>
      <c r="R16" s="2031"/>
    </row>
    <row r="17" spans="1:22" ht="18" customHeight="1">
      <c r="A17" s="2083" t="s">
        <v>1802</v>
      </c>
      <c r="B17" s="2037" t="s">
        <v>1803</v>
      </c>
      <c r="C17" s="1056">
        <f>'数据-汇总表'!E3</f>
        <v>4020.0999999999995</v>
      </c>
      <c r="D17" s="2084" t="s">
        <v>1804</v>
      </c>
      <c r="E17" s="3089"/>
      <c r="F17" s="3090"/>
      <c r="G17" s="3090"/>
      <c r="H17" s="3090"/>
      <c r="I17" s="3091"/>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1148.5999999999999</v>
      </c>
      <c r="D18" s="2087" t="s">
        <v>1804</v>
      </c>
      <c r="E18" s="3092"/>
      <c r="F18" s="3093"/>
      <c r="G18" s="3093"/>
      <c r="H18" s="3093"/>
      <c r="I18" s="3094"/>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3051</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79" t="s">
        <v>1811</v>
      </c>
      <c r="C20" s="3080"/>
      <c r="D20" s="3081" t="s">
        <v>1812</v>
      </c>
      <c r="E20" s="3082"/>
      <c r="F20" s="2094" t="s">
        <v>1813</v>
      </c>
      <c r="G20" s="2044"/>
      <c r="H20" s="2044"/>
      <c r="I20" s="2044"/>
      <c r="J20" s="2044"/>
      <c r="K20" s="3078"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7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3052</v>
      </c>
      <c r="D22" s="2028"/>
      <c r="E22" s="2028"/>
      <c r="F22" s="2101"/>
      <c r="G22" s="2044"/>
      <c r="H22" s="2044"/>
      <c r="I22" s="2044"/>
      <c r="J22" s="2044"/>
      <c r="K22" s="307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96" t="s">
        <v>1824</v>
      </c>
      <c r="B27" s="2062" t="s">
        <v>1825</v>
      </c>
      <c r="C27" s="2116" t="s">
        <v>3053</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96"/>
      <c r="B28" s="2037" t="s">
        <v>1826</v>
      </c>
      <c r="C28" s="2118" t="s">
        <v>3054</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96"/>
      <c r="B29" s="2037" t="s">
        <v>1827</v>
      </c>
      <c r="C29" s="2121" t="s">
        <v>3051</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97"/>
      <c r="B30" s="2037" t="s">
        <v>1828</v>
      </c>
      <c r="C30" s="3098"/>
      <c r="D30" s="309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00" t="s">
        <v>1829</v>
      </c>
      <c r="B31" s="2123" t="s">
        <v>3055</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0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0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3056</v>
      </c>
      <c r="C34" s="2130" t="s">
        <v>3057</v>
      </c>
      <c r="D34" s="2130" t="s">
        <v>3058</v>
      </c>
      <c r="E34" s="2130" t="s">
        <v>3059</v>
      </c>
      <c r="F34" s="2130" t="s">
        <v>3060</v>
      </c>
      <c r="G34" s="2130" t="s">
        <v>3061</v>
      </c>
      <c r="H34" s="2130" t="s">
        <v>3062</v>
      </c>
      <c r="I34" s="2044"/>
      <c r="J34" s="2044"/>
      <c r="K34" s="1797">
        <f>COUNTIF(B34:H34,"——")</f>
        <v>0</v>
      </c>
      <c r="L34" s="2071" t="s">
        <v>1831</v>
      </c>
      <c r="M34" s="2071" t="s">
        <v>1832</v>
      </c>
      <c r="N34" s="2071" t="s">
        <v>1833</v>
      </c>
      <c r="O34" s="2071" t="s">
        <v>1834</v>
      </c>
      <c r="P34" s="2071" t="s">
        <v>1835</v>
      </c>
      <c r="Q34" s="2071" t="s">
        <v>1836</v>
      </c>
      <c r="R34" s="2071" t="s">
        <v>1837</v>
      </c>
      <c r="S34" s="3095" t="s">
        <v>1838</v>
      </c>
      <c r="T34" s="2131" t="str">
        <f>NUMBERSTRING(7-K34,1)&amp;"通"</f>
        <v>七通</v>
      </c>
      <c r="U34" s="2031"/>
      <c r="V34" s="2031"/>
    </row>
    <row r="35" spans="1:22" ht="18" customHeight="1">
      <c r="A35" s="2132"/>
      <c r="B35" s="3102" t="s">
        <v>1839</v>
      </c>
      <c r="C35" s="3102"/>
      <c r="D35" s="3102"/>
      <c r="E35" s="3102"/>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95"/>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ROUND(I13/3.5,2)</f>
        <v>1148.5999999999999</v>
      </c>
      <c r="B3" s="14">
        <f>IF(C3="否",G5-AT5,G5)</f>
        <v>4020.0999999999995</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4020.0999999999995</v>
      </c>
      <c r="H5" s="16">
        <f t="shared" ref="H5:AT5" si="0">SUM(H13:H656)</f>
        <v>4020.0999999999995</v>
      </c>
      <c r="I5" s="16">
        <f t="shared" si="0"/>
        <v>4020.0999999999995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4020.0999999999995</v>
      </c>
      <c r="BA5" s="18">
        <f t="shared" si="1"/>
        <v>4020.0999999999995</v>
      </c>
      <c r="BB5" s="18">
        <f t="shared" si="1"/>
        <v>4020.0999999999995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1148.5999999999999</v>
      </c>
      <c r="F6" s="16" t="s">
        <v>1</v>
      </c>
      <c r="G6" s="16" t="s">
        <v>2</v>
      </c>
      <c r="H6" s="20">
        <f>SUMIF(I$12:AB$12,"总值",I6:AB6)</f>
        <v>1148.5999999999999</v>
      </c>
      <c r="I6" s="16">
        <f t="shared" ref="I6:AB6" si="2">ROUND($A$3*I5/$B$3,2)</f>
        <v>1148.5999999999999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1148.5999999999999</v>
      </c>
      <c r="AZ6" s="16" t="s">
        <v>3</v>
      </c>
      <c r="BA6" s="16">
        <f>ROUND($AY$6*BA5/$AZ$5,2)</f>
        <v>1148.5999999999999</v>
      </c>
      <c r="BB6" s="16">
        <f>ROUND($AY$6*BB5/$AZ$5,2)</f>
        <v>1148.5999999999999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3065</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3221</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25.5">
      <c r="A13" s="1274"/>
      <c r="B13" s="1274"/>
      <c r="C13" s="3002" t="s">
        <v>3272</v>
      </c>
      <c r="D13" s="2210" t="s">
        <v>3064</v>
      </c>
      <c r="E13" s="16">
        <f>IF($C$3="是",ROUND($A$3*G13/$B$3,2),ROUND($A$3*(G13-AT13)/$B$3,2))</f>
        <v>1148.5999999999999</v>
      </c>
      <c r="F13" s="32"/>
      <c r="G13" s="33">
        <f>H13+AC13+AT13</f>
        <v>4020.0999999999995</v>
      </c>
      <c r="H13" s="20">
        <f>SUMIF(I$12:AB$12,"总值",I13:AB13)</f>
        <v>4020.0999999999995</v>
      </c>
      <c r="I13" s="2211">
        <f>Sheet1!E44</f>
        <v>4020.0999999999995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天成美雅、天成美景</v>
      </c>
      <c r="AY13" s="1808">
        <f>ROUND($AY$6*AZ13/$AZ$5,2)</f>
        <v>1148.5999999999999</v>
      </c>
      <c r="AZ13" s="16">
        <f>BA13+BL13</f>
        <v>4020.0999999999995</v>
      </c>
      <c r="BA13" s="16">
        <f>SUM(BB13:BK13)</f>
        <v>4020.0999999999995</v>
      </c>
      <c r="BB13" s="16">
        <f>IF($D13="是",I13-J13,0)</f>
        <v>4020.0999999999995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14" t="s">
        <v>1935</v>
      </c>
      <c r="B2" s="3114"/>
      <c r="C2" s="3114"/>
      <c r="D2" s="969" t="s">
        <v>1911</v>
      </c>
      <c r="E2" s="2224" t="s">
        <v>1912</v>
      </c>
      <c r="F2" s="1394"/>
      <c r="G2" s="2225"/>
      <c r="H2" s="2226"/>
      <c r="I2" s="2227" t="s">
        <v>1936</v>
      </c>
      <c r="J2" s="1394"/>
      <c r="K2" s="1394"/>
      <c r="L2" s="1394"/>
      <c r="M2" s="1394"/>
      <c r="N2" s="1429"/>
      <c r="O2" s="1394"/>
      <c r="P2" s="1394"/>
    </row>
    <row r="3" spans="1:16" ht="15.75" thickBot="1">
      <c r="A3" s="3115" t="s">
        <v>1909</v>
      </c>
      <c r="B3" s="3115"/>
      <c r="C3" s="3115"/>
      <c r="D3" s="46">
        <f>'数据-基础表'!AY6</f>
        <v>1148.5999999999999</v>
      </c>
      <c r="E3" s="46">
        <f>'数据-基础表'!AZ5</f>
        <v>4020.0999999999995</v>
      </c>
      <c r="F3" s="1394"/>
      <c r="G3" s="1401"/>
      <c r="H3" s="1249" t="s">
        <v>1910</v>
      </c>
      <c r="I3" s="55">
        <f>ROUND('数据-基础表'!B3/'数据-基础表'!A3,2)</f>
        <v>3.5</v>
      </c>
      <c r="J3" s="1394"/>
      <c r="K3" s="1394"/>
      <c r="L3" s="1394"/>
      <c r="M3" s="1394"/>
      <c r="N3" s="1429"/>
      <c r="O3" s="1394"/>
      <c r="P3" s="1394"/>
    </row>
    <row r="4" spans="1:16" ht="15">
      <c r="A4" s="3116"/>
      <c r="B4" s="3117"/>
      <c r="C4" s="3118"/>
      <c r="D4" s="2228" t="s">
        <v>1911</v>
      </c>
      <c r="E4" s="2229" t="s">
        <v>1912</v>
      </c>
      <c r="F4" s="1394"/>
      <c r="G4" s="2230" t="s">
        <v>1937</v>
      </c>
      <c r="H4" s="1249" t="s">
        <v>1917</v>
      </c>
      <c r="I4" s="55">
        <f>ROUND(SUMIF('数据-基础表'!I9:AS9,"地上",'数据-基础表'!I5:AS5)/'数据-基础表'!A3,2)</f>
        <v>3.5</v>
      </c>
      <c r="J4" s="1394"/>
      <c r="K4" s="1394"/>
      <c r="L4" s="1394"/>
      <c r="M4" s="1394"/>
      <c r="N4" s="1429"/>
      <c r="O4" s="1394"/>
      <c r="P4" s="1394"/>
    </row>
    <row r="5" spans="1:16">
      <c r="A5" s="47" t="s">
        <v>1913</v>
      </c>
      <c r="B5" s="3119" t="s">
        <v>1914</v>
      </c>
      <c r="C5" s="3119"/>
      <c r="D5" s="48">
        <f>ROUND($D$3*E5/$E$3,2)</f>
        <v>0</v>
      </c>
      <c r="E5" s="49">
        <f>SUMIF('数据-基础表'!$11:$11,"住宅",'数据-基础表'!$5:$5)</f>
        <v>0</v>
      </c>
      <c r="F5" s="1394"/>
      <c r="G5" s="1401"/>
      <c r="H5" s="1249" t="s">
        <v>1910</v>
      </c>
      <c r="I5" s="55">
        <f>ROUND(E31/D31,2)</f>
        <v>3.5</v>
      </c>
      <c r="J5" s="1394"/>
      <c r="K5" s="1394"/>
      <c r="L5" s="1394"/>
      <c r="M5" s="1394"/>
      <c r="N5" s="1394"/>
      <c r="O5" s="1394"/>
      <c r="P5" s="1394"/>
    </row>
    <row r="6" spans="1:16" ht="15" thickBot="1">
      <c r="A6" s="2231"/>
      <c r="B6" s="3119" t="s">
        <v>1915</v>
      </c>
      <c r="C6" s="3119"/>
      <c r="D6" s="48">
        <f>ROUND($D$3*E6/$E$3,2)</f>
        <v>1148.5999999999999</v>
      </c>
      <c r="E6" s="49">
        <f>E3-E5</f>
        <v>4020.0999999999995</v>
      </c>
      <c r="F6" s="1394"/>
      <c r="G6" s="2232" t="s">
        <v>1916</v>
      </c>
      <c r="H6" s="1401" t="s">
        <v>1917</v>
      </c>
      <c r="I6" s="941">
        <f>ROUND(F31/D31,2)</f>
        <v>3.5</v>
      </c>
      <c r="J6" s="1394"/>
      <c r="K6" s="1394"/>
      <c r="L6" s="1394"/>
      <c r="M6" s="1394"/>
      <c r="N6" s="1394"/>
      <c r="O6" s="1394"/>
      <c r="P6" s="1394"/>
    </row>
    <row r="7" spans="1:16" ht="15">
      <c r="A7" s="3111"/>
      <c r="B7" s="3112"/>
      <c r="C7" s="3113"/>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1148.5999999999999</v>
      </c>
      <c r="E8" s="51">
        <f>SUMIF('数据-基础表'!BB10:BK10,"地上",'数据-基础表'!BB5:BK5)</f>
        <v>4020.0999999999995</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1148.5999999999999</v>
      </c>
      <c r="E16" s="53">
        <f>SUM(E8:E15)</f>
        <v>4020.0999999999995</v>
      </c>
      <c r="F16" s="1394"/>
      <c r="G16" s="2234"/>
      <c r="H16" s="2237" t="s">
        <v>1939</v>
      </c>
      <c r="I16" s="2238"/>
      <c r="J16" s="1394"/>
      <c r="K16" s="3108" t="s">
        <v>1939</v>
      </c>
      <c r="L16" s="3109"/>
      <c r="M16" s="3109"/>
      <c r="N16" s="3109"/>
      <c r="O16" s="3109"/>
      <c r="P16" s="3110"/>
    </row>
    <row r="17" spans="1:19" ht="15">
      <c r="A17" s="2239" t="s">
        <v>1940</v>
      </c>
      <c r="B17" s="2240" t="s">
        <v>1941</v>
      </c>
      <c r="C17" s="2241" t="s">
        <v>1942</v>
      </c>
      <c r="D17" s="2242" t="s">
        <v>1930</v>
      </c>
      <c r="E17" s="2243" t="s">
        <v>1931</v>
      </c>
      <c r="F17" s="2244"/>
      <c r="G17" s="2245"/>
      <c r="H17" s="2246" t="s">
        <v>1943</v>
      </c>
      <c r="I17" s="2247" t="s">
        <v>1928</v>
      </c>
      <c r="J17" s="1394"/>
      <c r="K17" s="3105" t="s">
        <v>1944</v>
      </c>
      <c r="L17" s="3106"/>
      <c r="M17" s="3107"/>
      <c r="N17" s="3105" t="s">
        <v>1945</v>
      </c>
      <c r="O17" s="3106"/>
      <c r="P17" s="3107"/>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3069</v>
      </c>
      <c r="D19" s="48">
        <f>ROUND($D$3*E19/$E$3,2)</f>
        <v>55.77</v>
      </c>
      <c r="E19" s="56">
        <f t="shared" ref="E19:E26" si="1">SUM(F19:G19)</f>
        <v>195.21</v>
      </c>
      <c r="F19" s="57">
        <f>Sheet1!E3</f>
        <v>195.21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55.77</v>
      </c>
      <c r="S19" s="1250">
        <f t="shared" si="5"/>
        <v>195.21</v>
      </c>
    </row>
    <row r="20" spans="1:19">
      <c r="A20" s="2260"/>
      <c r="B20" s="50" t="s">
        <v>1957</v>
      </c>
      <c r="C20" s="2945" t="s">
        <v>3070</v>
      </c>
      <c r="D20" s="48">
        <f t="shared" ref="D20:D26" si="6">ROUND($D$3*E20/$E$3,2)</f>
        <v>1092.83</v>
      </c>
      <c r="E20" s="56">
        <f t="shared" si="1"/>
        <v>3824.8899999999994</v>
      </c>
      <c r="F20" s="57">
        <f>'数据-基础表'!I13-'数据-汇总表'!F19</f>
        <v>3824.8899999999994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1092.83</v>
      </c>
      <c r="S20" s="1250">
        <f t="shared" si="5"/>
        <v>3824.8899999999994</v>
      </c>
    </row>
    <row r="21" spans="1:19" hidden="1">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hidden="1">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hidden="1">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hidden="1">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hidden="1">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1148.5999999999999</v>
      </c>
      <c r="E27" s="1396">
        <f>IF(SUM(E19:E26)='数据-基础表'!BA5,SUM(E19:E26),IF(F27="地上面积有误","面积有误","地下面积有误"))</f>
        <v>4020.0999999999995</v>
      </c>
      <c r="F27" s="1395">
        <f>IF(SUM(F19:F26)=E8,SUM(F19:F26),"地上面积有误")</f>
        <v>4020.0999999999995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1148.5999999999999</v>
      </c>
      <c r="S27" s="1249">
        <f>IF(SUM(S19:S26)=$E$3,SUM(S19:S26),SUM(S19:S26)&amp;"误差"&amp;ROUND(SUM(S19:S26)-E3,2))</f>
        <v>4020.0999999999995</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1148.5999999999999</v>
      </c>
      <c r="E31" s="728">
        <f>E27+E30</f>
        <v>4020.0999999999995</v>
      </c>
      <c r="F31" s="729">
        <f>F27+F30</f>
        <v>4020.0999999999995</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41"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3071</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54730</v>
      </c>
      <c r="F6" s="72">
        <f>SUMIF(项目基本情况!D$12:I$12,C6,项目基本情况!D$15:I$15)</f>
        <v>31.56</v>
      </c>
      <c r="G6" s="73">
        <f>IF(ISERROR(ROUND(POWER(1+H6,D6-F6)*(POWER(1+H6,F6)-1)/(POWER(1+H6,D6)-1),3)),0,ROUND(POWER(1+H6,D6-F6)*(POWER(1+H6,F6)-1)/(POWER(1+H6,D6)-1),3))</f>
        <v>0.90700000000000003</v>
      </c>
      <c r="H6" s="801">
        <v>4.4999999999999998E-2</v>
      </c>
      <c r="I6" s="801">
        <v>0.05</v>
      </c>
      <c r="J6" s="74">
        <v>8.5000000000000006E-2</v>
      </c>
      <c r="K6" s="1253">
        <f>SUMIF('数据-汇总表'!C$19:C$33,A6,'数据-汇总表'!E$19:E$33)</f>
        <v>195.21</v>
      </c>
      <c r="L6" s="802">
        <v>3000</v>
      </c>
      <c r="M6" s="75">
        <f t="shared" ref="M6:M14" si="0">ROUND(K6*L6/10000,0)</f>
        <v>59</v>
      </c>
      <c r="N6" s="800">
        <f>ROUND(1-(2018-2015)/60,2)</f>
        <v>0.95</v>
      </c>
      <c r="O6" s="75" t="str">
        <f>IF($N$5="成新度","——",ROUND(M6*N6,0))</f>
        <v>——</v>
      </c>
      <c r="P6" s="76" t="str">
        <f>IF($N$5="成新度","——",M6-O6)</f>
        <v>——</v>
      </c>
      <c r="Q6" s="803">
        <v>0.25</v>
      </c>
      <c r="R6" s="77">
        <f ca="1">SUMIF('数据-汇总表'!C$19:C$33,A6,'数据-汇总表'!R$19:R$27)</f>
        <v>55.77</v>
      </c>
      <c r="S6" s="54">
        <f>IF('数据-汇总表'!$I$17="按面积比例",SUMIF('数据-汇总表'!C$19:C$33,A6,'数据-汇总表'!K$19:K$33),SUMIF('数据-汇总表'!C$19:C$33,A6,'数据-汇总表'!N$19:N$33))</f>
        <v>0</v>
      </c>
      <c r="T6" s="1445">
        <f>ROUND($L$14*S6/10000,0)</f>
        <v>0</v>
      </c>
      <c r="U6" s="78">
        <v>5.5</v>
      </c>
      <c r="V6" s="79">
        <v>0.03</v>
      </c>
      <c r="W6" s="79">
        <v>0.2</v>
      </c>
      <c r="X6" s="1263"/>
      <c r="Y6" s="80">
        <f>N6</f>
        <v>0.95</v>
      </c>
      <c r="Z6" s="81"/>
      <c r="AA6" s="74"/>
      <c r="AB6" s="74"/>
      <c r="AC6" s="1263"/>
      <c r="AD6" s="82"/>
      <c r="AE6" s="1264">
        <f ca="1">IF(AN6="",0,SUMIF(INDIRECT("'"&amp;AN6&amp;"'"&amp;"!E:E"),$AE$5,INDIRECT("'"&amp;AN6&amp;"'"&amp;"!F:F")))</f>
        <v>31.56</v>
      </c>
      <c r="AF6" s="1806"/>
      <c r="AG6" s="147">
        <f>IF(AF6="",0,AE6-AF6)</f>
        <v>0</v>
      </c>
      <c r="AH6" s="83"/>
      <c r="AI6" s="85">
        <v>365</v>
      </c>
      <c r="AJ6" s="86"/>
      <c r="AK6" s="87">
        <v>1.4999999999999999E-2</v>
      </c>
      <c r="AL6" s="88">
        <v>1.5E-3</v>
      </c>
      <c r="AM6" s="89">
        <v>0.01</v>
      </c>
      <c r="AN6" s="2306" t="s">
        <v>3072</v>
      </c>
      <c r="AO6" s="55">
        <f ca="1">SUMIF(INDIRECT("'"&amp;AN6&amp;"'"&amp;"!A:A"),"总价",INDIRECT("'"&amp;AN6&amp;"'"&amp;"!B:B"))</f>
        <v>549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54730</v>
      </c>
      <c r="F7" s="72">
        <f>SUMIF(项目基本情况!D$12:I$12,C7,项目基本情况!D$15:I$15)</f>
        <v>31.56</v>
      </c>
      <c r="G7" s="73">
        <f t="shared" ref="G7:G11" si="2">IF(ISERROR(ROUND(POWER(1+H7,D7-F7)*(POWER(1+H7,F7)-1)/(POWER(1+H7,D7)-1),3)),0,ROUND(POWER(1+H7,D7-F7)*(POWER(1+H7,F7)-1)/(POWER(1+H7,D7)-1),3))</f>
        <v>0.90700000000000003</v>
      </c>
      <c r="H7" s="801">
        <v>4.4999999999999998E-2</v>
      </c>
      <c r="I7" s="801">
        <v>0.05</v>
      </c>
      <c r="J7" s="74">
        <v>8.5000000000000006E-2</v>
      </c>
      <c r="K7" s="1253">
        <f>SUMIF('数据-汇总表'!C$19:C$33,A7,'数据-汇总表'!E$19:E$33)</f>
        <v>3824.8899999999994</v>
      </c>
      <c r="L7" s="802">
        <v>3000</v>
      </c>
      <c r="M7" s="75">
        <f t="shared" si="0"/>
        <v>1147</v>
      </c>
      <c r="N7" s="800">
        <f>ROUND(1-(2018-2015)/60,2)</f>
        <v>0.95</v>
      </c>
      <c r="O7" s="75" t="str">
        <f t="shared" ref="O7:O14" si="3">IF($N$5="成新度","——",ROUND(M7*N7,0))</f>
        <v>——</v>
      </c>
      <c r="P7" s="76" t="str">
        <f t="shared" ref="P7:P14" si="4">IF($N$5="成新度","——",M7-O7)</f>
        <v>——</v>
      </c>
      <c r="Q7" s="803">
        <v>0.25</v>
      </c>
      <c r="R7" s="77">
        <f ca="1">SUMIF('数据-汇总表'!C$19:C$33,A7,'数据-汇总表'!R$19:R$27)</f>
        <v>1092.83</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0.90700000000000003</v>
      </c>
      <c r="H16" s="99">
        <f>ROUND(SUMPRODUCT(H6:H13,K6:K13)/SUMPRODUCT((H6:H13&gt;0)*(K6:K13)),3)</f>
        <v>4.4999999999999998E-2</v>
      </c>
      <c r="I16" s="100"/>
      <c r="J16" s="100"/>
      <c r="K16" s="101">
        <f>SUM(K6:K15)</f>
        <v>4020.0999999999995</v>
      </c>
      <c r="L16" s="102">
        <f>ROUND(M16*10000/SUM(K6:K14),0)</f>
        <v>3000</v>
      </c>
      <c r="M16" s="102">
        <f>SUM(M6:M14)</f>
        <v>1206</v>
      </c>
      <c r="N16" s="103">
        <f>ROUND(SUMPRODUCT(M6:M14,N6:N14)/M16,3)</f>
        <v>0.95</v>
      </c>
      <c r="O16" s="102">
        <f>SUM(O6:O14)</f>
        <v>0</v>
      </c>
      <c r="P16" s="102">
        <f>SUM(P6:P14)</f>
        <v>0</v>
      </c>
      <c r="Q16" s="104">
        <f>ROUND(SUMPRODUCT(Q6:Q13,K6:K13)/SUMPRODUCT((Q6:Q13&gt;0)*(K6:K13)),2)</f>
        <v>0.25</v>
      </c>
      <c r="R16" s="1257">
        <f ca="1">SUM(R6:R13)</f>
        <v>1148.5999999999999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3</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3222</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3063</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20" t="s">
        <v>2078</v>
      </c>
      <c r="B1" s="3121"/>
      <c r="C1" s="3121"/>
      <c r="D1" s="3121"/>
      <c r="E1" s="3121"/>
      <c r="F1" s="3121"/>
      <c r="G1" s="312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195.21</v>
      </c>
      <c r="C1" s="1744"/>
      <c r="D1" s="1744"/>
      <c r="E1" s="1744"/>
      <c r="F1" s="1744"/>
      <c r="G1" s="1742"/>
    </row>
    <row r="2" spans="1:10" ht="16.5">
      <c r="A2" s="1745" t="s">
        <v>1353</v>
      </c>
      <c r="B2" s="1745">
        <f>SUM(C14:C23)</f>
        <v>55.77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585</v>
      </c>
      <c r="C5" s="1745">
        <f ca="1">ROUND(B5*10000/$B$1,0)</f>
        <v>29968</v>
      </c>
      <c r="D5" s="1745">
        <f ca="1">ROUND(B5*10000/$B$2,0)</f>
        <v>104895</v>
      </c>
      <c r="E5" s="1744"/>
      <c r="F5" s="1742"/>
      <c r="G5" s="1742"/>
    </row>
    <row r="6" spans="1:10" ht="16.5">
      <c r="A6" s="1745" t="s">
        <v>1356</v>
      </c>
      <c r="B6" s="1745">
        <f ca="1">SUM(G14:G23)</f>
        <v>585</v>
      </c>
      <c r="C6" s="1745">
        <f ca="1">ROUND(B6*10000/$B$1,0)</f>
        <v>29968</v>
      </c>
      <c r="D6" s="1745">
        <f ca="1">ROUND(B6*10000/$B$2,0)</f>
        <v>104895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195.21</v>
      </c>
      <c r="C14" s="1743">
        <f>结果表!C118</f>
        <v>55.77</v>
      </c>
      <c r="D14" s="1743">
        <f ca="1">结果表!H118</f>
        <v>585</v>
      </c>
      <c r="E14" s="1743">
        <f ca="1">ROUND(D14*10000/B14,0)</f>
        <v>29968</v>
      </c>
      <c r="F14" s="1743">
        <f ca="1">ROUND(D14*10000/C14,0)</f>
        <v>104895</v>
      </c>
      <c r="G14" s="1743">
        <f ca="1">结果表!D122</f>
        <v>585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16" sqref="K1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3068</v>
      </c>
      <c r="D1" s="2416"/>
      <c r="E1" s="2416"/>
      <c r="F1" s="2418" t="s">
        <v>2116</v>
      </c>
      <c r="G1" s="2068" t="s">
        <v>3055</v>
      </c>
      <c r="H1" s="2419" t="str">
        <f>IF(G1="现房","——","估价对象范围")</f>
        <v>——</v>
      </c>
      <c r="I1" s="2420" t="s">
        <v>3125</v>
      </c>
    </row>
    <row r="2" spans="1:12" ht="21.75" customHeight="1" thickBot="1">
      <c r="A2" s="3194" t="str">
        <f>项目基本情况!S2</f>
        <v>湖北省武汉市房地产</v>
      </c>
      <c r="B2" s="3195"/>
      <c r="C2" s="3195"/>
      <c r="D2" s="3195"/>
      <c r="E2" s="3195"/>
      <c r="F2" s="3195"/>
      <c r="G2" s="3195"/>
      <c r="H2" s="3195"/>
      <c r="I2" s="3196"/>
    </row>
    <row r="3" spans="1:12" ht="12.75">
      <c r="A3" s="3197" t="s">
        <v>2117</v>
      </c>
      <c r="B3" s="3198"/>
      <c r="C3" s="3198"/>
      <c r="D3" s="3198"/>
      <c r="E3" s="3198"/>
      <c r="F3" s="3198"/>
      <c r="G3" s="3198"/>
      <c r="H3" s="3198"/>
      <c r="I3" s="3198"/>
    </row>
    <row r="4" spans="1:12" ht="14.25">
      <c r="A4" s="2423" t="s">
        <v>2118</v>
      </c>
      <c r="B4" s="2424" t="s">
        <v>2119</v>
      </c>
      <c r="C4" s="2425" t="s">
        <v>3072</v>
      </c>
      <c r="D4" s="2425" t="s">
        <v>3077</v>
      </c>
      <c r="E4" s="3178" t="s">
        <v>2120</v>
      </c>
      <c r="F4" s="3191"/>
      <c r="G4" s="3191"/>
      <c r="H4" s="3191"/>
      <c r="I4" s="317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69" t="s">
        <v>2121</v>
      </c>
      <c r="B5" s="3095">
        <v>25</v>
      </c>
      <c r="C5" s="3199"/>
      <c r="D5" s="3187"/>
      <c r="E5" s="140" t="s">
        <v>2122</v>
      </c>
      <c r="F5" s="2427"/>
      <c r="G5" s="2427"/>
      <c r="H5" s="2427"/>
      <c r="I5" s="1833"/>
    </row>
    <row r="6" spans="1:12" ht="12.75">
      <c r="A6" s="3169"/>
      <c r="B6" s="3095"/>
      <c r="C6" s="3201"/>
      <c r="D6" s="3187"/>
      <c r="E6" s="140" t="s">
        <v>2123</v>
      </c>
      <c r="F6" s="2427"/>
      <c r="G6" s="2427"/>
      <c r="H6" s="2427"/>
      <c r="I6" s="1833"/>
    </row>
    <row r="7" spans="1:12" ht="12.75">
      <c r="A7" s="3169"/>
      <c r="B7" s="3095"/>
      <c r="C7" s="3200"/>
      <c r="D7" s="3187"/>
      <c r="E7" s="140" t="s">
        <v>2124</v>
      </c>
      <c r="F7" s="2427"/>
      <c r="G7" s="2427"/>
      <c r="H7" s="2427"/>
      <c r="I7" s="1833"/>
    </row>
    <row r="8" spans="1:12" ht="12.75">
      <c r="A8" s="3169" t="s">
        <v>2125</v>
      </c>
      <c r="B8" s="3095">
        <v>15</v>
      </c>
      <c r="C8" s="3199"/>
      <c r="D8" s="3187"/>
      <c r="E8" s="140" t="s">
        <v>2126</v>
      </c>
      <c r="F8" s="2427"/>
      <c r="G8" s="2427"/>
      <c r="H8" s="2427"/>
      <c r="I8" s="1833"/>
    </row>
    <row r="9" spans="1:12" ht="12.75">
      <c r="A9" s="3169"/>
      <c r="B9" s="3095"/>
      <c r="C9" s="3200"/>
      <c r="D9" s="3187"/>
      <c r="E9" s="140" t="s">
        <v>2127</v>
      </c>
      <c r="F9" s="2427"/>
      <c r="G9" s="2427"/>
      <c r="H9" s="2427"/>
      <c r="I9" s="1833"/>
    </row>
    <row r="10" spans="1:12" ht="12.75">
      <c r="A10" s="3169" t="s">
        <v>2128</v>
      </c>
      <c r="B10" s="3095">
        <v>15</v>
      </c>
      <c r="C10" s="3199"/>
      <c r="D10" s="3187"/>
      <c r="E10" s="140" t="s">
        <v>2129</v>
      </c>
      <c r="F10" s="2427"/>
      <c r="G10" s="2427"/>
      <c r="H10" s="2427"/>
      <c r="I10" s="1833"/>
    </row>
    <row r="11" spans="1:12" ht="12.75">
      <c r="A11" s="3169"/>
      <c r="B11" s="3095"/>
      <c r="C11" s="3200"/>
      <c r="D11" s="3187"/>
      <c r="E11" s="140" t="s">
        <v>2130</v>
      </c>
      <c r="F11" s="2427"/>
      <c r="G11" s="2427"/>
      <c r="H11" s="2427"/>
      <c r="I11" s="1833"/>
    </row>
    <row r="12" spans="1:12" ht="12.75">
      <c r="A12" s="3169" t="s">
        <v>2131</v>
      </c>
      <c r="B12" s="3095">
        <v>15</v>
      </c>
      <c r="C12" s="3199"/>
      <c r="D12" s="3187"/>
      <c r="E12" s="140" t="s">
        <v>2132</v>
      </c>
      <c r="F12" s="2427"/>
      <c r="G12" s="2427"/>
      <c r="H12" s="2427"/>
      <c r="I12" s="1833"/>
    </row>
    <row r="13" spans="1:12" ht="12.75">
      <c r="A13" s="3169"/>
      <c r="B13" s="3095"/>
      <c r="C13" s="3200"/>
      <c r="D13" s="3187"/>
      <c r="E13" s="140" t="s">
        <v>2133</v>
      </c>
      <c r="F13" s="2427"/>
      <c r="G13" s="2427"/>
      <c r="H13" s="2427"/>
      <c r="I13" s="1833"/>
    </row>
    <row r="14" spans="1:12" ht="12.75">
      <c r="A14" s="3169" t="s">
        <v>2134</v>
      </c>
      <c r="B14" s="3095">
        <v>30</v>
      </c>
      <c r="C14" s="3199">
        <v>5</v>
      </c>
      <c r="D14" s="3187">
        <v>5</v>
      </c>
      <c r="E14" s="140" t="s">
        <v>2135</v>
      </c>
      <c r="F14" s="2427"/>
      <c r="G14" s="2427"/>
      <c r="H14" s="2427"/>
      <c r="I14" s="1833"/>
    </row>
    <row r="15" spans="1:12" ht="12.75">
      <c r="A15" s="3169"/>
      <c r="B15" s="3095"/>
      <c r="C15" s="3201"/>
      <c r="D15" s="3187"/>
      <c r="E15" s="140" t="s">
        <v>2136</v>
      </c>
      <c r="F15" s="2427"/>
      <c r="G15" s="2427"/>
      <c r="H15" s="2427"/>
      <c r="I15" s="1833"/>
    </row>
    <row r="16" spans="1:12" ht="12.75">
      <c r="A16" s="3169"/>
      <c r="B16" s="3095"/>
      <c r="C16" s="3200"/>
      <c r="D16" s="3187"/>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195.21</v>
      </c>
      <c r="M18" s="2426">
        <f>IF(C1="",'数据-汇总表'!E3,SUMIF(项目类型,C1,'数据-汇总表'!E17:E26))</f>
        <v>195.21</v>
      </c>
    </row>
    <row r="19" spans="1:35" ht="15">
      <c r="A19" s="2432" t="s">
        <v>2143</v>
      </c>
      <c r="B19" s="2433" t="s">
        <v>2144</v>
      </c>
      <c r="C19" s="143">
        <f ca="1">SUMIF(INDIRECT("'"&amp;C4&amp;"'"&amp;"!A:A"),结果表!B19,INDIRECT("'"&amp;C4&amp;"'"&amp;"!B:B"))</f>
        <v>549</v>
      </c>
      <c r="D19" s="144">
        <f ca="1">SUMIF(INDIRECT("'"&amp;D4&amp;"'"&amp;"!A:A"),结果表!B19,INDIRECT("'"&amp;D4&amp;"'"&amp;"!B:B"))</f>
        <v>621</v>
      </c>
      <c r="E19" s="2432" t="s">
        <v>2145</v>
      </c>
      <c r="F19" s="2433" t="s">
        <v>2144</v>
      </c>
      <c r="G19" s="145">
        <f ca="1">ROUND(C19*$C$18+D19*$D$18,0)</f>
        <v>585</v>
      </c>
      <c r="H19" s="2434" t="s">
        <v>2146</v>
      </c>
      <c r="I19" s="138"/>
      <c r="K19" s="2426" t="s">
        <v>2147</v>
      </c>
      <c r="L19" s="2426">
        <f>IF(C1="",'数据-汇总表'!D3,SUMIF(项目类型,C1,'数据-汇总表'!D17:D26)+SUMIF(项目类型,C1,'数据-汇总表'!H17:H27))</f>
        <v>55.77</v>
      </c>
      <c r="M19" s="2426">
        <f>IF(C1="",'数据-汇总表'!D3,SUMIF(项目类型,C1,'数据-汇总表'!D17:D26))</f>
        <v>55.77</v>
      </c>
    </row>
    <row r="20" spans="1:35" ht="15">
      <c r="A20" s="2435"/>
      <c r="B20" s="1249" t="s">
        <v>2148</v>
      </c>
      <c r="C20" s="146">
        <f ca="1">SUMIF(INDIRECT("'"&amp;C4&amp;"'"&amp;"!A:A"),结果表!B20,INDIRECT("'"&amp;C4&amp;"'"&amp;"!B:B"))</f>
        <v>28124</v>
      </c>
      <c r="D20" s="147">
        <f ca="1">SUMIF(INDIRECT("'"&amp;D4&amp;"'"&amp;"!A:A"),结果表!B20,INDIRECT("'"&amp;D4&amp;"'"&amp;"!B:B"))</f>
        <v>31819</v>
      </c>
      <c r="E20" s="2435"/>
      <c r="F20" s="1249" t="s">
        <v>2148</v>
      </c>
      <c r="G20" s="148">
        <f ca="1">ROUND(C20*$C$18+D20*$D$18,0)</f>
        <v>29972</v>
      </c>
      <c r="H20" s="982" t="s">
        <v>2149</v>
      </c>
      <c r="I20" s="138"/>
    </row>
    <row r="21" spans="1:35" ht="15" customHeight="1" thickBot="1">
      <c r="A21" s="1002"/>
      <c r="B21" s="2436" t="s">
        <v>2150</v>
      </c>
      <c r="C21" s="788">
        <f ca="1">ROUND(C19*10000/L19,0)</f>
        <v>98440</v>
      </c>
      <c r="D21" s="789">
        <f ca="1">ROUND(D19*10000/L19,0)</f>
        <v>111350</v>
      </c>
      <c r="E21" s="1002"/>
      <c r="F21" s="2436" t="s">
        <v>2150</v>
      </c>
      <c r="G21" s="149">
        <f ca="1">ROUND(G19*10000/L19,0)</f>
        <v>104895</v>
      </c>
      <c r="H21" s="2437" t="s">
        <v>2149</v>
      </c>
      <c r="I21" s="138"/>
    </row>
    <row r="22" spans="1:35" ht="15" thickBot="1">
      <c r="A22" s="2278" t="s">
        <v>2151</v>
      </c>
      <c r="B22" s="2438"/>
      <c r="C22" s="2439"/>
      <c r="D22" s="790">
        <f ca="1">IF(C19&lt;D19,D19/C19-1,C19/D19-1)</f>
        <v>0.13114754098360648</v>
      </c>
      <c r="E22" s="138"/>
      <c r="F22" s="138"/>
      <c r="G22" s="138"/>
      <c r="H22" s="138"/>
      <c r="I22" s="138"/>
    </row>
    <row r="23" spans="1:35" ht="13.5" thickBot="1">
      <c r="A23" s="2416"/>
      <c r="B23" s="2416"/>
      <c r="C23" s="2416"/>
      <c r="D23" s="2416"/>
      <c r="E23" s="138"/>
      <c r="F23" s="138"/>
      <c r="G23" s="138"/>
      <c r="H23" s="138"/>
      <c r="I23" s="138"/>
    </row>
    <row r="24" spans="1:35" ht="14.25">
      <c r="A24" s="3208" t="s">
        <v>2152</v>
      </c>
      <c r="B24" s="2433" t="s">
        <v>2144</v>
      </c>
      <c r="C24" s="145">
        <f>IF(B30=0,0,D30)</f>
        <v>0</v>
      </c>
      <c r="D24" s="2440"/>
      <c r="E24" s="138"/>
      <c r="F24" s="138"/>
      <c r="G24" s="138"/>
      <c r="H24" s="138"/>
      <c r="I24" s="138"/>
    </row>
    <row r="25" spans="1:35" ht="14.25">
      <c r="A25" s="3209"/>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585</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88" t="s">
        <v>2166</v>
      </c>
      <c r="B36" s="2459" t="s">
        <v>2167</v>
      </c>
      <c r="C36" s="154"/>
      <c r="D36" s="2460"/>
      <c r="E36" s="2461"/>
      <c r="F36" s="2462"/>
      <c r="G36" s="138"/>
      <c r="H36" s="138"/>
      <c r="I36" s="138"/>
    </row>
    <row r="37" spans="1:15" ht="15.75" thickBot="1">
      <c r="A37" s="3189"/>
      <c r="B37" s="2264" t="s">
        <v>2168</v>
      </c>
      <c r="C37" s="156"/>
      <c r="D37" s="1394"/>
      <c r="E37" s="1394"/>
      <c r="F37" s="2462"/>
      <c r="G37" s="138"/>
      <c r="H37" s="138"/>
      <c r="I37" s="138"/>
    </row>
    <row r="38" spans="1:15" ht="15.75" thickBot="1">
      <c r="A38" s="3190"/>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05" t="s">
        <v>2180</v>
      </c>
      <c r="B45" s="3206"/>
      <c r="C45" s="3207"/>
      <c r="D45" s="164">
        <f ca="1">ROUND(H101*F45,0)</f>
        <v>585</v>
      </c>
      <c r="E45" s="165" t="s">
        <v>2181</v>
      </c>
      <c r="F45" s="166">
        <v>1</v>
      </c>
      <c r="G45" s="167" t="s">
        <v>2182</v>
      </c>
      <c r="H45" s="138"/>
      <c r="I45" s="138"/>
      <c r="J45" s="3124" t="s">
        <v>2183</v>
      </c>
      <c r="K45" s="3124"/>
      <c r="L45" s="3124"/>
      <c r="M45" s="3124"/>
      <c r="N45" s="3124"/>
      <c r="O45" s="3124"/>
    </row>
    <row r="46" spans="1:15" ht="14.25" customHeight="1">
      <c r="A46" s="3202" t="s">
        <v>2184</v>
      </c>
      <c r="B46" s="3203"/>
      <c r="C46" s="3203"/>
      <c r="D46" s="3203"/>
      <c r="E46" s="3203"/>
      <c r="F46" s="3203"/>
      <c r="G46" s="3204"/>
      <c r="H46" s="2478"/>
      <c r="I46" s="168"/>
      <c r="J46" s="1811">
        <v>1</v>
      </c>
      <c r="K46" s="3124" t="s">
        <v>2185</v>
      </c>
      <c r="L46" s="3124"/>
      <c r="M46" s="3125"/>
      <c r="N46" s="3125"/>
      <c r="O46" s="3125"/>
    </row>
    <row r="47" spans="1:15" ht="12" customHeight="1">
      <c r="A47" s="169" t="s">
        <v>2186</v>
      </c>
      <c r="B47" s="170"/>
      <c r="C47" s="171"/>
      <c r="D47" s="172" t="s">
        <v>2187</v>
      </c>
      <c r="E47" s="24" t="s">
        <v>2188</v>
      </c>
      <c r="F47" s="173" t="s">
        <v>2189</v>
      </c>
      <c r="G47" s="174" t="s">
        <v>2190</v>
      </c>
      <c r="H47" s="2478"/>
      <c r="I47" s="168"/>
      <c r="J47" s="1811">
        <v>2</v>
      </c>
      <c r="K47" s="3124" t="s">
        <v>2191</v>
      </c>
      <c r="L47" s="3124"/>
      <c r="M47" s="3126">
        <f>'数据-取费表'!B2</f>
        <v>43209</v>
      </c>
      <c r="N47" s="3126"/>
      <c r="O47" s="3126"/>
    </row>
    <row r="48" spans="1:15" ht="25.5">
      <c r="A48" s="3192" t="s">
        <v>2192</v>
      </c>
      <c r="B48" s="3193"/>
      <c r="C48" s="3193"/>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24" t="s">
        <v>2195</v>
      </c>
      <c r="L48" s="3124"/>
      <c r="M48" s="3127">
        <f ca="1">H101</f>
        <v>585</v>
      </c>
      <c r="N48" s="3127"/>
      <c r="O48" s="3127"/>
    </row>
    <row r="49" spans="1:35" ht="25.5" customHeight="1">
      <c r="A49" s="176" t="s">
        <v>2196</v>
      </c>
      <c r="B49" s="3172" t="s">
        <v>2197</v>
      </c>
      <c r="C49" s="3172"/>
      <c r="D49" s="177">
        <v>0</v>
      </c>
      <c r="E49" s="23" t="s">
        <v>2198</v>
      </c>
      <c r="F49" s="28" t="s">
        <v>34</v>
      </c>
      <c r="G49" s="3153"/>
      <c r="H49" s="138"/>
      <c r="I49" s="2481"/>
      <c r="J49" s="1811">
        <v>4</v>
      </c>
      <c r="K49" s="3124" t="str">
        <f>IF(项目基本情况!E8="房地产抵押价值","房地产抵押价值","抵押担保权已注销时的房地产抵押价值")</f>
        <v>房地产抵押价值</v>
      </c>
      <c r="L49" s="3124"/>
      <c r="M49" s="3127">
        <f ca="1">IF(项目基本情况!E8="房地产抵押价值",H107,H109)</f>
        <v>585</v>
      </c>
      <c r="N49" s="3127"/>
      <c r="O49" s="3127"/>
    </row>
    <row r="50" spans="1:35" ht="25.5" customHeight="1">
      <c r="A50" s="178"/>
      <c r="B50" s="3172" t="s">
        <v>2199</v>
      </c>
      <c r="C50" s="3172"/>
      <c r="D50" s="179"/>
      <c r="E50" s="31"/>
      <c r="F50" s="180"/>
      <c r="G50" s="3154"/>
      <c r="H50" s="138"/>
      <c r="I50" s="2481"/>
      <c r="J50" s="3124" t="s">
        <v>2200</v>
      </c>
      <c r="K50" s="3124"/>
      <c r="L50" s="3124"/>
      <c r="M50" s="3124"/>
      <c r="N50" s="3124"/>
      <c r="O50" s="3124"/>
    </row>
    <row r="51" spans="1:35" ht="12" customHeight="1">
      <c r="A51" s="181"/>
      <c r="B51" s="3172" t="s">
        <v>2201</v>
      </c>
      <c r="C51" s="3172"/>
      <c r="D51" s="182"/>
      <c r="E51" s="30"/>
      <c r="F51" s="180"/>
      <c r="G51" s="3155"/>
      <c r="H51" s="138"/>
      <c r="I51" s="2481"/>
      <c r="J51" s="2482" t="s">
        <v>2202</v>
      </c>
      <c r="K51" s="3124" t="s">
        <v>2203</v>
      </c>
      <c r="L51" s="3124"/>
      <c r="M51" s="2482" t="s">
        <v>2204</v>
      </c>
      <c r="N51" s="2482" t="s">
        <v>2205</v>
      </c>
      <c r="O51" s="2482" t="s">
        <v>2206</v>
      </c>
    </row>
    <row r="52" spans="1:35" ht="24" customHeight="1">
      <c r="A52" s="183" t="s">
        <v>2207</v>
      </c>
      <c r="B52" s="3172" t="s">
        <v>2208</v>
      </c>
      <c r="C52" s="3172"/>
      <c r="D52" s="182">
        <f ca="1">ROUND(D45*'数据-取费表'!B41/(1+'数据-取费表'!C42),0)</f>
        <v>31</v>
      </c>
      <c r="E52" s="11" t="s">
        <v>2209</v>
      </c>
      <c r="F52" s="184">
        <f>'数据-取费表'!B41</f>
        <v>5.6000000000000001E-2</v>
      </c>
      <c r="G52" s="2483"/>
      <c r="H52" s="138"/>
      <c r="I52" s="2481"/>
      <c r="J52" s="1811">
        <v>1</v>
      </c>
      <c r="K52" s="3147" t="s">
        <v>2210</v>
      </c>
      <c r="L52" s="3147"/>
      <c r="M52" s="1753">
        <f>D48</f>
        <v>0</v>
      </c>
      <c r="N52" s="1811" t="str">
        <f>E48</f>
        <v>销售额×税（费）率</v>
      </c>
      <c r="O52" s="1754" t="str">
        <f>F48</f>
        <v>免征</v>
      </c>
    </row>
    <row r="53" spans="1:35" ht="12" customHeight="1">
      <c r="A53" s="183" t="s">
        <v>2211</v>
      </c>
      <c r="B53" s="3173" t="s">
        <v>2212</v>
      </c>
      <c r="C53" s="3174"/>
      <c r="D53" s="182">
        <f ca="1">ROUND(D45*'数据-取费表'!B41/(1+'数据-取费表'!C42),0)</f>
        <v>31</v>
      </c>
      <c r="E53" s="11" t="s">
        <v>2209</v>
      </c>
      <c r="F53" s="184">
        <f>'数据-取费表'!B41</f>
        <v>5.6000000000000001E-2</v>
      </c>
      <c r="G53" s="2483"/>
      <c r="H53" s="138"/>
      <c r="I53" s="2481"/>
      <c r="J53" s="1811">
        <v>2</v>
      </c>
      <c r="K53" s="3147" t="s">
        <v>2213</v>
      </c>
      <c r="L53" s="3147"/>
      <c r="M53" s="1753">
        <f t="shared" ref="M53:O54" ca="1" si="0">D55</f>
        <v>0</v>
      </c>
      <c r="N53" s="1811" t="str">
        <f t="shared" si="0"/>
        <v>销售额×税（费）率</v>
      </c>
      <c r="O53" s="1754">
        <f t="shared" si="0"/>
        <v>5.0000000000000001E-4</v>
      </c>
    </row>
    <row r="54" spans="1:35" ht="12" customHeight="1">
      <c r="A54" s="183" t="s">
        <v>2214</v>
      </c>
      <c r="B54" s="3173" t="s">
        <v>2215</v>
      </c>
      <c r="C54" s="3174"/>
      <c r="D54" s="182">
        <f ca="1">C68</f>
        <v>31</v>
      </c>
      <c r="E54" s="30" t="s">
        <v>2216</v>
      </c>
      <c r="F54" s="184">
        <f>'数据-取费表'!B41</f>
        <v>5.6000000000000001E-2</v>
      </c>
      <c r="G54" s="2483"/>
      <c r="H54" s="2484"/>
      <c r="I54" s="2481"/>
      <c r="J54" s="1811">
        <v>3</v>
      </c>
      <c r="K54" s="3147" t="s">
        <v>2217</v>
      </c>
      <c r="L54" s="3147"/>
      <c r="M54" s="1753">
        <f t="shared" ca="1" si="0"/>
        <v>331</v>
      </c>
      <c r="N54" s="1811" t="str">
        <f t="shared" si="0"/>
        <v>增值额×税（费）率</v>
      </c>
      <c r="O54" s="1755" t="str">
        <f t="shared" si="0"/>
        <v>——</v>
      </c>
    </row>
    <row r="55" spans="1:35" ht="24" customHeight="1">
      <c r="A55" s="3211" t="s">
        <v>2218</v>
      </c>
      <c r="B55" s="3193"/>
      <c r="C55" s="3193"/>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47" t="str">
        <f>IF(H59="非个人房产","——","个人所得税")</f>
        <v>——</v>
      </c>
      <c r="L55" s="3147"/>
      <c r="M55" s="1756" t="str">
        <f>D59</f>
        <v>——</v>
      </c>
      <c r="N55" s="1809" t="str">
        <f>E59</f>
        <v>——</v>
      </c>
      <c r="O55" s="1757" t="str">
        <f>F59</f>
        <v>——</v>
      </c>
    </row>
    <row r="56" spans="1:35" ht="24.75">
      <c r="A56" s="3211" t="s">
        <v>2221</v>
      </c>
      <c r="B56" s="3193"/>
      <c r="C56" s="3193"/>
      <c r="D56" s="185">
        <f ca="1">IF(H56="个人住宅",D57,D58)</f>
        <v>331</v>
      </c>
      <c r="E56" s="11" t="s">
        <v>2222</v>
      </c>
      <c r="F56" s="184" t="str">
        <f>IF(H56="正常",F58,"免征")</f>
        <v>——</v>
      </c>
      <c r="G56" s="2485" t="s">
        <v>2223</v>
      </c>
      <c r="H56" s="2486" t="s">
        <v>2220</v>
      </c>
      <c r="I56" s="2487"/>
      <c r="J56" s="1811" t="str">
        <f>IF(项目基本情况!K6="上海银行",IF(J55="",4,J55+1),"")</f>
        <v/>
      </c>
      <c r="K56" s="3130" t="str">
        <f>IF(项目基本情况!K6="上海银行","其他处置费用","")</f>
        <v/>
      </c>
      <c r="L56" s="3131"/>
      <c r="M56" s="1753" t="str">
        <f>IF(项目基本情况!K6="上海银行",M69,"")</f>
        <v/>
      </c>
      <c r="N56" s="3133" t="str">
        <f>IF(项目基本情况!K6="上海银行","包含处置中涉及的律师、诉讼、拍卖、评估等费用","")</f>
        <v/>
      </c>
      <c r="O56" s="3134"/>
    </row>
    <row r="57" spans="1:35" ht="12.75">
      <c r="A57" s="183" t="s">
        <v>2196</v>
      </c>
      <c r="B57" s="3178" t="s">
        <v>2224</v>
      </c>
      <c r="C57" s="3179"/>
      <c r="D57" s="187">
        <v>0</v>
      </c>
      <c r="E57" s="23" t="s">
        <v>2198</v>
      </c>
      <c r="F57" s="155"/>
      <c r="G57" s="2483"/>
      <c r="H57" s="2487"/>
      <c r="I57" s="2487"/>
      <c r="J57" s="3147">
        <f>IF(AND(J55="",J56=""),4,IF(项目基本情况!K6="上海银行",结果表!J56+1,结果表!J55+1))</f>
        <v>4</v>
      </c>
      <c r="K57" s="3147" t="s">
        <v>2225</v>
      </c>
      <c r="L57" s="2488" t="s">
        <v>2226</v>
      </c>
      <c r="M57" s="1758"/>
      <c r="N57" s="1759">
        <f ca="1">SUMIF(M52:M56,"&lt;9e307")</f>
        <v>331</v>
      </c>
      <c r="O57" s="2489"/>
      <c r="P57" s="1752">
        <f ca="1">N57/M49</f>
        <v>0.5658119658119658</v>
      </c>
    </row>
    <row r="58" spans="1:35" ht="24.75">
      <c r="A58" s="183" t="s">
        <v>2207</v>
      </c>
      <c r="B58" s="3178" t="s">
        <v>2227</v>
      </c>
      <c r="C58" s="3191"/>
      <c r="D58" s="185">
        <f ca="1">IF(H58="转让取得",C81,C97)</f>
        <v>331</v>
      </c>
      <c r="E58" s="11" t="s">
        <v>2222</v>
      </c>
      <c r="F58" s="24" t="s">
        <v>34</v>
      </c>
      <c r="G58" s="2483"/>
      <c r="H58" s="2486" t="s">
        <v>2228</v>
      </c>
      <c r="I58" s="2487"/>
      <c r="J58" s="3147"/>
      <c r="K58" s="3147"/>
      <c r="L58" s="2488" t="s">
        <v>2229</v>
      </c>
      <c r="M58" s="1760"/>
      <c r="N58" s="2490" t="str">
        <f ca="1">NUMBERSTRING(INT(N57*10000),2)&amp;"元整"</f>
        <v>叁佰叁拾壹万元整</v>
      </c>
      <c r="O58" s="2491"/>
    </row>
    <row r="59" spans="1:35" ht="24.75" thickBot="1">
      <c r="A59" s="3151" t="s">
        <v>2230</v>
      </c>
      <c r="B59" s="3152"/>
      <c r="C59" s="315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49">
        <f>J57+1</f>
        <v>5</v>
      </c>
      <c r="K59" s="3147" t="s">
        <v>2232</v>
      </c>
      <c r="L59" s="1811" t="s">
        <v>2226</v>
      </c>
      <c r="M59" s="1761"/>
      <c r="N59" s="1762">
        <f ca="1">M49-N57</f>
        <v>254</v>
      </c>
      <c r="O59" s="2493"/>
    </row>
    <row r="60" spans="1:35" ht="12" customHeight="1">
      <c r="A60" s="2494"/>
      <c r="B60" s="2416"/>
      <c r="C60" s="2416"/>
      <c r="D60" s="2416"/>
      <c r="E60" s="2163"/>
      <c r="F60" s="2487"/>
      <c r="G60" s="2487"/>
      <c r="H60" s="2495"/>
      <c r="I60" s="138"/>
      <c r="J60" s="3150"/>
      <c r="K60" s="3147"/>
      <c r="L60" s="2488" t="s">
        <v>2229</v>
      </c>
      <c r="M60" s="1760"/>
      <c r="N60" s="2490" t="str">
        <f ca="1">NUMBERSTRING(INT(N59*10000),2)&amp;"元整"</f>
        <v>贰佰伍拾肆万元整</v>
      </c>
      <c r="O60" s="2491"/>
    </row>
    <row r="61" spans="1:35" ht="13.5" thickBot="1">
      <c r="A61" s="3210" t="s">
        <v>2233</v>
      </c>
      <c r="B61" s="3210"/>
      <c r="C61" s="3210"/>
      <c r="D61" s="3210"/>
      <c r="E61" s="3210"/>
      <c r="F61" s="2487"/>
      <c r="G61" s="2487"/>
      <c r="H61" s="2495"/>
      <c r="I61" s="138"/>
      <c r="J61" s="1811">
        <f>J59+1</f>
        <v>6</v>
      </c>
      <c r="K61" s="3147" t="s">
        <v>2234</v>
      </c>
      <c r="L61" s="3147"/>
      <c r="M61" s="1763"/>
      <c r="N61" s="1764">
        <f ca="1">ROUND(N59*10000/'数据-汇总表'!E3,0)</f>
        <v>632</v>
      </c>
      <c r="O61" s="2496"/>
    </row>
    <row r="62" spans="1:35" ht="12.75">
      <c r="A62" s="3167" t="s">
        <v>2235</v>
      </c>
      <c r="B62" s="3168"/>
      <c r="C62" s="1803"/>
      <c r="D62" s="1803" t="s">
        <v>2236</v>
      </c>
      <c r="E62" s="192" t="s">
        <v>2237</v>
      </c>
      <c r="F62" s="2487"/>
      <c r="G62" s="2487"/>
      <c r="H62" s="2495"/>
      <c r="I62" s="138"/>
    </row>
    <row r="63" spans="1:35" ht="12.75">
      <c r="A63" s="203" t="s">
        <v>775</v>
      </c>
      <c r="B63" s="193" t="s">
        <v>2238</v>
      </c>
      <c r="C63" s="194">
        <f ca="1">ROUND((C64+C65)/(1+'数据-取费表'!C42),0)</f>
        <v>557</v>
      </c>
      <c r="D63" s="195"/>
      <c r="E63" s="196"/>
      <c r="F63" s="2487"/>
      <c r="G63" s="2487"/>
      <c r="H63" s="2495"/>
      <c r="I63" s="138"/>
      <c r="J63" s="3132" t="s">
        <v>2239</v>
      </c>
      <c r="K63" s="2497" t="s">
        <v>2240</v>
      </c>
      <c r="L63" s="1751">
        <f ca="1">IF(M49&gt;10000,M49*0.5%,IF(AND(M49&gt;1000,M49&lt;=10000),M49*1%,IF(AND(M49&gt;100,M49&lt;=1000),M49*3%,IF(AND(M49&gt;10,M49&lt;=100),M49*5%,M49*8%))))</f>
        <v>17.55</v>
      </c>
      <c r="M63" s="24">
        <f ca="1">ROUND(L63,1)</f>
        <v>17.600000000000001</v>
      </c>
      <c r="Z63" s="2421"/>
      <c r="AI63" s="2422"/>
    </row>
    <row r="64" spans="1:35" ht="14.25" customHeight="1">
      <c r="A64" s="197" t="s">
        <v>770</v>
      </c>
      <c r="B64" s="198" t="s">
        <v>2241</v>
      </c>
      <c r="C64" s="199">
        <f ca="1">D45</f>
        <v>585</v>
      </c>
      <c r="D64" s="200" t="s">
        <v>32</v>
      </c>
      <c r="E64" s="201"/>
      <c r="F64" s="2487"/>
      <c r="G64" s="2487"/>
      <c r="H64" s="2495"/>
      <c r="I64" s="138"/>
      <c r="J64" s="3132"/>
      <c r="K64" s="2497" t="s">
        <v>2242</v>
      </c>
      <c r="L64" s="1751">
        <f ca="1">IF(M49&gt;2000,M49*0.5%,IF(AND(M49&gt;1000,M49&lt;=2000),M49*0.6%,IF(AND(M49&gt;500,M49&lt;=1000),M49*0.7%,IF(AND(M49&gt;200,M49&lt;=500),M49*0.8%,IF(AND(M49&gt;100,M49&lt;=200),M49*0.9%,IF(AND(M49&gt;50,M49&lt;=100),M49*1%,IF(AND(M49&gt;20,M49&lt;=50),M49*1.5%,IF(AND(M49&gt;10,M49&lt;=20),M49*2%,IF(AND(M49&gt;1,M49&lt;=10),M49*2.5%)))))))))</f>
        <v>4.0949999999999998</v>
      </c>
      <c r="M64" s="24">
        <f t="shared" ref="M64:M65" ca="1" si="1">ROUND(L64,1)</f>
        <v>4.0999999999999996</v>
      </c>
      <c r="N64" s="138" t="s">
        <v>2243</v>
      </c>
      <c r="Z64" s="2421"/>
      <c r="AI64" s="2422"/>
    </row>
    <row r="65" spans="1:35" ht="14.25" customHeight="1">
      <c r="A65" s="197" t="s">
        <v>771</v>
      </c>
      <c r="B65" s="198" t="s">
        <v>2244</v>
      </c>
      <c r="C65" s="202"/>
      <c r="D65" s="200"/>
      <c r="E65" s="201"/>
      <c r="F65" s="2487"/>
      <c r="G65" s="2487"/>
      <c r="H65" s="2495"/>
      <c r="I65" s="138"/>
      <c r="J65" s="3132"/>
      <c r="K65" s="2497" t="s">
        <v>2245</v>
      </c>
      <c r="L65" s="1751">
        <f ca="1">IF(M49&gt;1000,M49*0.1%,IF(AND(M49&gt;500,M49&lt;=1000),M49*0.5%,IF(AND(M49&gt;50,M49&lt;=500),M49*1%,IF(AND(M49&gt;1,M49&lt;=50),M49*1.5%))))</f>
        <v>2.9250000000000003</v>
      </c>
      <c r="M65" s="24">
        <f t="shared" ca="1" si="1"/>
        <v>2.9</v>
      </c>
      <c r="N65" s="138" t="s">
        <v>2243</v>
      </c>
      <c r="Z65" s="2421"/>
      <c r="AI65" s="2422"/>
    </row>
    <row r="66" spans="1:35" ht="14.25" customHeight="1">
      <c r="A66" s="203" t="s">
        <v>772</v>
      </c>
      <c r="B66" s="204" t="s">
        <v>2246</v>
      </c>
      <c r="C66" s="205"/>
      <c r="D66" s="206" t="s">
        <v>32</v>
      </c>
      <c r="E66" s="1775" t="s">
        <v>1371</v>
      </c>
      <c r="F66" s="2487"/>
      <c r="G66" s="2487"/>
      <c r="H66" s="2495"/>
      <c r="I66" s="138"/>
      <c r="J66" s="3132"/>
      <c r="K66" s="2497" t="s">
        <v>2247</v>
      </c>
      <c r="L66" s="1751">
        <f ca="1">M49*0.5%</f>
        <v>2.9250000000000003</v>
      </c>
      <c r="M66" s="24">
        <f ca="1">IF(L66&gt;0.5,0.5,ROUND(L66,0))</f>
        <v>0.5</v>
      </c>
      <c r="N66" s="138" t="s">
        <v>2248</v>
      </c>
      <c r="Z66" s="2421"/>
      <c r="AI66" s="2422"/>
    </row>
    <row r="67" spans="1:35" ht="14.25" customHeight="1">
      <c r="A67" s="203" t="s">
        <v>773</v>
      </c>
      <c r="B67" s="204" t="s">
        <v>2249</v>
      </c>
      <c r="C67" s="207">
        <f ca="1">C63-C66</f>
        <v>557</v>
      </c>
      <c r="D67" s="200" t="s">
        <v>32</v>
      </c>
      <c r="E67" s="201"/>
      <c r="F67" s="2487"/>
      <c r="G67" s="2487"/>
      <c r="H67" s="2495"/>
      <c r="I67" s="138"/>
      <c r="J67" s="3132"/>
      <c r="K67" s="2497" t="s">
        <v>2250</v>
      </c>
      <c r="L67" s="1751">
        <f ca="1">IF(M49&gt;=10000,(8.25+(M49-10000)*0.01%),IF(AND(M49&gt;=8000,M49&lt;10000),(7.85+(M49-8000)*0.02%),IF(AND(M49&gt;=5000,M49&lt;8000),(6.65+(M49-5000)*0.04%),IF(AND(M49&gt;=2000,M49&lt;5000),(4.25+(PM49-2000)*0.08%),IF(AND(M49&gt;=1000,M49&lt;2000),(2.75+(M49-1000)*0.15%),IF(AND(M49&gt;=100,M49&lt;1000),(0.5+(M49-100)*0.25%),IF(AND(M49&gt;0,M49&lt;100),M49*0.5%)))))))</f>
        <v>1.7125000000000001</v>
      </c>
      <c r="M67" s="24">
        <f ca="1">ROUND(L67*0.9,1)</f>
        <v>1.5</v>
      </c>
      <c r="Z67" s="2421"/>
      <c r="AI67" s="2422"/>
    </row>
    <row r="68" spans="1:35" ht="14.25" customHeight="1" thickBot="1">
      <c r="A68" s="208" t="s">
        <v>774</v>
      </c>
      <c r="B68" s="209" t="s">
        <v>2251</v>
      </c>
      <c r="C68" s="210">
        <f ca="1">IF(C67&lt;=0,0,ROUND(C67*D68,0))</f>
        <v>31</v>
      </c>
      <c r="D68" s="211">
        <f>'数据-取费表'!B41</f>
        <v>5.6000000000000001E-2</v>
      </c>
      <c r="E68" s="212"/>
      <c r="F68" s="2487"/>
      <c r="G68" s="2487"/>
      <c r="H68" s="2495"/>
      <c r="I68" s="138"/>
      <c r="J68" s="3132"/>
      <c r="K68" s="2497" t="s">
        <v>2252</v>
      </c>
      <c r="L68" s="1751">
        <f ca="1">IF(M49&gt;10000,M49*0.5%,IF(AND(M49&gt;5000,M49&lt;=10000),M49*1%,IF(AND(M49&gt;1000,M49&lt;=5000),M49*2%,IF(AND(M49&gt;200,M49&lt;=1000),M49*3%,M49*5%))))</f>
        <v>17.55</v>
      </c>
      <c r="M68" s="24">
        <f ca="1">ROUND(L68,1)</f>
        <v>17.600000000000001</v>
      </c>
      <c r="Z68" s="2421"/>
      <c r="AI68" s="2422"/>
    </row>
    <row r="69" spans="1:35" s="2444" customFormat="1" ht="16.5" customHeight="1">
      <c r="A69" s="2498"/>
      <c r="B69" s="2499"/>
      <c r="C69" s="2500"/>
      <c r="D69" s="2501"/>
      <c r="E69" s="2502"/>
      <c r="F69" s="2163"/>
      <c r="G69" s="2163"/>
      <c r="H69" s="2162"/>
      <c r="I69" s="2416"/>
      <c r="J69" s="3132"/>
      <c r="K69" s="2497" t="s">
        <v>2253</v>
      </c>
      <c r="L69" s="2503"/>
      <c r="M69" s="24">
        <f ca="1">ROUND(SUM(M63:M68),0)</f>
        <v>44</v>
      </c>
      <c r="N69" s="1752">
        <f ca="1">M69/M49</f>
        <v>7.521367521367521E-2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76" t="s">
        <v>2254</v>
      </c>
      <c r="B70" s="3177"/>
      <c r="C70" s="3177"/>
      <c r="D70" s="3177"/>
      <c r="E70" s="3177"/>
      <c r="F70" s="3177"/>
      <c r="G70" s="3177"/>
      <c r="H70" s="317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67" t="s">
        <v>2235</v>
      </c>
      <c r="B71" s="3168"/>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557</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3</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73" t="s">
        <v>2263</v>
      </c>
      <c r="F76" s="3172"/>
      <c r="G76" s="3172"/>
      <c r="H76" s="317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v>
      </c>
      <c r="D78" s="226">
        <f>'数据-取费表'!B43</f>
        <v>6.000000000000001E-3</v>
      </c>
      <c r="E78" s="3164" t="s">
        <v>2268</v>
      </c>
      <c r="F78" s="3165"/>
      <c r="G78" s="3165"/>
      <c r="H78" s="316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554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184.66666666666666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76" t="s">
        <v>2272</v>
      </c>
      <c r="B83" s="3177"/>
      <c r="C83" s="3177"/>
      <c r="D83" s="3177"/>
      <c r="E83" s="3177"/>
      <c r="F83" s="3177"/>
      <c r="G83" s="3177"/>
      <c r="H83" s="317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67" t="s">
        <v>2235</v>
      </c>
      <c r="B84" s="3168"/>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557</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3</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4" t="s">
        <v>2281</v>
      </c>
      <c r="F91" s="3165"/>
      <c r="G91" s="3165"/>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4" t="s">
        <v>2285</v>
      </c>
      <c r="F92" s="3165"/>
      <c r="G92" s="3165"/>
      <c r="H92" s="316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v>
      </c>
      <c r="D93" s="226">
        <f>'数据-取费表'!B43</f>
        <v>6.000000000000001E-3</v>
      </c>
      <c r="E93" s="3164" t="s">
        <v>2268</v>
      </c>
      <c r="F93" s="3165"/>
      <c r="G93" s="3165"/>
      <c r="H93" s="316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12" t="s">
        <v>2289</v>
      </c>
      <c r="F94" s="3213"/>
      <c r="G94" s="3213"/>
      <c r="H94" s="321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554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184.66666666666666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331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16" t="s">
        <v>2291</v>
      </c>
      <c r="B100" s="3117"/>
      <c r="C100" s="3117"/>
      <c r="D100" s="3148"/>
      <c r="E100" s="3117" t="s">
        <v>2292</v>
      </c>
      <c r="F100" s="3117"/>
      <c r="G100" s="3117"/>
      <c r="H100" s="3148"/>
      <c r="I100" s="138"/>
    </row>
    <row r="101" spans="1:35" ht="18.75" customHeight="1">
      <c r="A101" s="3156" t="s">
        <v>2293</v>
      </c>
      <c r="B101" s="3157"/>
      <c r="C101" s="735" t="str">
        <f>C4</f>
        <v>收益法</v>
      </c>
      <c r="D101" s="736" t="str">
        <f>D4</f>
        <v>比较法-商业</v>
      </c>
      <c r="E101" s="3128" t="s">
        <v>2294</v>
      </c>
      <c r="F101" s="3129"/>
      <c r="G101" s="2518" t="s">
        <v>2295</v>
      </c>
      <c r="H101" s="1047">
        <f ca="1">H118</f>
        <v>585</v>
      </c>
      <c r="I101" s="138"/>
    </row>
    <row r="102" spans="1:35" ht="18.75" customHeight="1">
      <c r="A102" s="3158" t="s">
        <v>2296</v>
      </c>
      <c r="B102" s="2518" t="s">
        <v>2295</v>
      </c>
      <c r="C102" s="735">
        <f ca="1">C19</f>
        <v>549</v>
      </c>
      <c r="D102" s="736">
        <f ca="1">D19</f>
        <v>621</v>
      </c>
      <c r="E102" s="3128"/>
      <c r="F102" s="3129"/>
      <c r="G102" s="2518" t="s">
        <v>2297</v>
      </c>
      <c r="H102" s="371">
        <f ca="1">I118</f>
        <v>29968</v>
      </c>
      <c r="I102" s="138"/>
    </row>
    <row r="103" spans="1:35" ht="42.75" customHeight="1">
      <c r="A103" s="3158"/>
      <c r="B103" s="2518" t="s">
        <v>2297</v>
      </c>
      <c r="C103" s="737">
        <f ca="1">C20</f>
        <v>28124</v>
      </c>
      <c r="D103" s="738">
        <f ca="1">D20</f>
        <v>31819</v>
      </c>
      <c r="E103" s="3122" t="s">
        <v>2298</v>
      </c>
      <c r="F103" s="3123"/>
      <c r="G103" s="2519" t="s">
        <v>2299</v>
      </c>
      <c r="H103" s="1047">
        <f>IF(D36="正常操作",H104+H105+H106,H105+H106)</f>
        <v>0</v>
      </c>
      <c r="I103" s="138"/>
    </row>
    <row r="104" spans="1:35" ht="18.75" customHeight="1">
      <c r="A104" s="3158" t="s">
        <v>2300</v>
      </c>
      <c r="B104" s="2520" t="s">
        <v>2295</v>
      </c>
      <c r="C104" s="739">
        <f ca="1">H118</f>
        <v>585</v>
      </c>
      <c r="D104" s="740"/>
      <c r="E104" s="2264" t="s">
        <v>2301</v>
      </c>
      <c r="F104" s="2255"/>
      <c r="G104" s="2519" t="s">
        <v>2299</v>
      </c>
      <c r="H104" s="1048">
        <f>IF(D36="同一抵押权人同一抵押物续贷",C36&amp;"（未扣减，详见特别提示）",C36)</f>
        <v>0</v>
      </c>
      <c r="I104" s="138"/>
    </row>
    <row r="105" spans="1:35" ht="18.75" customHeight="1" thickBot="1">
      <c r="A105" s="3170"/>
      <c r="B105" s="2521" t="s">
        <v>2297</v>
      </c>
      <c r="C105" s="741">
        <f ca="1">I118</f>
        <v>29968</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59" t="str">
        <f>IF(项目基本情况!E8="已注销","——","3.房地产抵押价值")</f>
        <v>3.房地产抵押价值</v>
      </c>
      <c r="F107" s="3129"/>
      <c r="G107" s="2518" t="s">
        <v>2295</v>
      </c>
      <c r="H107" s="1047">
        <f ca="1">IF(E107="——","——",H101-H103)</f>
        <v>585</v>
      </c>
      <c r="I107" s="138"/>
    </row>
    <row r="108" spans="1:35" ht="18.75" customHeight="1">
      <c r="A108" s="138"/>
      <c r="B108" s="138"/>
      <c r="C108" s="138"/>
      <c r="D108" s="138"/>
      <c r="E108" s="3159"/>
      <c r="F108" s="3129"/>
      <c r="G108" s="2518" t="s">
        <v>2297</v>
      </c>
      <c r="H108" s="371">
        <f ca="1">ROUND(H107*10000/'数据-汇总表'!E3,0)</f>
        <v>1455</v>
      </c>
      <c r="I108" s="138"/>
    </row>
    <row r="109" spans="1:35" ht="18.75" customHeight="1">
      <c r="A109" s="138"/>
      <c r="B109" s="138"/>
      <c r="C109" s="138"/>
      <c r="D109" s="138"/>
      <c r="E109" s="3159" t="str">
        <f>IF(项目基本情况!E8="已注销及未注销","4.抵押担保权已注销时的房地产抵押价值",IF(项目基本情况!E8="已注销","3.抵押担保权已注销时的房地产抵押价值","——"))</f>
        <v>——</v>
      </c>
      <c r="F109" s="3129"/>
      <c r="G109" s="2518" t="s">
        <v>2295</v>
      </c>
      <c r="H109" s="348" t="str">
        <f>IF(E109="——","——",H101-H105-H106)</f>
        <v>——</v>
      </c>
      <c r="I109" s="138"/>
    </row>
    <row r="110" spans="1:35" ht="18.75" customHeight="1">
      <c r="A110" s="138"/>
      <c r="B110" s="138"/>
      <c r="C110" s="138"/>
      <c r="D110" s="138"/>
      <c r="E110" s="3159"/>
      <c r="F110" s="3129"/>
      <c r="G110" s="2518" t="s">
        <v>2297</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518" t="s">
        <v>2295</v>
      </c>
      <c r="H111" s="1047" t="str">
        <f>IF(E111="——","——",N59)</f>
        <v>——</v>
      </c>
      <c r="I111" s="138"/>
    </row>
    <row r="112" spans="1:35" ht="18.75" customHeight="1" thickBot="1">
      <c r="A112" s="138"/>
      <c r="B112" s="138"/>
      <c r="C112" s="138"/>
      <c r="D112" s="138"/>
      <c r="E112" s="3162"/>
      <c r="F112" s="3163"/>
      <c r="G112" s="2523" t="s">
        <v>2297</v>
      </c>
      <c r="H112" s="789" t="str">
        <f>IF(E111="——","——",N61)</f>
        <v>——</v>
      </c>
      <c r="I112" s="138"/>
    </row>
    <row r="113" spans="1:11" ht="18.75" customHeight="1">
      <c r="A113" s="138"/>
      <c r="B113" s="138"/>
      <c r="C113" s="138"/>
      <c r="D113" s="138"/>
      <c r="E113" s="3171" t="s">
        <v>2303</v>
      </c>
      <c r="F113" s="3171"/>
      <c r="G113" s="3171"/>
      <c r="H113" s="3171"/>
      <c r="I113" s="138"/>
    </row>
    <row r="114" spans="1:11" ht="3.75" customHeight="1">
      <c r="A114" s="2416"/>
      <c r="B114" s="2416"/>
      <c r="C114" s="2416"/>
      <c r="D114" s="2416"/>
      <c r="E114" s="2494"/>
      <c r="F114" s="2494"/>
      <c r="G114" s="2494"/>
      <c r="H114" s="2494"/>
      <c r="I114" s="2416"/>
    </row>
    <row r="115" spans="1:11" ht="18.75" customHeight="1">
      <c r="A115" s="3184" t="s">
        <v>2305</v>
      </c>
      <c r="B115" s="3185"/>
      <c r="C115" s="3185"/>
      <c r="D115" s="3185"/>
      <c r="E115" s="3185"/>
      <c r="F115" s="3185"/>
      <c r="G115" s="3185"/>
      <c r="H115" s="3185"/>
      <c r="I115" s="3186"/>
    </row>
    <row r="116" spans="1:11" ht="27" customHeight="1">
      <c r="A116" s="3095" t="s">
        <v>2306</v>
      </c>
      <c r="B116" s="3138" t="s">
        <v>2307</v>
      </c>
      <c r="C116" s="3138" t="s">
        <v>2308</v>
      </c>
      <c r="D116" s="3144" t="s">
        <v>2309</v>
      </c>
      <c r="E116" s="3145"/>
      <c r="F116" s="3180" t="s">
        <v>2310</v>
      </c>
      <c r="G116" s="3180"/>
      <c r="H116" s="3095" t="s">
        <v>2311</v>
      </c>
      <c r="I116" s="3095"/>
    </row>
    <row r="117" spans="1:11" ht="18.75" customHeight="1">
      <c r="A117" s="3095"/>
      <c r="B117" s="3139"/>
      <c r="C117" s="3139"/>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195.21</v>
      </c>
      <c r="C118" s="1797">
        <f>M19</f>
        <v>55.77</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585</v>
      </c>
      <c r="I118" s="1797">
        <f ca="1">ROUND(IF(D32="楼面单价",C32,H118*10000/B118),0)</f>
        <v>29968</v>
      </c>
    </row>
    <row r="119" spans="1:11" ht="18.75" customHeight="1">
      <c r="A119" s="3095" t="s">
        <v>2315</v>
      </c>
      <c r="B119" s="3095"/>
      <c r="C119" s="3095"/>
      <c r="D119" s="3140" t="e">
        <f ca="1">NUMBERSTRING(INT(D118*10000),2)&amp;"元整"</f>
        <v>#REF!</v>
      </c>
      <c r="E119" s="3141"/>
      <c r="F119" s="3140" t="e">
        <f ca="1">NUMBERSTRING(INT(F118*10000),2)&amp;"元整"</f>
        <v>#REF!</v>
      </c>
      <c r="G119" s="3141"/>
      <c r="H119" s="3140" t="str">
        <f ca="1">NUMBERSTRING(INT(H118*10000),2)&amp;"元整"</f>
        <v>伍佰捌拾伍万元整</v>
      </c>
      <c r="I119" s="3141"/>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1" t="str">
        <f>IF(D120=0,"故，本次评估不存在"&amp;A120,"故，本次评估"&amp;A120&amp;"为人民币"&amp;D120&amp;"万元整。")</f>
        <v>故，本次评估不存在估价师知悉的法定优先受偿款</v>
      </c>
    </row>
    <row r="121" spans="1:11" ht="18.75" customHeight="1">
      <c r="A121" s="3181" t="s">
        <v>2315</v>
      </c>
      <c r="B121" s="3182"/>
      <c r="C121" s="3183"/>
      <c r="D121" s="3140" t="str">
        <f>IF(D120=0,"零元整",NUMBERSTRING(INT(D120*10000),2)&amp;"元整")</f>
        <v>零元整</v>
      </c>
      <c r="E121" s="3142"/>
      <c r="F121" s="3142"/>
      <c r="G121" s="3142"/>
      <c r="H121" s="3142"/>
      <c r="I121" s="3141"/>
    </row>
    <row r="122" spans="1:11" ht="18.75" customHeight="1">
      <c r="A122" s="3146" t="str">
        <f>IF(项目基本情况!B9="房地产市场价值","",MID(E107,3,LEN(E107)-2))</f>
        <v>房地产抵押价值</v>
      </c>
      <c r="B122" s="3146"/>
      <c r="C122" s="3146"/>
      <c r="D122" s="3135">
        <f ca="1">H107</f>
        <v>585</v>
      </c>
      <c r="E122" s="3136"/>
      <c r="F122" s="3136"/>
      <c r="G122" s="3136"/>
      <c r="H122" s="3136"/>
      <c r="I122" s="3137"/>
    </row>
    <row r="123" spans="1:11" ht="18.75" customHeight="1">
      <c r="A123" s="3095" t="s">
        <v>2315</v>
      </c>
      <c r="B123" s="3095"/>
      <c r="C123" s="3095"/>
      <c r="D123" s="3140" t="str">
        <f ca="1">NUMBERSTRING(INT(D122*10000),2)&amp;"元整"</f>
        <v>伍佰捌拾伍万元整</v>
      </c>
      <c r="E123" s="3142"/>
      <c r="F123" s="3142"/>
      <c r="G123" s="3142"/>
      <c r="H123" s="3142"/>
      <c r="I123" s="3141"/>
    </row>
    <row r="124" spans="1:11" ht="18.75" customHeight="1">
      <c r="A124" s="3146" t="str">
        <f>IF(项目基本情况!B9="房地产市场价值","",MID(E109,3,LEN(E109)-2))</f>
        <v/>
      </c>
      <c r="B124" s="3146"/>
      <c r="C124" s="3146"/>
      <c r="D124" s="3135" t="str">
        <f>H109</f>
        <v>——</v>
      </c>
      <c r="E124" s="3136"/>
      <c r="F124" s="3136"/>
      <c r="G124" s="3136"/>
      <c r="H124" s="3136"/>
      <c r="I124" s="3137"/>
    </row>
    <row r="125" spans="1:11" ht="18.75" customHeight="1">
      <c r="A125" s="3095" t="s">
        <v>2315</v>
      </c>
      <c r="B125" s="3095"/>
      <c r="C125" s="3095"/>
      <c r="D125" s="3140" t="e">
        <f>NUMBERSTRING(INT(D124*10000),2)&amp;"元整"</f>
        <v>#VALUE!</v>
      </c>
      <c r="E125" s="3142"/>
      <c r="F125" s="3142"/>
      <c r="G125" s="3142"/>
      <c r="H125" s="3142"/>
      <c r="I125" s="3141"/>
    </row>
    <row r="126" spans="1:11" ht="18.75" customHeight="1">
      <c r="A126" s="3146" t="str">
        <f>IF(项目基本情况!B9="房地产市场价值","",MID(E111,3,LEN(E111)-2))</f>
        <v/>
      </c>
      <c r="B126" s="3146"/>
      <c r="C126" s="3146"/>
      <c r="D126" s="3135" t="str">
        <f>H111</f>
        <v>——</v>
      </c>
      <c r="E126" s="3136"/>
      <c r="F126" s="3136"/>
      <c r="G126" s="3136"/>
      <c r="H126" s="3136"/>
      <c r="I126" s="3137"/>
    </row>
    <row r="127" spans="1:11" ht="18.75" customHeight="1">
      <c r="A127" s="3095" t="s">
        <v>2315</v>
      </c>
      <c r="B127" s="3095"/>
      <c r="C127" s="3095"/>
      <c r="D127" s="3140" t="e">
        <f>NUMBERSTRING(INT(D126*10000),2)&amp;"元整"</f>
        <v>#VALUE!</v>
      </c>
      <c r="E127" s="3142"/>
      <c r="F127" s="3142"/>
      <c r="G127" s="3142"/>
      <c r="H127" s="3142"/>
      <c r="I127" s="3141"/>
    </row>
    <row r="128" spans="1:11" ht="21.75" customHeight="1">
      <c r="A128" s="3143" t="s">
        <v>2316</v>
      </c>
      <c r="B128" s="3143"/>
      <c r="C128" s="3143"/>
      <c r="D128" s="3143"/>
      <c r="E128" s="3143"/>
      <c r="F128" s="3143"/>
      <c r="G128" s="3143"/>
      <c r="H128" s="3143"/>
      <c r="I128" s="3143"/>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1992</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4955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48</v>
      </c>
      <c r="D10" s="1034">
        <f ca="1">IF(B1="",'数据-汇总表'!E6,IF(INDIRECT("'数据-取费表'!c"&amp;$G$1)="住宅",INDIRECT("'数据-取费表'!s"&amp;$G$1),INDIRECT("'数据-取费表'!k"&amp;$G$1)+INDIRECT("'数据-取费表'!s"&amp;$G$1)))</f>
        <v>4020.0999999999995</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80</v>
      </c>
      <c r="D19" s="1038">
        <f ca="1">D9+D10</f>
        <v>4020.0999999999995</v>
      </c>
      <c r="E19" s="255">
        <f>'数据-取费表'!B31</f>
        <v>200</v>
      </c>
      <c r="F19" s="275"/>
      <c r="G19" s="2550"/>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12</v>
      </c>
      <c r="D22" s="279">
        <f ca="1">C26</f>
        <v>1.4E-3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12</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21</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1340</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1206</v>
      </c>
      <c r="D34" s="261"/>
      <c r="E34" s="264"/>
      <c r="F34" s="301">
        <f ca="1">IF('数据-取费表'!B24=0,1,IF(B1="",'数据-取费表'!N16,INDIRECT("'数据-取费表'!n"&amp;$G$1)))</f>
        <v>1</v>
      </c>
      <c r="G34" s="263" t="s">
        <v>2389</v>
      </c>
    </row>
    <row r="35" spans="1:7" ht="13.5" customHeight="1">
      <c r="A35" s="953" t="s">
        <v>796</v>
      </c>
      <c r="B35" s="259" t="s">
        <v>2390</v>
      </c>
      <c r="C35" s="264">
        <f ca="1">ROUND(C34*F35,0)</f>
        <v>36</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80</v>
      </c>
      <c r="D37" s="261">
        <f ca="1">D19</f>
        <v>4020.0999999999995</v>
      </c>
      <c r="E37" s="293">
        <f>'数据-取费表'!B35</f>
        <v>200</v>
      </c>
      <c r="F37" s="303"/>
      <c r="G37" s="305" t="s">
        <v>2395</v>
      </c>
    </row>
    <row r="38" spans="1:7" ht="13.5" customHeight="1">
      <c r="A38" s="953" t="s">
        <v>799</v>
      </c>
      <c r="B38" s="259" t="s">
        <v>2396</v>
      </c>
      <c r="C38" s="264">
        <f ca="1">ROUND(C34*F38,0)</f>
        <v>18</v>
      </c>
      <c r="D38" s="264"/>
      <c r="E38" s="264"/>
      <c r="F38" s="303">
        <f>'数据-取费表'!B36</f>
        <v>1.4999999999999999E-2</v>
      </c>
      <c r="G38" s="263" t="s">
        <v>2391</v>
      </c>
    </row>
    <row r="39" spans="1:7" s="258" customFormat="1" ht="13.5" customHeight="1">
      <c r="A39" s="299" t="s">
        <v>2397</v>
      </c>
      <c r="B39" s="254" t="s">
        <v>2398</v>
      </c>
      <c r="C39" s="276">
        <f ca="1">ROUND(C33*F20,0)</f>
        <v>27</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99</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97</v>
      </c>
      <c r="D42" s="282"/>
      <c r="E42" s="282"/>
      <c r="F42" s="283"/>
      <c r="G42" s="3215" t="s">
        <v>2407</v>
      </c>
    </row>
    <row r="43" spans="1:7" ht="13.5" customHeight="1">
      <c r="A43" s="953" t="s">
        <v>792</v>
      </c>
      <c r="B43" s="259" t="s">
        <v>2408</v>
      </c>
      <c r="C43" s="282">
        <f ca="1">ROUND(IF('数据-取费表'!B22&lt;=1,C39*F22*'数据-取费表'!B21/2,C39*(POWER((1+F22),'数据-取费表'!B21/2)-1)),0)</f>
        <v>2</v>
      </c>
      <c r="D43" s="282"/>
      <c r="E43" s="282"/>
      <c r="F43" s="283"/>
      <c r="G43" s="3216"/>
    </row>
    <row r="44" spans="1:7" ht="13.5" customHeight="1">
      <c r="A44" s="953" t="s">
        <v>793</v>
      </c>
      <c r="B44" s="259" t="s">
        <v>2409</v>
      </c>
      <c r="C44" s="282">
        <f ca="1">ROUND(IF('数据-取费表'!B22&lt;=1,C40*F22*'数据-取费表'!B21/2,C40*(POWER((1+F22),'数据-取费表'!B21/2)-1)),4)</f>
        <v>1.4E-3</v>
      </c>
      <c r="D44" s="282"/>
      <c r="E44" s="282"/>
      <c r="F44" s="283"/>
      <c r="G44" s="3217"/>
    </row>
    <row r="45" spans="1:7" s="258" customFormat="1" ht="13.5" customHeight="1">
      <c r="A45" s="299" t="s">
        <v>2410</v>
      </c>
      <c r="B45" s="288" t="s">
        <v>2376</v>
      </c>
      <c r="C45" s="289">
        <f ca="1">C46</f>
        <v>342</v>
      </c>
      <c r="D45" s="279">
        <f ca="1">C47</f>
        <v>5.0000000000000001E-3</v>
      </c>
      <c r="E45" s="280" t="s">
        <v>2402</v>
      </c>
      <c r="F45" s="290"/>
      <c r="G45" s="291" t="s">
        <v>2411</v>
      </c>
    </row>
    <row r="46" spans="1:7" s="258" customFormat="1" ht="13.5" customHeight="1">
      <c r="A46" s="953" t="s">
        <v>791</v>
      </c>
      <c r="B46" s="292" t="s">
        <v>2412</v>
      </c>
      <c r="C46" s="293">
        <f ca="1">ROUND((C33+C39)*F27,0)</f>
        <v>342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1965</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1867</v>
      </c>
      <c r="D51" s="276"/>
      <c r="E51" s="276"/>
      <c r="F51" s="308"/>
      <c r="G51" s="278" t="s">
        <v>2423</v>
      </c>
    </row>
    <row r="52" spans="1:7" s="252" customFormat="1" ht="16.5" thickBot="1">
      <c r="A52" s="309" t="s">
        <v>2424</v>
      </c>
      <c r="B52" s="310"/>
      <c r="C52" s="311">
        <f ca="1">C31+C51</f>
        <v>1992</v>
      </c>
      <c r="D52" s="310"/>
      <c r="E52" s="310"/>
      <c r="F52" s="310"/>
      <c r="G52" s="312"/>
    </row>
    <row r="55" spans="1:7" ht="15">
      <c r="B55" s="314" t="s">
        <v>2425</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9" t="str">
        <f>项目基本情况!B1</f>
        <v>湖北省武汉市房地产抵押价值预评估</v>
      </c>
      <c r="C37" s="3029"/>
      <c r="D37" s="3029"/>
      <c r="E37" s="3029"/>
      <c r="F37" s="3029"/>
      <c r="G37" s="3029"/>
      <c r="H37" s="3029"/>
      <c r="I37" s="3029"/>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2066</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5139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482412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482412</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482412</v>
      </c>
      <c r="D10" s="1034">
        <f ca="1">IF(B1="",'数据-汇总表'!E6,IF(INDIRECT("'数据-取费表'!c"&amp;$G$1)="住宅",INDIRECT("'数据-取费表'!s"&amp;$G$1),INDIRECT("'数据-取费表'!k"&amp;$G$1)+INDIRECT("'数据-取费表'!s"&amp;$G$1)))</f>
        <v>4020.0999999999995</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804020</v>
      </c>
      <c r="D19" s="1038">
        <f ca="1">D9+D10</f>
        <v>4020.0999999999995</v>
      </c>
      <c r="E19" s="255">
        <f>'数据-取费表'!B31</f>
        <v>200</v>
      </c>
      <c r="F19" s="275"/>
      <c r="G19" s="2550"/>
    </row>
    <row r="20" spans="1:7" s="258" customFormat="1" ht="13.5" customHeight="1">
      <c r="A20" s="299" t="s">
        <v>2437</v>
      </c>
      <c r="B20" s="254" t="s">
        <v>2438</v>
      </c>
      <c r="C20" s="276">
        <f ca="1">ROUND((C5+C19)*F20,0)</f>
        <v>25729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194017</v>
      </c>
      <c r="D22" s="279">
        <f ca="1">C26</f>
        <v>1.4E-3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72061</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120101</v>
      </c>
      <c r="D24" s="282"/>
      <c r="E24" s="282"/>
      <c r="F24" s="283"/>
      <c r="G24" s="284" t="s">
        <v>2449</v>
      </c>
    </row>
    <row r="25" spans="1:7" s="258" customFormat="1" ht="24">
      <c r="A25" s="953" t="s">
        <v>2339</v>
      </c>
      <c r="B25" s="259" t="s">
        <v>2450</v>
      </c>
      <c r="C25" s="1383">
        <f ca="1">ROUND(IF('数据-取费表'!B22&lt;=1,C20*F22*'数据-取费表'!B22/2,C20*(POWER((1+F22),'数据-取费表'!B22/2)-1)),0)</f>
        <v>1855</v>
      </c>
      <c r="D25" s="282"/>
      <c r="E25" s="285"/>
      <c r="F25" s="283"/>
      <c r="G25" s="286" t="s">
        <v>2451</v>
      </c>
    </row>
    <row r="26" spans="1:7" s="258" customFormat="1">
      <c r="A26" s="953"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328040</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328040</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1993065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13407034</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12060300</v>
      </c>
      <c r="D34" s="261"/>
      <c r="E34" s="264"/>
      <c r="F34" s="301"/>
      <c r="G34" s="263"/>
    </row>
    <row r="35" spans="1:7" ht="13.5" customHeight="1">
      <c r="A35" s="953" t="s">
        <v>796</v>
      </c>
      <c r="B35" s="259" t="s">
        <v>2390</v>
      </c>
      <c r="C35" s="264">
        <f ca="1">ROUND(C34*F35,0)</f>
        <v>361809</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804020</v>
      </c>
      <c r="D37" s="261">
        <f ca="1">D19</f>
        <v>4020.0999999999995</v>
      </c>
      <c r="E37" s="293">
        <f>'数据-取费表'!B35</f>
        <v>200</v>
      </c>
      <c r="F37" s="303"/>
      <c r="G37" s="305"/>
    </row>
    <row r="38" spans="1:7" ht="13.5" customHeight="1">
      <c r="A38" s="953" t="s">
        <v>799</v>
      </c>
      <c r="B38" s="259" t="s">
        <v>2396</v>
      </c>
      <c r="C38" s="264">
        <f ca="1">ROUND(C34*F38,0)</f>
        <v>180905</v>
      </c>
      <c r="D38" s="264"/>
      <c r="E38" s="264"/>
      <c r="F38" s="303">
        <f>'数据-取费表'!B36</f>
        <v>1.4999999999999999E-2</v>
      </c>
      <c r="G38" s="263" t="s">
        <v>2391</v>
      </c>
    </row>
    <row r="39" spans="1:7" s="258" customFormat="1" ht="13.5" customHeight="1">
      <c r="A39" s="299" t="s">
        <v>2397</v>
      </c>
      <c r="B39" s="254" t="s">
        <v>2398</v>
      </c>
      <c r="C39" s="276">
        <f ca="1">ROUND(C33*F20,0)</f>
        <v>268141</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985837</v>
      </c>
      <c r="D41" s="279">
        <f ca="1">C44</f>
        <v>1.4E-3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966507</v>
      </c>
      <c r="D42" s="282"/>
      <c r="E42" s="282"/>
      <c r="F42" s="283"/>
      <c r="G42" s="3215" t="s">
        <v>2454</v>
      </c>
    </row>
    <row r="43" spans="1:7" ht="13.5" customHeight="1">
      <c r="A43" s="953" t="s">
        <v>792</v>
      </c>
      <c r="B43" s="259" t="s">
        <v>2408</v>
      </c>
      <c r="C43" s="282">
        <f ca="1">ROUND(IF('数据-取费表'!B22&lt;=1,C39*F22*'数据-取费表'!B20/2,C39*(POWER((1+F22),'数据-取费表'!B20/2)-1)),0)</f>
        <v>19330</v>
      </c>
      <c r="D43" s="282"/>
      <c r="E43" s="282"/>
      <c r="F43" s="283"/>
      <c r="G43" s="3216"/>
    </row>
    <row r="44" spans="1:7" ht="13.5" customHeight="1">
      <c r="A44" s="953" t="s">
        <v>793</v>
      </c>
      <c r="B44" s="259" t="s">
        <v>2409</v>
      </c>
      <c r="C44" s="282">
        <f ca="1">ROUND(IF('数据-取费表'!B22&lt;=1,C40*F22*'数据-取费表'!B20/2,C40*(POWER((1+F22),'数据-取费表'!B20/2)-1)),4)</f>
        <v>1.4E-3</v>
      </c>
      <c r="D44" s="282"/>
      <c r="E44" s="282"/>
      <c r="F44" s="283"/>
      <c r="G44" s="3217"/>
    </row>
    <row r="45" spans="1:7" s="258" customFormat="1" ht="13.5" customHeight="1">
      <c r="A45" s="299" t="s">
        <v>2410</v>
      </c>
      <c r="B45" s="288" t="s">
        <v>2376</v>
      </c>
      <c r="C45" s="289">
        <f ca="1">C46</f>
        <v>3418794</v>
      </c>
      <c r="D45" s="279">
        <f ca="1">C47</f>
        <v>5.0000000000000001E-3</v>
      </c>
      <c r="E45" s="280" t="s">
        <v>2402</v>
      </c>
      <c r="F45" s="290"/>
      <c r="G45" s="291" t="s">
        <v>2411</v>
      </c>
    </row>
    <row r="46" spans="1:7" s="258" customFormat="1" ht="13.5" customHeight="1">
      <c r="A46" s="953" t="s">
        <v>791</v>
      </c>
      <c r="B46" s="292" t="s">
        <v>2412</v>
      </c>
      <c r="C46" s="293">
        <f ca="1">ROUND((C33+C39)*F27,0)</f>
        <v>3418794</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19645557</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18663279</v>
      </c>
      <c r="D51" s="276"/>
      <c r="E51" s="276"/>
      <c r="F51" s="308"/>
      <c r="G51" s="278" t="s">
        <v>2423</v>
      </c>
    </row>
    <row r="52" spans="1:7" s="252" customFormat="1" ht="16.5" thickBot="1">
      <c r="A52" s="309" t="s">
        <v>2424</v>
      </c>
      <c r="B52" s="310"/>
      <c r="C52" s="311">
        <f ca="1">C31+C51</f>
        <v>20656344</v>
      </c>
      <c r="D52" s="310"/>
      <c r="E52" s="310"/>
      <c r="F52" s="310"/>
      <c r="G52" s="312"/>
    </row>
    <row r="55" spans="1:7" ht="15">
      <c r="B55" s="314" t="s">
        <v>2425</v>
      </c>
      <c r="C55" s="315"/>
    </row>
    <row r="56" spans="1:7">
      <c r="B56" s="317" t="s">
        <v>1513</v>
      </c>
      <c r="C56" s="319">
        <f ca="1">1-C57</f>
        <v>9.5999999999999974E-2</v>
      </c>
    </row>
    <row r="57" spans="1:7">
      <c r="B57" s="317" t="s">
        <v>1514</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-59</v>
      </c>
      <c r="C2" s="320" t="s">
        <v>2458</v>
      </c>
      <c r="D2" s="320"/>
      <c r="E2" s="320"/>
      <c r="F2" s="320"/>
      <c r="G2" s="320"/>
      <c r="H2" s="320"/>
      <c r="I2" s="320"/>
      <c r="J2" s="320"/>
      <c r="K2" s="320"/>
    </row>
    <row r="3" spans="1:33" ht="18" customHeight="1" thickBot="1">
      <c r="A3" s="247" t="s">
        <v>2327</v>
      </c>
      <c r="B3" s="248">
        <f ca="1">ROUND(B2*10000/IF(C1="",'数据-汇总表'!E3,INDIRECT("'数据-取费表'!K"&amp;$K$1)),0)</f>
        <v>-147</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4020.0999999999995</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4020.0999999999995</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48</v>
      </c>
      <c r="D20" s="1035">
        <f ca="1">IF(C1="",'数据-汇总表'!E6,IF(INDIRECT("'数据-取费表'!c"&amp;$K$1)="住宅",INDIRECT("'数据-取费表'!s"&amp;$K$1),INDIRECT("'数据-取费表'!k"&amp;$K$1)+INDIRECT("'数据-取费表'!s"&amp;$K$1)))</f>
        <v>4020.0999999999995</v>
      </c>
      <c r="E20" s="24">
        <f>'数据-取费表'!B28</f>
        <v>120</v>
      </c>
      <c r="F20" s="978"/>
      <c r="G20" s="15"/>
      <c r="H20" s="983"/>
      <c r="I20" s="983"/>
      <c r="J20" s="983"/>
      <c r="K20" s="984"/>
    </row>
    <row r="21" spans="1:33" s="977" customFormat="1" ht="13.5" customHeight="1">
      <c r="A21" s="963" t="s">
        <v>802</v>
      </c>
      <c r="B21" s="987" t="s">
        <v>2494</v>
      </c>
      <c r="C21" s="988">
        <f ca="1">C16+C17+C18</f>
        <v>48</v>
      </c>
      <c r="D21" s="989"/>
      <c r="E21" s="325"/>
      <c r="F21" s="325"/>
      <c r="G21" s="140" t="s">
        <v>2495</v>
      </c>
      <c r="H21" s="981"/>
      <c r="I21" s="981"/>
      <c r="J21" s="981"/>
      <c r="K21" s="982"/>
    </row>
    <row r="22" spans="1:33" s="977" customFormat="1" ht="13.5" customHeight="1">
      <c r="A22" s="963" t="s">
        <v>2467</v>
      </c>
      <c r="B22" s="987" t="s">
        <v>2496</v>
      </c>
      <c r="C22" s="988">
        <f ca="1">ROUND(C21*F22,0)</f>
        <v>1</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12</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12</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5" zoomScale="90" zoomScaleNormal="90" workbookViewId="0">
      <selection activeCell="J40" sqref="J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3068</v>
      </c>
      <c r="E1" s="2657"/>
      <c r="F1" s="2584" t="s">
        <v>3076</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621</v>
      </c>
      <c r="C2" s="2586" t="s">
        <v>70</v>
      </c>
      <c r="D2" s="1367">
        <f ca="1">SUMIF(INDIRECT("'"&amp;F2&amp;"'"&amp;"!A:A"),"承租人权益价值",INDIRECT("'"&amp;F2&amp;"'"&amp;"!c:c"))</f>
        <v>0</v>
      </c>
      <c r="E2" s="2587" t="s">
        <v>2326</v>
      </c>
      <c r="F2" s="2588" t="s">
        <v>3077</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31819</v>
      </c>
      <c r="C3" s="400" t="s">
        <v>2642</v>
      </c>
      <c r="D3" s="399">
        <f>IF(D1="",'数据-汇总表'!E3,SUMIF('数据-汇总表'!$C19:$C33,D1,'数据-汇总表'!$E19:$E33))</f>
        <v>195.21</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21" t="s">
        <v>2646</v>
      </c>
      <c r="AC4" s="3218" t="s">
        <v>2647</v>
      </c>
    </row>
    <row r="5" spans="1:29" ht="15">
      <c r="A5" s="404"/>
      <c r="B5" s="405"/>
      <c r="C5" s="3230" t="s">
        <v>3078</v>
      </c>
      <c r="D5" s="3231"/>
      <c r="E5" s="3228" t="s">
        <v>3273</v>
      </c>
      <c r="F5" s="3229"/>
      <c r="G5" s="3230" t="s">
        <v>3275</v>
      </c>
      <c r="H5" s="3231"/>
      <c r="I5" s="3230" t="s">
        <v>3278</v>
      </c>
      <c r="J5" s="3231"/>
      <c r="K5" s="610"/>
      <c r="L5" s="1132"/>
      <c r="M5" s="1133"/>
      <c r="N5" s="1133"/>
      <c r="O5" s="1133"/>
      <c r="P5" s="3244"/>
      <c r="Q5" s="3245"/>
      <c r="R5" s="3226"/>
      <c r="S5" s="3227"/>
      <c r="T5" s="3226"/>
      <c r="U5" s="3227"/>
      <c r="V5" s="3221"/>
      <c r="W5" s="3221"/>
      <c r="X5" s="1815"/>
      <c r="Y5" s="3226"/>
      <c r="Z5" s="3227"/>
      <c r="AA5" s="3219"/>
      <c r="AB5" s="3221"/>
      <c r="AC5" s="3219"/>
    </row>
    <row r="6" spans="1:29" ht="15.75" thickBot="1">
      <c r="A6" s="406"/>
      <c r="B6" s="407"/>
      <c r="C6" s="3232" t="s">
        <v>2544</v>
      </c>
      <c r="D6" s="3233"/>
      <c r="E6" s="3234" t="s">
        <v>3274</v>
      </c>
      <c r="F6" s="3235"/>
      <c r="G6" s="3236" t="s">
        <v>3276</v>
      </c>
      <c r="H6" s="3233"/>
      <c r="I6" s="3236" t="s">
        <v>3277</v>
      </c>
      <c r="J6" s="3233"/>
      <c r="K6" s="610" t="s">
        <v>2545</v>
      </c>
      <c r="L6" s="1132"/>
      <c r="M6" s="1133"/>
      <c r="N6" s="1133"/>
      <c r="O6" s="1133"/>
      <c r="P6" s="3246"/>
      <c r="Q6" s="3247"/>
      <c r="R6" s="3226"/>
      <c r="S6" s="3227"/>
      <c r="T6" s="3248"/>
      <c r="U6" s="3249"/>
      <c r="V6" s="3221"/>
      <c r="W6" s="3221"/>
      <c r="X6" s="1815"/>
      <c r="Y6" s="3248"/>
      <c r="Z6" s="3249"/>
      <c r="AA6" s="3220"/>
      <c r="AB6" s="3221"/>
      <c r="AC6" s="3220"/>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222" t="s">
        <v>2547</v>
      </c>
      <c r="Q7" s="3250"/>
      <c r="R7" s="769" t="s">
        <v>17</v>
      </c>
      <c r="S7" s="770">
        <f t="shared" ref="S7:S15" si="0">F7</f>
        <v>100</v>
      </c>
      <c r="T7" s="769" t="s">
        <v>17</v>
      </c>
      <c r="U7" s="770">
        <f t="shared" ref="U7:U15" si="1">H7</f>
        <v>100</v>
      </c>
      <c r="V7" s="769" t="s">
        <v>17</v>
      </c>
      <c r="W7" s="770">
        <f t="shared" ref="W7:W15" si="2">J7</f>
        <v>100</v>
      </c>
      <c r="X7" s="771"/>
      <c r="Y7" s="3222" t="s">
        <v>2547</v>
      </c>
      <c r="Z7" s="3223"/>
      <c r="AA7" s="772">
        <f>D7/F7</f>
        <v>1</v>
      </c>
      <c r="AB7" s="772">
        <f>D7/H7</f>
        <v>1</v>
      </c>
      <c r="AC7" s="772">
        <f>D7/J7</f>
        <v>1</v>
      </c>
    </row>
    <row r="8" spans="1:29" s="117" customFormat="1" ht="15.75" thickBot="1">
      <c r="A8" s="408" t="s">
        <v>2548</v>
      </c>
      <c r="B8" s="409"/>
      <c r="C8" s="414" t="s">
        <v>2650</v>
      </c>
      <c r="D8" s="411">
        <v>100</v>
      </c>
      <c r="E8" s="414" t="s">
        <v>3079</v>
      </c>
      <c r="F8" s="413">
        <f>SUMIF(61:61,E8,62:62)-SUMIF(61:61,C8,62:62)+100</f>
        <v>100</v>
      </c>
      <c r="G8" s="414" t="s">
        <v>3079</v>
      </c>
      <c r="H8" s="411">
        <f>SUMIF(61:61,G8,62:62)-SUMIF(61:61,C8,62:62)+100</f>
        <v>100</v>
      </c>
      <c r="I8" s="414" t="s">
        <v>3079</v>
      </c>
      <c r="J8" s="411">
        <f>SUMIF(61:61,I8,62:62)-SUMIF(61:61,C8,62:62)+100</f>
        <v>100</v>
      </c>
      <c r="K8" s="611"/>
      <c r="L8" s="1134"/>
      <c r="M8" s="1135"/>
      <c r="N8" s="1135"/>
      <c r="O8" s="1135"/>
      <c r="P8" s="3222" t="s">
        <v>2550</v>
      </c>
      <c r="Q8" s="3223"/>
      <c r="R8" s="769" t="s">
        <v>17</v>
      </c>
      <c r="S8" s="770">
        <f t="shared" si="0"/>
        <v>100</v>
      </c>
      <c r="T8" s="769" t="s">
        <v>17</v>
      </c>
      <c r="U8" s="770">
        <f t="shared" si="1"/>
        <v>100</v>
      </c>
      <c r="V8" s="769" t="s">
        <v>17</v>
      </c>
      <c r="W8" s="770">
        <f t="shared" si="2"/>
        <v>100</v>
      </c>
      <c r="X8" s="771"/>
      <c r="Y8" s="3222" t="s">
        <v>2550</v>
      </c>
      <c r="Z8" s="3223"/>
      <c r="AA8" s="772">
        <f t="shared" ref="AA8:AA46" si="3">D8/F8</f>
        <v>1</v>
      </c>
      <c r="AB8" s="772">
        <f t="shared" ref="AB8:AB46" si="4">D8/H8</f>
        <v>1</v>
      </c>
      <c r="AC8" s="772">
        <f t="shared" ref="AC8:AC46" si="5">D8/J8</f>
        <v>1</v>
      </c>
    </row>
    <row r="9" spans="1:29" s="117" customFormat="1">
      <c r="A9" s="415" t="s">
        <v>2551</v>
      </c>
      <c r="B9" s="71" t="s">
        <v>2552</v>
      </c>
      <c r="C9" s="2947" t="s">
        <v>3080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2954" t="s">
        <v>3132</v>
      </c>
      <c r="D10" s="136">
        <v>100</v>
      </c>
      <c r="E10" s="2955" t="s">
        <v>3132</v>
      </c>
      <c r="F10" s="425">
        <f>SUMIF(65:65,E10,66:66)-SUMIF(65:65,C10,66:66)+100</f>
        <v>100</v>
      </c>
      <c r="G10" s="2954" t="s">
        <v>3132</v>
      </c>
      <c r="H10" s="136">
        <f>SUMIF(65:65,G10,66:66)-SUMIF(65:65,C10,66:66)+100</f>
        <v>100</v>
      </c>
      <c r="I10" s="2954" t="s">
        <v>3132</v>
      </c>
      <c r="J10" s="136">
        <f>SUMIF(65:65,I10,66:66)-SUMIF(65:65,C10,66:66)+100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75" thickBot="1">
      <c r="A11" s="428"/>
      <c r="B11" s="422" t="s">
        <v>2556</v>
      </c>
      <c r="C11" s="429">
        <v>3.5</v>
      </c>
      <c r="D11" s="136">
        <v>100</v>
      </c>
      <c r="E11" s="3025">
        <v>3.5</v>
      </c>
      <c r="F11" s="425">
        <f>LOOKUP(E11,68:68,69:69)-LOOKUP(C11,68:68,69:69)+100</f>
        <v>100</v>
      </c>
      <c r="G11" s="3026">
        <v>3.5</v>
      </c>
      <c r="H11" s="136">
        <f>LOOKUP(G11,68:68,69:69)-LOOKUP(C11,68:68,69:69)+100</f>
        <v>100</v>
      </c>
      <c r="I11" s="3026">
        <v>3.5</v>
      </c>
      <c r="J11" s="136">
        <f>LOOKUP(I11,68:68,69:69)-LOOKUP(C11,68:68,69:69)+100</f>
        <v>100</v>
      </c>
      <c r="K11" s="612">
        <v>5</v>
      </c>
      <c r="L11" s="1140"/>
      <c r="M11" s="1133"/>
      <c r="N11" s="1133"/>
      <c r="O11" s="1133"/>
      <c r="P11" s="3237"/>
      <c r="Q11" s="1797" t="str">
        <f t="shared" si="6"/>
        <v>容积率</v>
      </c>
      <c r="R11" s="769" t="s">
        <v>17</v>
      </c>
      <c r="S11" s="770">
        <f t="shared" si="0"/>
        <v>100</v>
      </c>
      <c r="T11" s="769" t="s">
        <v>17</v>
      </c>
      <c r="U11" s="770">
        <f t="shared" si="1"/>
        <v>100</v>
      </c>
      <c r="V11" s="769" t="s">
        <v>17</v>
      </c>
      <c r="W11" s="770">
        <f t="shared" si="2"/>
        <v>100</v>
      </c>
      <c r="X11" s="771"/>
      <c r="Y11" s="3095"/>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3023">
        <f>SUMIF(76:76,E16,77:77)-SUMIF(76:76,C16,77:77)+100</f>
        <v>100</v>
      </c>
      <c r="G15" s="444"/>
      <c r="H15" s="441">
        <f>SUMIF(76:76,G16,77:77)-SUMIF(76:76,C16,77:77)+100</f>
        <v>100</v>
      </c>
      <c r="I15" s="442"/>
      <c r="J15" s="3024">
        <f>SUMIF(76:76,I16,77:77)-SUMIF(76:76,C16,77:77)+100</f>
        <v>103</v>
      </c>
      <c r="K15" s="614">
        <v>3</v>
      </c>
      <c r="L15" s="1142"/>
      <c r="M15" s="1133"/>
      <c r="N15" s="1133"/>
      <c r="O15" s="1133"/>
      <c r="P15" s="3251" t="s">
        <v>2558</v>
      </c>
      <c r="Q15" s="1812" t="str">
        <f t="shared" si="6"/>
        <v>商业繁华度</v>
      </c>
      <c r="R15" s="773" t="s">
        <v>17</v>
      </c>
      <c r="S15" s="774">
        <f t="shared" si="0"/>
        <v>100</v>
      </c>
      <c r="T15" s="773" t="s">
        <v>17</v>
      </c>
      <c r="U15" s="774">
        <f t="shared" si="1"/>
        <v>100</v>
      </c>
      <c r="V15" s="773" t="s">
        <v>17</v>
      </c>
      <c r="W15" s="774">
        <f t="shared" si="2"/>
        <v>103</v>
      </c>
      <c r="X15" s="1815"/>
      <c r="Y15" s="3253" t="s">
        <v>2558</v>
      </c>
      <c r="Z15" s="1816" t="str">
        <f t="shared" si="7"/>
        <v>商业繁华度</v>
      </c>
      <c r="AA15" s="1813">
        <f t="shared" si="3"/>
        <v>1</v>
      </c>
      <c r="AB15" s="1813">
        <f t="shared" si="4"/>
        <v>1</v>
      </c>
      <c r="AC15" s="1813">
        <f t="shared" si="5"/>
        <v>0.970873786407767</v>
      </c>
    </row>
    <row r="16" spans="1:29" ht="15">
      <c r="A16" s="428"/>
      <c r="B16" s="446"/>
      <c r="C16" s="447" t="s">
        <v>3224</v>
      </c>
      <c r="D16" s="448"/>
      <c r="E16" s="3022" t="s">
        <v>3224</v>
      </c>
      <c r="F16" s="449"/>
      <c r="G16" s="447" t="s">
        <v>3224</v>
      </c>
      <c r="H16" s="450"/>
      <c r="I16" s="3022" t="s">
        <v>3081</v>
      </c>
      <c r="J16" s="448"/>
      <c r="K16" s="615"/>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t="s">
        <v>3224</v>
      </c>
      <c r="D18" s="450"/>
      <c r="E18" s="2610" t="s">
        <v>3224</v>
      </c>
      <c r="F18" s="453"/>
      <c r="G18" s="2609" t="s">
        <v>3224</v>
      </c>
      <c r="H18" s="448"/>
      <c r="I18" s="2610" t="s">
        <v>3224</v>
      </c>
      <c r="J18" s="448"/>
      <c r="K18" s="615"/>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t="s">
        <v>3224</v>
      </c>
      <c r="D20" s="448"/>
      <c r="E20" s="2605" t="s">
        <v>3224</v>
      </c>
      <c r="F20" s="449"/>
      <c r="G20" s="2604" t="s">
        <v>3224</v>
      </c>
      <c r="H20" s="448"/>
      <c r="I20" s="2605" t="s">
        <v>3224</v>
      </c>
      <c r="J20" s="448"/>
      <c r="K20" s="615"/>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t="s">
        <v>3082</v>
      </c>
      <c r="D22" s="448"/>
      <c r="E22" s="447" t="s">
        <v>3082</v>
      </c>
      <c r="F22" s="449"/>
      <c r="G22" s="447" t="s">
        <v>3082</v>
      </c>
      <c r="H22" s="448"/>
      <c r="I22" s="447" t="s">
        <v>3082</v>
      </c>
      <c r="J22" s="448"/>
      <c r="K22" s="1385"/>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52"/>
      <c r="Q23" s="1812" t="str">
        <f>B23</f>
        <v>自然及人文环境</v>
      </c>
      <c r="R23" s="773" t="s">
        <v>17</v>
      </c>
      <c r="S23" s="774">
        <f>F23</f>
        <v>100</v>
      </c>
      <c r="T23" s="773" t="s">
        <v>17</v>
      </c>
      <c r="U23" s="774">
        <f>H23</f>
        <v>100</v>
      </c>
      <c r="V23" s="773" t="s">
        <v>17</v>
      </c>
      <c r="W23" s="774">
        <f>J23</f>
        <v>100</v>
      </c>
      <c r="X23" s="1815"/>
      <c r="Y23" s="3254"/>
      <c r="Z23" s="1816" t="str">
        <f>Q23</f>
        <v>自然及人文环境</v>
      </c>
      <c r="AA23" s="1813">
        <f t="shared" si="3"/>
        <v>1</v>
      </c>
      <c r="AB23" s="1813">
        <f t="shared" si="4"/>
        <v>1</v>
      </c>
      <c r="AC23" s="1813">
        <f t="shared" si="5"/>
        <v>1</v>
      </c>
    </row>
    <row r="24" spans="1:29" ht="15">
      <c r="A24" s="428"/>
      <c r="B24" s="456"/>
      <c r="C24" s="447" t="s">
        <v>3224</v>
      </c>
      <c r="D24" s="448"/>
      <c r="E24" s="2605" t="s">
        <v>3224</v>
      </c>
      <c r="F24" s="449"/>
      <c r="G24" s="2604" t="s">
        <v>3224</v>
      </c>
      <c r="H24" s="448"/>
      <c r="I24" s="2605" t="s">
        <v>3224</v>
      </c>
      <c r="J24" s="448"/>
      <c r="K24" s="615"/>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2654</v>
      </c>
      <c r="C25" s="616" t="s">
        <v>3085</v>
      </c>
      <c r="D25" s="435">
        <v>100</v>
      </c>
      <c r="E25" s="616" t="s">
        <v>3085</v>
      </c>
      <c r="F25" s="461">
        <f>SUMIF(86:86,E25,87:87)-SUMIF(86:86,C25,87:87)+100</f>
        <v>100</v>
      </c>
      <c r="G25" s="616" t="s">
        <v>3085</v>
      </c>
      <c r="H25" s="435">
        <f>SUMIF(86:86,G25,87:87)-SUMIF(86:86,C25,87:87)+100</f>
        <v>100</v>
      </c>
      <c r="I25" s="616" t="s">
        <v>3085</v>
      </c>
      <c r="J25" s="435">
        <f>SUMIF(86:86,I25,87:87)-SUMIF(86:86,C25,87:87)+100</f>
        <v>100</v>
      </c>
      <c r="K25" s="612">
        <v>3</v>
      </c>
      <c r="L25" s="1142"/>
      <c r="M25" s="1133"/>
      <c r="N25" s="1133"/>
      <c r="O25" s="1133"/>
      <c r="P25" s="3252"/>
      <c r="Q25" s="1812" t="str">
        <f t="shared" ref="Q25:Q46" si="11">B25</f>
        <v>临街状况</v>
      </c>
      <c r="R25" s="773" t="s">
        <v>17</v>
      </c>
      <c r="S25" s="774">
        <f>F25</f>
        <v>100</v>
      </c>
      <c r="T25" s="773" t="s">
        <v>17</v>
      </c>
      <c r="U25" s="774">
        <f>H25</f>
        <v>100</v>
      </c>
      <c r="V25" s="773" t="s">
        <v>17</v>
      </c>
      <c r="W25" s="774">
        <f>J25</f>
        <v>100</v>
      </c>
      <c r="X25" s="1815"/>
      <c r="Y25" s="3254"/>
      <c r="Z25" s="1816" t="str">
        <f>Q25</f>
        <v>临街状况</v>
      </c>
      <c r="AA25" s="1813">
        <f t="shared" si="3"/>
        <v>1</v>
      </c>
      <c r="AB25" s="1813">
        <f t="shared" si="4"/>
        <v>1</v>
      </c>
      <c r="AC25" s="1813">
        <f t="shared" si="5"/>
        <v>1</v>
      </c>
    </row>
    <row r="26" spans="1:29" ht="15">
      <c r="A26" s="428"/>
      <c r="B26" s="1388" t="s">
        <v>2655</v>
      </c>
      <c r="C26" s="2952" t="s">
        <v>3089</v>
      </c>
      <c r="D26" s="435">
        <v>100</v>
      </c>
      <c r="E26" s="2952" t="s">
        <v>3089</v>
      </c>
      <c r="F26" s="461">
        <f>SUMIF(88:88,E26,89:89)-SUMIF(88:88,C26,89:89)+100</f>
        <v>100</v>
      </c>
      <c r="G26" s="2952" t="s">
        <v>3089</v>
      </c>
      <c r="H26" s="435">
        <f>SUMIF(88:88,G26,89:89)-SUMIF(88:88,C26,89:89)+100</f>
        <v>100</v>
      </c>
      <c r="I26" s="2952" t="s">
        <v>3089</v>
      </c>
      <c r="J26" s="435">
        <f>SUMIF(88:88,I26,89:89)-SUMIF(88:88,C26,89:89)+100</f>
        <v>100</v>
      </c>
      <c r="K26" s="613"/>
      <c r="L26" s="1142"/>
      <c r="M26" s="1133"/>
      <c r="N26" s="1133"/>
      <c r="O26" s="1133"/>
      <c r="P26" s="3252"/>
      <c r="Q26" s="1812" t="str">
        <f t="shared" si="11"/>
        <v>平面位置/可视性</v>
      </c>
      <c r="R26" s="773" t="s">
        <v>17</v>
      </c>
      <c r="S26" s="774">
        <f>F26</f>
        <v>100</v>
      </c>
      <c r="T26" s="773" t="s">
        <v>17</v>
      </c>
      <c r="U26" s="774">
        <f>H26</f>
        <v>100</v>
      </c>
      <c r="V26" s="773" t="s">
        <v>17</v>
      </c>
      <c r="W26" s="774">
        <f>J26</f>
        <v>100</v>
      </c>
      <c r="X26" s="1815"/>
      <c r="Y26" s="3254"/>
      <c r="Z26" s="1816" t="str">
        <f>Q26</f>
        <v>平面位置/可视性</v>
      </c>
      <c r="AA26" s="1813">
        <f t="shared" si="3"/>
        <v>1</v>
      </c>
      <c r="AB26" s="1813">
        <f t="shared" si="4"/>
        <v>1</v>
      </c>
      <c r="AC26" s="1813">
        <f t="shared" si="5"/>
        <v>1</v>
      </c>
    </row>
    <row r="27" spans="1:29" s="117" customFormat="1" ht="15.75">
      <c r="A27" s="431"/>
      <c r="B27" s="451" t="s">
        <v>2656</v>
      </c>
      <c r="C27" s="2665" t="s">
        <v>3224</v>
      </c>
      <c r="D27" s="462">
        <v>100</v>
      </c>
      <c r="E27" s="2665" t="s">
        <v>3224</v>
      </c>
      <c r="F27" s="2958">
        <f>SUMIF(90:90,E27,91:91)-SUMIF(90:90,C27,91:91)+100</f>
        <v>100</v>
      </c>
      <c r="G27" s="2665" t="s">
        <v>3224</v>
      </c>
      <c r="H27" s="2957">
        <f>SUMIF(90:90,G27,91:91)-SUMIF(90:90,C27,91:91)+100</f>
        <v>100</v>
      </c>
      <c r="I27" s="2665" t="s">
        <v>3224</v>
      </c>
      <c r="J27" s="2957">
        <f>SUMIF(90:90,I27,91:91)-SUMIF(90:90,C27,91:91)+100</f>
        <v>100</v>
      </c>
      <c r="K27" s="2956">
        <v>1</v>
      </c>
      <c r="L27" s="1134"/>
      <c r="M27" s="1135"/>
      <c r="N27" s="1135"/>
      <c r="O27" s="1135"/>
      <c r="P27" s="3252"/>
      <c r="Q27" s="1797" t="str">
        <f t="shared" si="11"/>
        <v>人流量</v>
      </c>
      <c r="R27" s="769" t="s">
        <v>17</v>
      </c>
      <c r="S27" s="770">
        <f>F27</f>
        <v>100</v>
      </c>
      <c r="T27" s="769" t="s">
        <v>17</v>
      </c>
      <c r="U27" s="770">
        <f>H27</f>
        <v>100</v>
      </c>
      <c r="V27" s="769" t="s">
        <v>17</v>
      </c>
      <c r="W27" s="770">
        <f>J27</f>
        <v>100</v>
      </c>
      <c r="X27" s="771"/>
      <c r="Y27" s="3254"/>
      <c r="Z27" s="55" t="str">
        <f>Q27</f>
        <v>人流量</v>
      </c>
      <c r="AA27" s="1813">
        <f>D27/F27</f>
        <v>1</v>
      </c>
      <c r="AB27" s="1813">
        <f>D27/H27</f>
        <v>1</v>
      </c>
      <c r="AC27" s="1813">
        <f>D27/J27</f>
        <v>1</v>
      </c>
    </row>
    <row r="28" spans="1:29" ht="15.75" thickBot="1">
      <c r="A28" s="428"/>
      <c r="B28" s="422" t="s">
        <v>2657</v>
      </c>
      <c r="C28" s="616" t="s">
        <v>3124</v>
      </c>
      <c r="D28" s="435">
        <v>100</v>
      </c>
      <c r="E28" s="616" t="s">
        <v>3124</v>
      </c>
      <c r="F28" s="461">
        <f>SUMIF(92:92,E28,93:93)-SUMIF(92:92,C28,93:93)+100</f>
        <v>100</v>
      </c>
      <c r="G28" s="616" t="s">
        <v>3124</v>
      </c>
      <c r="H28" s="435">
        <f>SUMIF(92:92,G28,93:93)-SUMIF(92:92,C28,93:93)+100</f>
        <v>100</v>
      </c>
      <c r="I28" s="616" t="s">
        <v>3124</v>
      </c>
      <c r="J28" s="435">
        <f>SUMIF(92:92,I28,93:93)-SUMIF(92:92,C28,93:93)+100</f>
        <v>100</v>
      </c>
      <c r="K28" s="613"/>
      <c r="L28" s="1142"/>
      <c r="M28" s="1133"/>
      <c r="N28" s="1133"/>
      <c r="O28" s="1133"/>
      <c r="P28" s="325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2"/>
      <c r="Q29" s="1812">
        <f t="shared" si="11"/>
        <v>111</v>
      </c>
      <c r="R29" s="773" t="s">
        <v>17</v>
      </c>
      <c r="S29" s="774">
        <f t="shared" si="12"/>
        <v>100</v>
      </c>
      <c r="T29" s="773" t="s">
        <v>17</v>
      </c>
      <c r="U29" s="774">
        <f t="shared" si="13"/>
        <v>100</v>
      </c>
      <c r="V29" s="773" t="s">
        <v>17</v>
      </c>
      <c r="W29" s="774">
        <f t="shared" si="14"/>
        <v>100</v>
      </c>
      <c r="X29" s="1815"/>
      <c r="Y29" s="325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1813">
        <f t="shared" si="5"/>
        <v>1</v>
      </c>
    </row>
    <row r="32" spans="1:29" ht="15">
      <c r="A32" s="440" t="s">
        <v>2561</v>
      </c>
      <c r="B32" s="71" t="s">
        <v>2658</v>
      </c>
      <c r="C32" s="2617" t="s">
        <v>3100</v>
      </c>
      <c r="D32" s="467">
        <v>100</v>
      </c>
      <c r="E32" s="2617" t="s">
        <v>3100</v>
      </c>
      <c r="F32" s="461">
        <f>SUMIF(100:100,E32,101:101)-SUMIF(100:100,C32,101:101)+100</f>
        <v>100</v>
      </c>
      <c r="G32" s="2617" t="s">
        <v>3100</v>
      </c>
      <c r="H32" s="435">
        <f>SUMIF(100:100,G32,101:101)-SUMIF(100:100,C32,101:101)+100</f>
        <v>100</v>
      </c>
      <c r="I32" s="2617" t="s">
        <v>3100</v>
      </c>
      <c r="J32" s="467">
        <f>SUMIF(100:100,I32,101:101)-SUMIF(100:100,C32,101:101)+100</f>
        <v>100</v>
      </c>
      <c r="K32" s="612">
        <v>5</v>
      </c>
      <c r="L32" s="1142"/>
      <c r="M32" s="1133"/>
      <c r="N32" s="1133"/>
      <c r="O32" s="1133"/>
      <c r="P32" s="3255" t="s">
        <v>2563</v>
      </c>
      <c r="Q32" s="1812" t="str">
        <f t="shared" si="11"/>
        <v>商业类型</v>
      </c>
      <c r="R32" s="773" t="s">
        <v>17</v>
      </c>
      <c r="S32" s="774">
        <f t="shared" si="12"/>
        <v>100</v>
      </c>
      <c r="T32" s="773" t="s">
        <v>17</v>
      </c>
      <c r="U32" s="774">
        <f t="shared" si="13"/>
        <v>100</v>
      </c>
      <c r="V32" s="773" t="s">
        <v>17</v>
      </c>
      <c r="W32" s="774">
        <f t="shared" si="14"/>
        <v>100</v>
      </c>
      <c r="X32" s="1815"/>
      <c r="Y32" s="3258"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5"/>
        <v>项目建筑规模</v>
      </c>
      <c r="AA33" s="1813">
        <f t="shared" si="3"/>
        <v>1</v>
      </c>
      <c r="AB33" s="1813">
        <f t="shared" si="4"/>
        <v>1</v>
      </c>
      <c r="AC33" s="1813">
        <f t="shared" si="5"/>
        <v>1</v>
      </c>
    </row>
    <row r="34" spans="1:29" ht="15">
      <c r="A34" s="472"/>
      <c r="B34" s="422" t="s">
        <v>2565</v>
      </c>
      <c r="C34" s="2619" t="s">
        <v>3073</v>
      </c>
      <c r="D34" s="435">
        <v>100</v>
      </c>
      <c r="E34" s="2619" t="s">
        <v>3073</v>
      </c>
      <c r="F34" s="461">
        <f>SUMIF(105:105,E34,106:106)-SUMIF(105:105,C34,106:106)+100</f>
        <v>100</v>
      </c>
      <c r="G34" s="2619" t="s">
        <v>3073</v>
      </c>
      <c r="H34" s="435">
        <f>SUMIF(105:105,G34,106:106)-SUMIF(105:105,C34,106:106)+100</f>
        <v>100</v>
      </c>
      <c r="I34" s="2619" t="s">
        <v>3073</v>
      </c>
      <c r="J34" s="435">
        <f>SUMIF(105:105,I34,106:106)-SUMIF(105:105,C34,106:106)+100</f>
        <v>100</v>
      </c>
      <c r="K34" s="612"/>
      <c r="L34" s="1142"/>
      <c r="M34" s="1133"/>
      <c r="N34" s="1133"/>
      <c r="O34" s="1133"/>
      <c r="P34" s="3256"/>
      <c r="Q34" s="1812" t="str">
        <f t="shared" si="11"/>
        <v>建筑结构</v>
      </c>
      <c r="R34" s="773" t="s">
        <v>17</v>
      </c>
      <c r="S34" s="774">
        <f t="shared" si="12"/>
        <v>100</v>
      </c>
      <c r="T34" s="773" t="s">
        <v>17</v>
      </c>
      <c r="U34" s="774">
        <f t="shared" si="13"/>
        <v>100</v>
      </c>
      <c r="V34" s="773" t="s">
        <v>17</v>
      </c>
      <c r="W34" s="774">
        <f t="shared" si="14"/>
        <v>100</v>
      </c>
      <c r="X34" s="1815"/>
      <c r="Y34" s="3258"/>
      <c r="Z34" s="1816" t="str">
        <f t="shared" si="15"/>
        <v>建筑结构</v>
      </c>
      <c r="AA34" s="1813">
        <f t="shared" si="3"/>
        <v>1</v>
      </c>
      <c r="AB34" s="1813">
        <f t="shared" si="4"/>
        <v>1</v>
      </c>
      <c r="AC34" s="1813">
        <f t="shared" si="5"/>
        <v>1</v>
      </c>
    </row>
    <row r="35" spans="1:29" ht="15">
      <c r="A35" s="472"/>
      <c r="B35" s="422" t="s">
        <v>2659</v>
      </c>
      <c r="C35" s="2613" t="s">
        <v>3108</v>
      </c>
      <c r="D35" s="435">
        <v>100</v>
      </c>
      <c r="E35" s="2613" t="s">
        <v>3108</v>
      </c>
      <c r="F35" s="461">
        <f>SUMIF(107:107,E35,108:108)-SUMIF(107:107,C35,108:108)+100</f>
        <v>100</v>
      </c>
      <c r="G35" s="2613" t="s">
        <v>3108</v>
      </c>
      <c r="H35" s="435">
        <f>SUMIF(107:107,G35,108:108)-SUMIF(107:107,C35,108:108)+100</f>
        <v>100</v>
      </c>
      <c r="I35" s="2613" t="s">
        <v>3108</v>
      </c>
      <c r="J35" s="435">
        <f>SUMIF(107:107,I35,108:108)-SUMIF(107:107,C35,108:108)+100</f>
        <v>100</v>
      </c>
      <c r="K35" s="612">
        <v>3</v>
      </c>
      <c r="L35" s="1142"/>
      <c r="M35" s="1133"/>
      <c r="N35" s="1133"/>
      <c r="O35" s="1133"/>
      <c r="P35" s="3256"/>
      <c r="Q35" s="1812" t="str">
        <f t="shared" si="11"/>
        <v>公共部分装修</v>
      </c>
      <c r="R35" s="773" t="s">
        <v>17</v>
      </c>
      <c r="S35" s="774">
        <f t="shared" si="12"/>
        <v>100</v>
      </c>
      <c r="T35" s="773" t="s">
        <v>17</v>
      </c>
      <c r="U35" s="774">
        <f t="shared" si="13"/>
        <v>100</v>
      </c>
      <c r="V35" s="773" t="s">
        <v>17</v>
      </c>
      <c r="W35" s="774">
        <f t="shared" si="14"/>
        <v>100</v>
      </c>
      <c r="X35" s="1815"/>
      <c r="Y35" s="3258"/>
      <c r="Z35" s="1816" t="str">
        <f t="shared" si="15"/>
        <v>公共部分装修</v>
      </c>
      <c r="AA35" s="1813">
        <f t="shared" si="3"/>
        <v>1</v>
      </c>
      <c r="AB35" s="1813">
        <f t="shared" si="4"/>
        <v>1</v>
      </c>
      <c r="AC35" s="1813">
        <f t="shared" si="5"/>
        <v>1</v>
      </c>
    </row>
    <row r="36" spans="1:29" ht="15">
      <c r="A36" s="472"/>
      <c r="B36" s="422" t="s">
        <v>2660</v>
      </c>
      <c r="C36" s="474">
        <f>'数据-取费表'!N6</f>
        <v>0.95</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2"/>
      <c r="M36" s="1133"/>
      <c r="N36" s="1133"/>
      <c r="O36" s="1133"/>
      <c r="P36" s="3256"/>
      <c r="Q36" s="1812" t="str">
        <f t="shared" si="11"/>
        <v>成新度</v>
      </c>
      <c r="R36" s="773" t="s">
        <v>17</v>
      </c>
      <c r="S36" s="774">
        <f t="shared" si="12"/>
        <v>100</v>
      </c>
      <c r="T36" s="773" t="s">
        <v>17</v>
      </c>
      <c r="U36" s="774">
        <f t="shared" si="13"/>
        <v>100</v>
      </c>
      <c r="V36" s="773" t="s">
        <v>17</v>
      </c>
      <c r="W36" s="774">
        <f t="shared" si="14"/>
        <v>100</v>
      </c>
      <c r="X36" s="1815"/>
      <c r="Y36" s="3258"/>
      <c r="Z36" s="1816" t="str">
        <f t="shared" si="15"/>
        <v>成新度</v>
      </c>
      <c r="AA36" s="1813">
        <f t="shared" si="3"/>
        <v>1</v>
      </c>
      <c r="AB36" s="1813">
        <f t="shared" si="4"/>
        <v>1</v>
      </c>
      <c r="AC36" s="1813">
        <f t="shared" si="5"/>
        <v>1</v>
      </c>
    </row>
    <row r="37" spans="1:29" s="117" customFormat="1" ht="15">
      <c r="A37" s="473"/>
      <c r="B37" s="422" t="s">
        <v>2661</v>
      </c>
      <c r="C37" s="2613" t="s">
        <v>3082</v>
      </c>
      <c r="D37" s="136">
        <v>100</v>
      </c>
      <c r="E37" s="2613" t="s">
        <v>3082</v>
      </c>
      <c r="F37" s="461">
        <f>SUMIF(112:112,E37,113:113)-SUMIF(112:112,C37,113:113)+100</f>
        <v>100</v>
      </c>
      <c r="G37" s="2613" t="s">
        <v>3082</v>
      </c>
      <c r="H37" s="435">
        <f>SUMIF(112:112,G37,113:113)-SUMIF(112:112,C37,113:113)+100</f>
        <v>100</v>
      </c>
      <c r="I37" s="2613" t="s">
        <v>3082</v>
      </c>
      <c r="J37" s="435">
        <f>SUMIF(112:112,I37,113:113)-SUMIF(112:112,C37,113:113)+100</f>
        <v>100</v>
      </c>
      <c r="K37" s="612"/>
      <c r="L37" s="1134"/>
      <c r="M37" s="1135"/>
      <c r="N37" s="1135"/>
      <c r="O37" s="1135"/>
      <c r="P37" s="3256"/>
      <c r="Q37" s="1797"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2"/>
      <c r="B38" s="422" t="s">
        <v>2662</v>
      </c>
      <c r="C38" s="2613" t="s">
        <v>3119</v>
      </c>
      <c r="D38" s="435">
        <v>100</v>
      </c>
      <c r="E38" s="2613" t="s">
        <v>3119</v>
      </c>
      <c r="F38" s="461">
        <f>SUMIF(114:114,E38,115:115)-SUMIF(114:114,C38,115:115)+100</f>
        <v>100</v>
      </c>
      <c r="G38" s="2613" t="s">
        <v>3119</v>
      </c>
      <c r="H38" s="435">
        <f>SUMIF(114:114,G38,115:115)-SUMIF(114:114,C38,115:115)+100</f>
        <v>100</v>
      </c>
      <c r="I38" s="2613" t="s">
        <v>3119</v>
      </c>
      <c r="J38" s="435">
        <f>SUMIF(114:114,I38,115:115)-SUMIF(114:114,C38,115:115)+100</f>
        <v>100</v>
      </c>
      <c r="K38" s="612">
        <v>5</v>
      </c>
      <c r="L38" s="1142"/>
      <c r="M38" s="1133"/>
      <c r="N38" s="1133"/>
      <c r="O38" s="1133"/>
      <c r="P38" s="3256" t="s">
        <v>2563</v>
      </c>
      <c r="Q38" s="1812" t="str">
        <f t="shared" si="11"/>
        <v>业态</v>
      </c>
      <c r="R38" s="773" t="s">
        <v>17</v>
      </c>
      <c r="S38" s="774">
        <f t="shared" si="12"/>
        <v>100</v>
      </c>
      <c r="T38" s="773" t="s">
        <v>17</v>
      </c>
      <c r="U38" s="774">
        <f t="shared" si="13"/>
        <v>100</v>
      </c>
      <c r="V38" s="773" t="s">
        <v>17</v>
      </c>
      <c r="W38" s="774">
        <f t="shared" si="14"/>
        <v>100</v>
      </c>
      <c r="X38" s="1815"/>
      <c r="Y38" s="3258" t="s">
        <v>2563</v>
      </c>
      <c r="Z38" s="1816" t="str">
        <f t="shared" si="15"/>
        <v>业态</v>
      </c>
      <c r="AA38" s="1813">
        <f t="shared" si="3"/>
        <v>1</v>
      </c>
      <c r="AB38" s="1813">
        <f t="shared" si="4"/>
        <v>1</v>
      </c>
      <c r="AC38" s="1813">
        <f t="shared" si="5"/>
        <v>1</v>
      </c>
    </row>
    <row r="39" spans="1:29" ht="15">
      <c r="A39" s="472"/>
      <c r="B39" s="422" t="s">
        <v>2663</v>
      </c>
      <c r="C39" s="2613" t="s">
        <v>3121</v>
      </c>
      <c r="D39" s="435">
        <v>100</v>
      </c>
      <c r="E39" s="2613" t="s">
        <v>3121</v>
      </c>
      <c r="F39" s="461">
        <f>SUMIF(116:116,E39,117:117)-SUMIF(116:116,C39,117:117)+100</f>
        <v>100</v>
      </c>
      <c r="G39" s="2613" t="s">
        <v>3121</v>
      </c>
      <c r="H39" s="435">
        <f>SUMIF(116:116,G39,117:117)-SUMIF(116:116,C39,117:117)+100</f>
        <v>100</v>
      </c>
      <c r="I39" s="2613" t="s">
        <v>3121</v>
      </c>
      <c r="J39" s="435">
        <f>SUMIF(116:116,I39,117:117)-SUMIF(116:116,C39,117:117)+100</f>
        <v>100</v>
      </c>
      <c r="K39" s="612"/>
      <c r="L39" s="1142"/>
      <c r="M39" s="1133"/>
      <c r="N39" s="1133"/>
      <c r="O39" s="1133"/>
      <c r="P39" s="3256"/>
      <c r="Q39" s="1812" t="str">
        <f t="shared" si="11"/>
        <v>层高</v>
      </c>
      <c r="R39" s="773" t="s">
        <v>17</v>
      </c>
      <c r="S39" s="774">
        <f t="shared" si="12"/>
        <v>100</v>
      </c>
      <c r="T39" s="773" t="s">
        <v>17</v>
      </c>
      <c r="U39" s="774">
        <f t="shared" si="13"/>
        <v>100</v>
      </c>
      <c r="V39" s="773" t="s">
        <v>17</v>
      </c>
      <c r="W39" s="774">
        <f t="shared" si="14"/>
        <v>100</v>
      </c>
      <c r="X39" s="1815"/>
      <c r="Y39" s="3258"/>
      <c r="Z39" s="1816" t="str">
        <f t="shared" si="15"/>
        <v>层高</v>
      </c>
      <c r="AA39" s="1813">
        <f t="shared" si="3"/>
        <v>1</v>
      </c>
      <c r="AB39" s="1813">
        <f t="shared" si="4"/>
        <v>1</v>
      </c>
      <c r="AC39" s="1813">
        <f t="shared" si="5"/>
        <v>1</v>
      </c>
    </row>
    <row r="40" spans="1:29" ht="15">
      <c r="A40" s="472"/>
      <c r="B40" s="422" t="s">
        <v>2664</v>
      </c>
      <c r="C40" s="2953">
        <f>Sheet1!E3</f>
        <v>195.21</v>
      </c>
      <c r="D40" s="435">
        <v>100</v>
      </c>
      <c r="E40" s="617">
        <v>105</v>
      </c>
      <c r="F40" s="461">
        <f>SUMIF(118:118,E40,119:119)-SUMIF(118:118,C40,119:119)+100</f>
        <v>100</v>
      </c>
      <c r="G40" s="617">
        <v>62</v>
      </c>
      <c r="H40" s="435">
        <f>SUMIF(118:118,G40,119:119)-SUMIF(118:118,C40,119:119)+100</f>
        <v>101</v>
      </c>
      <c r="I40" s="617">
        <v>65</v>
      </c>
      <c r="J40" s="3028">
        <f>SUMIF(118:118,I40,119:119)-SUMIF(118:118,C40,119:119)+100</f>
        <v>101</v>
      </c>
      <c r="K40" s="613"/>
      <c r="L40" s="1142"/>
      <c r="M40" s="1133"/>
      <c r="N40" s="1133"/>
      <c r="O40" s="1133"/>
      <c r="P40" s="3256"/>
      <c r="Q40" s="1812" t="str">
        <f t="shared" si="11"/>
        <v>单套建筑面积</v>
      </c>
      <c r="R40" s="773" t="s">
        <v>17</v>
      </c>
      <c r="S40" s="774">
        <f t="shared" si="12"/>
        <v>100</v>
      </c>
      <c r="T40" s="773" t="s">
        <v>17</v>
      </c>
      <c r="U40" s="774">
        <f t="shared" si="13"/>
        <v>101</v>
      </c>
      <c r="V40" s="773" t="s">
        <v>17</v>
      </c>
      <c r="W40" s="774">
        <f t="shared" si="14"/>
        <v>101</v>
      </c>
      <c r="X40" s="1815"/>
      <c r="Y40" s="3258"/>
      <c r="Z40" s="1816" t="str">
        <f t="shared" si="15"/>
        <v>单套建筑面积</v>
      </c>
      <c r="AA40" s="1813">
        <f t="shared" si="3"/>
        <v>1</v>
      </c>
      <c r="AB40" s="1813">
        <f t="shared" si="4"/>
        <v>0.99009900990099009</v>
      </c>
      <c r="AC40" s="1813">
        <f t="shared" si="5"/>
        <v>0.99009900990099009</v>
      </c>
    </row>
    <row r="41" spans="1:29" s="471" customFormat="1" ht="15">
      <c r="A41" s="468"/>
      <c r="B41" s="1814" t="s">
        <v>2665</v>
      </c>
      <c r="C41" s="616" t="s">
        <v>3081</v>
      </c>
      <c r="D41" s="435">
        <v>100</v>
      </c>
      <c r="E41" s="616" t="s">
        <v>3081</v>
      </c>
      <c r="F41" s="461">
        <f>SUMIF(120:120,E41,121:121)-SUMIF(120:120,C41,121:121)+100</f>
        <v>100</v>
      </c>
      <c r="G41" s="616" t="s">
        <v>3081</v>
      </c>
      <c r="H41" s="435">
        <f>SUMIF(120:120,G41,121:121)-SUMIF(120:120,C41,121:121)+100</f>
        <v>100</v>
      </c>
      <c r="I41" s="616" t="s">
        <v>3081</v>
      </c>
      <c r="J41" s="435">
        <f>SUMIF(120:120,I41,121:121)-SUMIF(120:120,C41,121:121)+100</f>
        <v>100</v>
      </c>
      <c r="K41" s="612">
        <v>3</v>
      </c>
      <c r="L41" s="1140"/>
      <c r="M41" s="1143"/>
      <c r="N41" s="1143"/>
      <c r="O41" s="1143"/>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13">
        <f t="shared" si="3"/>
        <v>1</v>
      </c>
      <c r="AB41" s="1813">
        <f t="shared" si="4"/>
        <v>1</v>
      </c>
      <c r="AC41" s="1813">
        <f t="shared" si="5"/>
        <v>1</v>
      </c>
    </row>
    <row r="42" spans="1:29" ht="15">
      <c r="A42" s="472"/>
      <c r="B42" s="422" t="s">
        <v>2666</v>
      </c>
      <c r="C42" s="2613" t="s">
        <v>3110</v>
      </c>
      <c r="D42" s="435">
        <v>100</v>
      </c>
      <c r="E42" s="2613" t="s">
        <v>3110</v>
      </c>
      <c r="F42" s="461">
        <f>SUMIF(122:122,E42,123:123)-SUMIF(122:122,C42,123:123)+100</f>
        <v>100</v>
      </c>
      <c r="G42" s="2613" t="s">
        <v>3110</v>
      </c>
      <c r="H42" s="435">
        <f>SUMIF(122:122,G42,123:123)-SUMIF(122:122,C42,123:123)+100</f>
        <v>100</v>
      </c>
      <c r="I42" s="2613" t="s">
        <v>3110</v>
      </c>
      <c r="J42" s="435">
        <f>SUMIF(122:122,I42,123:123)-SUMIF(122:122,C42,123:123)+100</f>
        <v>100</v>
      </c>
      <c r="K42" s="612">
        <v>3</v>
      </c>
      <c r="L42" s="1142"/>
      <c r="M42" s="1133"/>
      <c r="N42" s="1133"/>
      <c r="O42" s="1133"/>
      <c r="P42" s="3256"/>
      <c r="Q42" s="1812" t="str">
        <f t="shared" si="11"/>
        <v>内部装修</v>
      </c>
      <c r="R42" s="773" t="s">
        <v>17</v>
      </c>
      <c r="S42" s="774">
        <f t="shared" si="12"/>
        <v>100</v>
      </c>
      <c r="T42" s="773" t="s">
        <v>17</v>
      </c>
      <c r="U42" s="774">
        <f t="shared" si="13"/>
        <v>100</v>
      </c>
      <c r="V42" s="773" t="s">
        <v>17</v>
      </c>
      <c r="W42" s="774">
        <f t="shared" si="14"/>
        <v>100</v>
      </c>
      <c r="X42" s="1815"/>
      <c r="Y42" s="3258"/>
      <c r="Z42" s="1816" t="str">
        <f t="shared" si="15"/>
        <v>内部装修</v>
      </c>
      <c r="AA42" s="1813">
        <f t="shared" si="3"/>
        <v>1</v>
      </c>
      <c r="AB42" s="1813">
        <f t="shared" si="4"/>
        <v>1</v>
      </c>
      <c r="AC42" s="1813">
        <f t="shared" si="5"/>
        <v>1</v>
      </c>
    </row>
    <row r="43" spans="1:29" ht="15.75" thickBot="1">
      <c r="A43" s="472"/>
      <c r="B43" s="422" t="s">
        <v>2574</v>
      </c>
      <c r="C43" s="2613" t="s">
        <v>3225</v>
      </c>
      <c r="D43" s="435">
        <v>100</v>
      </c>
      <c r="E43" s="2613" t="s">
        <v>3224</v>
      </c>
      <c r="F43" s="461">
        <f>SUMIF(124:124,E43,125:125)-SUMIF(124:124,C43,125:125)+100</f>
        <v>103</v>
      </c>
      <c r="G43" s="2613" t="s">
        <v>3224</v>
      </c>
      <c r="H43" s="435">
        <f>SUMIF(124:124,G43,125:125)-SUMIF(124:124,C43,125:125)+100</f>
        <v>103</v>
      </c>
      <c r="I43" s="2613" t="s">
        <v>3224</v>
      </c>
      <c r="J43" s="435">
        <f>SUMIF(124:124,I43,125:125)-SUMIF(124:124,C43,125:125)+100</f>
        <v>103</v>
      </c>
      <c r="K43" s="612">
        <v>3</v>
      </c>
      <c r="L43" s="1142"/>
      <c r="M43" s="1133"/>
      <c r="N43" s="1133"/>
      <c r="O43" s="1133"/>
      <c r="P43" s="3256"/>
      <c r="Q43" s="1812" t="str">
        <f t="shared" si="11"/>
        <v>内部装修维护情况</v>
      </c>
      <c r="R43" s="773" t="s">
        <v>17</v>
      </c>
      <c r="S43" s="774">
        <f t="shared" si="12"/>
        <v>103</v>
      </c>
      <c r="T43" s="773" t="s">
        <v>17</v>
      </c>
      <c r="U43" s="774">
        <f t="shared" si="13"/>
        <v>103</v>
      </c>
      <c r="V43" s="773" t="s">
        <v>17</v>
      </c>
      <c r="W43" s="774">
        <f t="shared" si="14"/>
        <v>103</v>
      </c>
      <c r="X43" s="1815"/>
      <c r="Y43" s="3258"/>
      <c r="Z43" s="1816" t="str">
        <f t="shared" si="15"/>
        <v>内部装修维护情况</v>
      </c>
      <c r="AA43" s="1813">
        <f t="shared" si="3"/>
        <v>0.970873786407767</v>
      </c>
      <c r="AB43" s="1813">
        <f t="shared" si="4"/>
        <v>0.970873786407767</v>
      </c>
      <c r="AC43" s="1813">
        <f t="shared" si="5"/>
        <v>0.970873786407767</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6"/>
      <c r="Q44" s="1797">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6"/>
      <c r="Q45" s="1812">
        <f t="shared" si="11"/>
        <v>111</v>
      </c>
      <c r="R45" s="773" t="s">
        <v>17</v>
      </c>
      <c r="S45" s="774">
        <f t="shared" si="12"/>
        <v>100</v>
      </c>
      <c r="T45" s="773" t="s">
        <v>17</v>
      </c>
      <c r="U45" s="774">
        <f t="shared" si="13"/>
        <v>100</v>
      </c>
      <c r="V45" s="773" t="s">
        <v>17</v>
      </c>
      <c r="W45" s="774">
        <f t="shared" si="14"/>
        <v>100</v>
      </c>
      <c r="X45" s="1815"/>
      <c r="Y45" s="3258"/>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7"/>
      <c r="Q46" s="1812">
        <f t="shared" si="11"/>
        <v>111</v>
      </c>
      <c r="R46" s="773" t="s">
        <v>17</v>
      </c>
      <c r="S46" s="774">
        <f t="shared" si="12"/>
        <v>100</v>
      </c>
      <c r="T46" s="773" t="s">
        <v>17</v>
      </c>
      <c r="U46" s="774">
        <f t="shared" si="13"/>
        <v>100</v>
      </c>
      <c r="V46" s="773" t="s">
        <v>17</v>
      </c>
      <c r="W46" s="774">
        <f t="shared" si="14"/>
        <v>100</v>
      </c>
      <c r="X46" s="1815"/>
      <c r="Y46" s="3259"/>
      <c r="Z46" s="1816">
        <f t="shared" si="15"/>
        <v>111</v>
      </c>
      <c r="AA46" s="1813">
        <f t="shared" si="3"/>
        <v>1</v>
      </c>
      <c r="AB46" s="1813">
        <f t="shared" si="4"/>
        <v>1</v>
      </c>
      <c r="AC46" s="1813">
        <f t="shared" si="5"/>
        <v>1</v>
      </c>
    </row>
    <row r="47" spans="1:29" ht="15">
      <c r="A47" s="479" t="s">
        <v>2575</v>
      </c>
      <c r="B47" s="480"/>
      <c r="C47" s="1409" t="s">
        <v>1</v>
      </c>
      <c r="D47" s="1410"/>
      <c r="E47" s="1411">
        <f>ROUND(35000*0.95,0)</f>
        <v>33250</v>
      </c>
      <c r="F47" s="1412"/>
      <c r="G47" s="1413">
        <v>32419</v>
      </c>
      <c r="H47" s="1414"/>
      <c r="I47" s="1411">
        <f>ROUND(35000*0.98,0)</f>
        <v>34300</v>
      </c>
      <c r="J47" s="1414"/>
      <c r="K47" s="782"/>
      <c r="L47" s="1145"/>
      <c r="M47" s="1146"/>
      <c r="N47" s="1133"/>
      <c r="O47" s="1146"/>
      <c r="P47" s="3260" t="str">
        <f>A47</f>
        <v>成交单价（元/平方米）</v>
      </c>
      <c r="Q47" s="3260"/>
      <c r="R47" s="3221">
        <f>E47</f>
        <v>33250</v>
      </c>
      <c r="S47" s="3221"/>
      <c r="T47" s="3221">
        <f>G47</f>
        <v>32419</v>
      </c>
      <c r="U47" s="3221"/>
      <c r="V47" s="3221">
        <f>I47</f>
        <v>34300</v>
      </c>
      <c r="W47" s="3221"/>
      <c r="X47" s="758"/>
      <c r="Y47" s="780"/>
      <c r="Z47" s="758"/>
      <c r="AA47" s="758"/>
      <c r="AB47" s="758"/>
      <c r="AC47" s="758"/>
    </row>
    <row r="48" spans="1:29" ht="15.75" thickBot="1">
      <c r="A48" s="486" t="s">
        <v>2667</v>
      </c>
      <c r="B48" s="487"/>
      <c r="C48" s="1415">
        <f>R49</f>
        <v>31819</v>
      </c>
      <c r="D48" s="1416"/>
      <c r="E48" s="1417">
        <f>R48</f>
        <v>32282</v>
      </c>
      <c r="F48" s="1417"/>
      <c r="G48" s="1415">
        <f>T48</f>
        <v>31163</v>
      </c>
      <c r="H48" s="1416"/>
      <c r="I48" s="1417">
        <f>V48</f>
        <v>32011</v>
      </c>
      <c r="J48" s="1416"/>
      <c r="K48" s="783"/>
      <c r="L48" s="1145"/>
      <c r="M48" s="1146"/>
      <c r="N48" s="1133"/>
      <c r="O48" s="1146"/>
      <c r="P48" s="3260" t="str">
        <f>A48</f>
        <v>比较价值（元/平方米）</v>
      </c>
      <c r="Q48" s="3260"/>
      <c r="R48" s="3261">
        <f>IF(F1="售价",ROUND(PRODUCT(R47,AA7:AA46),0),ROUND(PRODUCT(R47,AA7:AA46),1))</f>
        <v>32282</v>
      </c>
      <c r="S48" s="3261"/>
      <c r="T48" s="3261">
        <f>IF(F1="售价",ROUND(PRODUCT(T47,AB7:AB46),0),ROUND(PRODUCT(T47,AB7:AB46),1))</f>
        <v>31163</v>
      </c>
      <c r="U48" s="3261"/>
      <c r="V48" s="3261">
        <f>IF(F1="售价",ROUND(PRODUCT(V47,AC7:AC46),0),ROUND(PRODUCT(V47,AC7:AC46),1))</f>
        <v>32011</v>
      </c>
      <c r="W48" s="3261"/>
      <c r="X48" s="758"/>
      <c r="Y48" s="758"/>
      <c r="Z48" s="758"/>
      <c r="AA48" s="758"/>
      <c r="AB48" s="758"/>
      <c r="AC48" s="758"/>
    </row>
    <row r="49" spans="1:29" ht="15.75" thickBot="1">
      <c r="A49" s="492" t="s">
        <v>2668</v>
      </c>
      <c r="B49" s="493"/>
      <c r="C49" s="1419">
        <f>R49</f>
        <v>31819</v>
      </c>
      <c r="D49" s="1419"/>
      <c r="E49" s="1419"/>
      <c r="F49" s="1419"/>
      <c r="G49" s="1419"/>
      <c r="H49" s="1419"/>
      <c r="I49" s="1419"/>
      <c r="J49" s="1419"/>
      <c r="K49" s="784"/>
      <c r="L49" s="1145"/>
      <c r="M49" s="1146"/>
      <c r="N49" s="1133"/>
      <c r="O49" s="1146"/>
      <c r="P49" s="3262" t="str">
        <f>A49</f>
        <v>估价对象XX用房的比较价值（楼面单价，元/平方米）</v>
      </c>
      <c r="Q49" s="3263"/>
      <c r="R49" s="3264">
        <f>IF(F1="售价",ROUND(AVERAGE(R48:V48),0),ROUND(AVERAGE(R48:V48),1))</f>
        <v>31819</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2.9985750573074732E-2</v>
      </c>
      <c r="F52" s="500" t="str">
        <f>IF(OR(E52&gt;=0.3,E52&lt;=-0.3),"超过30%","")</f>
        <v/>
      </c>
      <c r="G52" s="499">
        <f>IF(G47&lt;G48,G48/G47-1,G47/G48-1)</f>
        <v>4.0304206912043172E-2</v>
      </c>
      <c r="H52" s="500" t="str">
        <f>IF(OR(G52&gt;=0.3,G52&lt;=-0.3),"超过30%","")</f>
        <v/>
      </c>
      <c r="I52" s="499">
        <f>IF(I47&lt;I48,I48/I47-1,I47/I48-1)</f>
        <v>7.1506669582330984E-2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3.5907967782305983E-2</v>
      </c>
      <c r="F53" s="500" t="str">
        <f>IF(OR(E53&gt;=0.2,E53&lt;=-0.2),"超过20%","")</f>
        <v/>
      </c>
      <c r="G53" s="499">
        <f>IF(G48&lt;I48,I48/G48-1,G48/I48-1)</f>
        <v>2.7211757532971781E-2</v>
      </c>
      <c r="H53" s="500" t="str">
        <f>IF(OR(G53&gt;=0.2,G53&lt;=-0.2),"超过20%","")</f>
        <v/>
      </c>
      <c r="I53" s="499">
        <f>IF(I48&lt;E48,E48/I48-1,I48/E48-1)</f>
        <v>8.4658398675454549E-3</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2.5633116382368426E-2</v>
      </c>
      <c r="F54" s="500" t="str">
        <f>IF(OR(E54&gt;=0.3,E54&lt;=-0.3),"超过30%","")</f>
        <v/>
      </c>
      <c r="G54" s="499">
        <f>IF(G47&lt;I47,I47/G47-1,G47/I47-1)</f>
        <v>5.8021530583916903E-2</v>
      </c>
      <c r="H54" s="500" t="str">
        <f>IF(OR(G54&gt;=0.3,G54&lt;=-0.3),"超过30%","")</f>
        <v/>
      </c>
      <c r="I54" s="499">
        <f>IF(I47&lt;E47,E47/I47-1,I47/E47-1)</f>
        <v>3.1578947368421151E-2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3083</v>
      </c>
      <c r="D86" s="2948" t="s">
        <v>3084</v>
      </c>
      <c r="E86" s="2948" t="s">
        <v>3086</v>
      </c>
      <c r="F86" s="2948" t="s">
        <v>3087</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3088</v>
      </c>
      <c r="D88" s="2948" t="s">
        <v>3089</v>
      </c>
      <c r="E88" s="2948" t="s">
        <v>3090</v>
      </c>
      <c r="F88" s="2949" t="s">
        <v>3091</v>
      </c>
      <c r="G88" s="2948" t="s">
        <v>3092</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3088</v>
      </c>
      <c r="D90" s="2948" t="s">
        <v>3089</v>
      </c>
      <c r="E90" s="2948" t="s">
        <v>3090</v>
      </c>
      <c r="F90" s="2949" t="s">
        <v>3091</v>
      </c>
      <c r="G90" s="2948" t="s">
        <v>3092</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3093</v>
      </c>
      <c r="D92" s="554" t="s">
        <v>3095</v>
      </c>
      <c r="E92" s="554" t="s">
        <v>3094</v>
      </c>
      <c r="F92" s="554" t="s">
        <v>3096</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3097</v>
      </c>
      <c r="D100" s="2950" t="s">
        <v>3098</v>
      </c>
      <c r="E100" s="2950" t="s">
        <v>3099</v>
      </c>
      <c r="F100" s="2950" t="s">
        <v>3101</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3102</v>
      </c>
      <c r="D105" s="2948" t="s">
        <v>3103</v>
      </c>
      <c r="E105" s="2951" t="s">
        <v>3104</v>
      </c>
      <c r="F105" s="2951" t="s">
        <v>3105</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3107</v>
      </c>
      <c r="D107" s="2948" t="s">
        <v>3109</v>
      </c>
      <c r="E107" s="2948" t="s">
        <v>3111</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3116</v>
      </c>
      <c r="D112" s="2948" t="s">
        <v>3112</v>
      </c>
      <c r="E112" s="2948" t="s">
        <v>3113</v>
      </c>
      <c r="F112" s="2948" t="s">
        <v>3114</v>
      </c>
      <c r="G112" s="2948" t="s">
        <v>3115</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3117</v>
      </c>
      <c r="D114" s="2948" t="s">
        <v>3118</v>
      </c>
      <c r="E114" s="2951" t="s">
        <v>3120</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3122</v>
      </c>
      <c r="D116" s="2948" t="s">
        <v>3123</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195.21</v>
      </c>
      <c r="D118" s="626">
        <v>105</v>
      </c>
      <c r="E118" s="626">
        <v>62</v>
      </c>
      <c r="F118" s="626">
        <v>65</v>
      </c>
      <c r="G118" s="626"/>
      <c r="H118" s="555"/>
      <c r="I118" s="555"/>
      <c r="J118" s="555"/>
      <c r="K118" s="555"/>
      <c r="L118" s="556"/>
      <c r="M118" s="557"/>
      <c r="N118" s="1154"/>
      <c r="O118" s="1154"/>
      <c r="P118" s="2630"/>
      <c r="Q118" s="504"/>
    </row>
    <row r="119" spans="1:17" ht="15.75" thickBot="1">
      <c r="A119" s="534"/>
      <c r="B119" s="543"/>
      <c r="C119" s="560">
        <v>100</v>
      </c>
      <c r="D119" s="536">
        <v>100</v>
      </c>
      <c r="E119" s="536">
        <v>101</v>
      </c>
      <c r="F119" s="3027">
        <v>101</v>
      </c>
      <c r="G119" s="536"/>
      <c r="H119" s="536"/>
      <c r="I119" s="536"/>
      <c r="J119" s="536"/>
      <c r="K119" s="536"/>
      <c r="L119" s="536"/>
      <c r="M119" s="537"/>
      <c r="N119" s="1155"/>
      <c r="O119" s="1155"/>
      <c r="P119" s="2630"/>
      <c r="Q119" s="504"/>
    </row>
    <row r="120" spans="1:17" s="471" customFormat="1" ht="15" thickTop="1">
      <c r="A120" s="593"/>
      <c r="B120" s="538" t="s">
        <v>2683</v>
      </c>
      <c r="C120" s="2948" t="s">
        <v>3088</v>
      </c>
      <c r="D120" s="2948" t="s">
        <v>3089</v>
      </c>
      <c r="E120" s="2948" t="s">
        <v>3090</v>
      </c>
      <c r="F120" s="2949" t="s">
        <v>3091</v>
      </c>
      <c r="G120" s="2948" t="s">
        <v>3092</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3107</v>
      </c>
      <c r="D122" s="2948" t="s">
        <v>3109</v>
      </c>
      <c r="E122" s="2948" t="s">
        <v>3111</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C10" sqref="C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3068</v>
      </c>
      <c r="D1" s="1822" t="s">
        <v>70</v>
      </c>
      <c r="E1" s="1823" t="s">
        <v>1387</v>
      </c>
      <c r="F1" s="1285">
        <f ca="1">J53</f>
        <v>31.56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549</v>
      </c>
      <c r="C2" s="1847" t="s">
        <v>1516</v>
      </c>
      <c r="D2" s="1847"/>
      <c r="E2" s="1848"/>
      <c r="F2" s="1849"/>
      <c r="G2" s="1850"/>
      <c r="H2" s="1842"/>
      <c r="I2" s="1842"/>
      <c r="J2" s="1842"/>
      <c r="K2" s="1843"/>
      <c r="L2" s="1842"/>
      <c r="M2" s="1842"/>
    </row>
    <row r="3" spans="1:37" ht="18" customHeight="1" thickBot="1">
      <c r="A3" s="1851" t="s">
        <v>1517</v>
      </c>
      <c r="B3" s="1852">
        <f ca="1">IF(ISERROR(B2*10000/F43),0,ROUND(B2*10000/F43,0))</f>
        <v>28124</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31</v>
      </c>
      <c r="D5" s="1824" t="s">
        <v>1402</v>
      </c>
      <c r="E5" s="1295"/>
      <c r="F5" s="1296"/>
      <c r="G5" s="1853"/>
      <c r="H5" s="344">
        <v>1</v>
      </c>
      <c r="I5" s="345" t="s">
        <v>1401</v>
      </c>
      <c r="J5" s="1294">
        <f ca="1">J6+J10+J12</f>
        <v>0</v>
      </c>
      <c r="K5" s="1824" t="s">
        <v>1402</v>
      </c>
      <c r="L5" s="1295"/>
      <c r="M5" s="1296"/>
    </row>
    <row r="6" spans="1:37" ht="18" customHeight="1">
      <c r="A6" s="1293" t="s">
        <v>1035</v>
      </c>
      <c r="B6" s="3267" t="s">
        <v>1403</v>
      </c>
      <c r="C6" s="1298">
        <f ca="1">ROUND(F6*F8*F7*(1-F9)/10000,0)</f>
        <v>31</v>
      </c>
      <c r="D6" s="164" t="s">
        <v>3030</v>
      </c>
      <c r="E6" s="347" t="s">
        <v>1405</v>
      </c>
      <c r="F6" s="348">
        <f ca="1">INDIRECT("'数据-取费表'!u"&amp;$G$1)</f>
        <v>5.5</v>
      </c>
      <c r="G6" s="1853"/>
      <c r="H6" s="1293" t="s">
        <v>1035</v>
      </c>
      <c r="I6" s="3267" t="s">
        <v>1403</v>
      </c>
      <c r="J6" s="346">
        <f ca="1">ROUND(M6*M8*M7*(1-M9)/10000,0)</f>
        <v>0</v>
      </c>
      <c r="K6" s="164" t="s">
        <v>3029</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195.21</v>
      </c>
      <c r="G7" s="1853"/>
      <c r="H7" s="349"/>
      <c r="I7" s="3268"/>
      <c r="J7" s="351"/>
      <c r="K7" s="352"/>
      <c r="L7" s="347" t="s">
        <v>1406</v>
      </c>
      <c r="M7" s="348">
        <f ca="1">F7</f>
        <v>195.21</v>
      </c>
    </row>
    <row r="8" spans="1:37" ht="18" customHeight="1">
      <c r="A8" s="349"/>
      <c r="B8" s="3268"/>
      <c r="C8" s="351"/>
      <c r="D8" s="352"/>
      <c r="E8" s="347" t="s">
        <v>1407</v>
      </c>
      <c r="F8" s="348">
        <f ca="1">INDIRECT("'数据-取费表'!ai"&amp;$G$1)</f>
        <v>365</v>
      </c>
      <c r="G8" s="1853"/>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0.2</v>
      </c>
      <c r="G9" s="1853"/>
      <c r="H9" s="349"/>
      <c r="I9" s="3269"/>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3039</v>
      </c>
      <c r="E10" s="358" t="s">
        <v>1410</v>
      </c>
      <c r="F10" s="1368" t="s">
        <v>3223</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92</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59</v>
      </c>
      <c r="D14" s="1802" t="s">
        <v>1418</v>
      </c>
      <c r="E14" s="1796"/>
      <c r="F14" s="364"/>
      <c r="G14" s="1853"/>
      <c r="H14" s="1203" t="s">
        <v>1035</v>
      </c>
      <c r="I14" s="347" t="s">
        <v>1419</v>
      </c>
      <c r="J14" s="24">
        <f ca="1">C29</f>
        <v>97</v>
      </c>
      <c r="K14" s="15"/>
      <c r="L14" s="981"/>
      <c r="M14" s="982"/>
    </row>
    <row r="15" spans="1:37" s="1860" customFormat="1" ht="18" customHeight="1" thickBot="1">
      <c r="A15" s="1203" t="s">
        <v>1036</v>
      </c>
      <c r="B15" s="347" t="s">
        <v>1420</v>
      </c>
      <c r="C15" s="24">
        <f ca="1">ROUND(C14*F15,0)</f>
        <v>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v>
      </c>
      <c r="K16" s="1339" t="s">
        <v>1425</v>
      </c>
      <c r="L16" s="1340"/>
      <c r="M16" s="1296"/>
    </row>
    <row r="17" spans="1:37" s="1860" customFormat="1" ht="18" customHeight="1">
      <c r="A17" s="1203" t="s">
        <v>1390</v>
      </c>
      <c r="B17" s="347" t="s">
        <v>1426</v>
      </c>
      <c r="C17" s="24">
        <f ca="1">ROUND(F17*(F43+INDIRECT("'数据-取费表'!S"&amp;$G$1))/10000,0)</f>
        <v>4</v>
      </c>
      <c r="D17" s="347" t="s">
        <v>1427</v>
      </c>
      <c r="E17" s="347" t="s">
        <v>1428</v>
      </c>
      <c r="F17" s="26">
        <f>'数据-取费表'!B35</f>
        <v>200</v>
      </c>
      <c r="G17" s="1856"/>
      <c r="H17" s="1203" t="s">
        <v>1035</v>
      </c>
      <c r="I17" s="347" t="s">
        <v>1429</v>
      </c>
      <c r="J17" s="24">
        <f ca="1">ROUND(IF(项目基本情况!B11="自然人",J5*M17,J18+J19+J20),1)</f>
        <v>0.9</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66</v>
      </c>
      <c r="D19" s="140" t="s">
        <v>1436</v>
      </c>
      <c r="E19" s="1820"/>
      <c r="F19" s="26"/>
      <c r="G19" s="1853"/>
      <c r="H19" s="1203" t="s">
        <v>1036</v>
      </c>
      <c r="I19" s="347" t="s">
        <v>1437</v>
      </c>
      <c r="J19" s="24">
        <f ca="1">IF(K19="按租金收入计税",ROUND(J5*M19,2),ROUND(C29*M19*0.7,2))</f>
        <v>0.81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0.09</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55.77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1.5</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v>
      </c>
      <c r="K25" s="1347" t="s">
        <v>1464</v>
      </c>
      <c r="L25" s="1348"/>
      <c r="M25" s="1349"/>
    </row>
    <row r="26" spans="1:37">
      <c r="A26" s="1203" t="s">
        <v>1034</v>
      </c>
      <c r="B26" s="347" t="s">
        <v>1465</v>
      </c>
      <c r="C26" s="24">
        <f ca="1">ROUND((C19+C20)*F26,0)</f>
        <v>17</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97</v>
      </c>
      <c r="D29" s="1344"/>
      <c r="E29" s="1342"/>
      <c r="F29" s="1345"/>
      <c r="G29" s="1856"/>
      <c r="H29" s="380" t="s">
        <v>1033</v>
      </c>
      <c r="I29" s="381" t="s">
        <v>1479</v>
      </c>
      <c r="J29" s="382">
        <f ca="1">ROUND(J26/(1+F40)^F41,0)</f>
        <v>0</v>
      </c>
      <c r="K29" s="383" t="s">
        <v>1480</v>
      </c>
      <c r="L29" s="384"/>
      <c r="M29" s="385">
        <f ca="1">INDIRECT("'数据-取费表'!k"&amp;$G$1)</f>
        <v>195.21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7</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5.5</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1.65</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3.72</v>
      </c>
      <c r="D33" s="2959" t="s">
        <v>3133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0.09</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55.77</v>
      </c>
      <c r="G35" s="1853"/>
      <c r="H35" s="744"/>
      <c r="I35" s="1862"/>
      <c r="J35" s="1863"/>
      <c r="K35" s="1864"/>
      <c r="L35" s="1861"/>
      <c r="M35" s="1861"/>
    </row>
    <row r="36" spans="1:18" ht="18" customHeight="1">
      <c r="A36" s="1354" t="s">
        <v>1039</v>
      </c>
      <c r="B36" s="347" t="s">
        <v>1449</v>
      </c>
      <c r="C36" s="24">
        <f ca="1">ROUND(C29*F36,1)</f>
        <v>1.5</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0.3</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24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546</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31.56</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27970</v>
      </c>
      <c r="D43" s="383" t="s">
        <v>1488</v>
      </c>
      <c r="E43" s="384" t="s">
        <v>1489</v>
      </c>
      <c r="F43" s="385">
        <f ca="1">INDIRECT("'数据-取费表'!k"&amp;$G$1)</f>
        <v>195.21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-703</v>
      </c>
      <c r="D46" s="1874" t="str">
        <f>C2</f>
        <v>万元</v>
      </c>
      <c r="E46" s="1868"/>
      <c r="F46" s="1868"/>
      <c r="I46" s="2976" t="s">
        <v>1521</v>
      </c>
      <c r="J46" s="2977"/>
      <c r="K46" s="2978"/>
      <c r="L46" s="2979">
        <f ca="1">IF(M47="住宅",0,IF(L48&gt;J51,L60,J60))</f>
        <v>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80" t="s">
        <v>1526</v>
      </c>
      <c r="J47" s="2783" t="s">
        <v>3073</v>
      </c>
      <c r="K47" s="2981" t="s">
        <v>1527</v>
      </c>
      <c r="L47" s="2982">
        <f ca="1">INDIRECT("'数据-取费表'!d"&amp;$G$1)</f>
        <v>40</v>
      </c>
      <c r="M47" s="1840" t="str">
        <f>IF(ISNUMBER(FIND("住宅",C1)),"住宅","非住宅")</f>
        <v>非住宅</v>
      </c>
      <c r="O47" s="1886" t="s">
        <v>1040</v>
      </c>
      <c r="P47" s="1887" t="s">
        <v>1528</v>
      </c>
      <c r="Q47" s="1888">
        <f ca="1">C40+J29</f>
        <v>546</v>
      </c>
      <c r="R47" s="1888" t="s">
        <v>1529</v>
      </c>
    </row>
    <row r="48" spans="1:18" s="1844" customFormat="1" ht="28.5" thickBot="1">
      <c r="A48" s="1362" t="s">
        <v>1135</v>
      </c>
      <c r="B48" s="345" t="s">
        <v>1401</v>
      </c>
      <c r="C48" s="1819">
        <f ca="1">C49+C53+C55</f>
        <v>0</v>
      </c>
      <c r="D48" s="1364"/>
      <c r="E48" s="1365"/>
      <c r="F48" s="1183"/>
      <c r="G48" s="791"/>
      <c r="H48" s="792"/>
      <c r="I48" s="1924" t="s">
        <v>1530</v>
      </c>
      <c r="J48" s="2983" t="s">
        <v>3074</v>
      </c>
      <c r="K48" s="2984" t="s">
        <v>1531</v>
      </c>
      <c r="L48" s="818">
        <f ca="1">INDIRECT("'数据-取费表'!f"&amp;$G$1)</f>
        <v>31.56</v>
      </c>
      <c r="O48" s="1886" t="s">
        <v>1041</v>
      </c>
      <c r="P48" s="1887" t="s">
        <v>1532</v>
      </c>
      <c r="Q48" s="1888">
        <f ca="1">J60</f>
        <v>3</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2985">
        <v>2015</v>
      </c>
      <c r="K49" s="2984" t="s">
        <v>1535</v>
      </c>
      <c r="L49" s="2767"/>
      <c r="O49" s="1896" t="s">
        <v>1042</v>
      </c>
      <c r="P49" s="1887" t="s">
        <v>1536</v>
      </c>
      <c r="Q49" s="1888">
        <f ca="1">C29</f>
        <v>97</v>
      </c>
      <c r="R49" s="1888" t="s">
        <v>1529</v>
      </c>
    </row>
    <row r="50" spans="1:18" s="1844" customFormat="1" ht="13.5" thickBot="1">
      <c r="A50" s="1197"/>
      <c r="B50" s="1200"/>
      <c r="C50" s="1370"/>
      <c r="D50" s="1174"/>
      <c r="E50" s="1279" t="s">
        <v>1406</v>
      </c>
      <c r="F50" s="1280">
        <f ca="1">F7</f>
        <v>195.21</v>
      </c>
      <c r="H50" s="792"/>
      <c r="I50" s="1924" t="s">
        <v>1537</v>
      </c>
      <c r="J50" s="2986">
        <f>SUMPRODUCT((I63:I65=J47)*(J62:L62=J48)*(J63:L65))</f>
        <v>60</v>
      </c>
      <c r="K50" s="2984" t="s">
        <v>1538</v>
      </c>
      <c r="L50" s="2767"/>
      <c r="M50" s="1898"/>
      <c r="O50" s="1896" t="s">
        <v>1043</v>
      </c>
      <c r="P50" s="1887" t="s">
        <v>1539</v>
      </c>
      <c r="Q50" s="1899">
        <f ca="1">J58</f>
        <v>0.42399999999999999</v>
      </c>
      <c r="R50" s="1888"/>
    </row>
    <row r="51" spans="1:18" s="1844" customFormat="1" ht="13.5" thickBot="1">
      <c r="A51" s="1198"/>
      <c r="B51" s="1200"/>
      <c r="C51" s="1201"/>
      <c r="D51" s="1174"/>
      <c r="E51" s="1202" t="s">
        <v>1407</v>
      </c>
      <c r="F51" s="348">
        <f ca="1">F8</f>
        <v>365</v>
      </c>
      <c r="I51" s="2987" t="s">
        <v>1540</v>
      </c>
      <c r="J51" s="2988">
        <f>IF(J49="",J50,J49+J50-YEAR('数据-取费表'!B2))</f>
        <v>57</v>
      </c>
      <c r="K51" s="2989" t="s">
        <v>1541</v>
      </c>
      <c r="L51" s="2990">
        <f ca="1">ROUND(-PV(INDIRECT("'数据-取费表'!h"&amp;$G$1),L48,(C39-C13*C76),0),0)</f>
        <v>270</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91">
        <v>0.09</v>
      </c>
      <c r="K52" s="2869" t="s">
        <v>1544</v>
      </c>
      <c r="L52" s="2991"/>
      <c r="O52" s="1896" t="s">
        <v>1045</v>
      </c>
      <c r="P52" s="1887" t="s">
        <v>1545</v>
      </c>
      <c r="Q52" s="1888">
        <f ca="1">J53</f>
        <v>31.56</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2992">
        <f ca="1">IF(M47="住宅",J51,IF(D1="——",MIN(J51,L48),IF(D1="在建（套用方法）",MIN(J51,L48-'数据-取费表'!B24),IF(D1="土地（套用方法）",MIN(J51,L48-'数据-取费表'!B20)))))</f>
        <v>31.56</v>
      </c>
      <c r="K53" s="3265" t="s">
        <v>1548</v>
      </c>
      <c r="L53" s="3266"/>
      <c r="O53" s="1886" t="s">
        <v>1046</v>
      </c>
      <c r="P53" s="1887" t="s">
        <v>1549</v>
      </c>
      <c r="Q53" s="1888">
        <f ca="1">Q47+Q48</f>
        <v>549</v>
      </c>
      <c r="R53" s="1888" t="s">
        <v>1047</v>
      </c>
    </row>
    <row r="54" spans="1:18" s="1844" customFormat="1" ht="51.75" thickBot="1">
      <c r="A54" s="1408"/>
      <c r="B54" s="1827" t="s">
        <v>1388</v>
      </c>
      <c r="C54" s="1180"/>
      <c r="D54" s="1826"/>
      <c r="E54" s="1834"/>
      <c r="F54" s="1909"/>
      <c r="I54" s="2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94">
        <f ca="1">ROUND(IF(J47="钢混",J57/J50,1-(1-2%)*(J50-J57)/J50),3)</f>
        <v>0.42399999999999999</v>
      </c>
      <c r="K55" s="2995" t="s">
        <v>1552</v>
      </c>
      <c r="L55" s="2996" t="s">
        <v>3075</v>
      </c>
      <c r="O55" s="1879" t="s">
        <v>1522</v>
      </c>
      <c r="P55" s="1880" t="s">
        <v>1523</v>
      </c>
      <c r="Q55" s="1881" t="s">
        <v>1524</v>
      </c>
      <c r="R55" s="1881" t="s">
        <v>1525</v>
      </c>
    </row>
    <row r="56" spans="1:18" s="1844" customFormat="1" ht="25.5" thickTop="1" thickBot="1">
      <c r="A56" s="1178">
        <v>2</v>
      </c>
      <c r="B56" s="1179" t="s">
        <v>1414</v>
      </c>
      <c r="C56" s="276">
        <f ca="1">C13</f>
        <v>92</v>
      </c>
      <c r="D56" s="1916"/>
      <c r="E56" s="1917"/>
      <c r="F56" s="1909"/>
      <c r="I56" s="1918" t="s">
        <v>1553</v>
      </c>
      <c r="J56" s="2997" t="s">
        <v>3051</v>
      </c>
      <c r="K56" s="1924" t="s">
        <v>1554</v>
      </c>
      <c r="L56" s="818" t="str">
        <f ca="1">IF(L48&lt;J51,"——",L48-J53)</f>
        <v>——</v>
      </c>
      <c r="O56" s="1886" t="s">
        <v>1040</v>
      </c>
      <c r="P56" s="1887" t="s">
        <v>1528</v>
      </c>
      <c r="Q56" s="1888">
        <f ca="1">C40+J29</f>
        <v>546</v>
      </c>
      <c r="R56" s="1888" t="s">
        <v>1529</v>
      </c>
    </row>
    <row r="57" spans="1:18" s="1844" customFormat="1" ht="24.75" thickBot="1">
      <c r="A57" s="1920"/>
      <c r="B57" s="1171" t="s">
        <v>1478</v>
      </c>
      <c r="C57" s="282">
        <f ca="1">C29</f>
        <v>97</v>
      </c>
      <c r="D57" s="1921"/>
      <c r="E57" s="1922"/>
      <c r="F57" s="1923"/>
      <c r="I57" s="1924" t="s">
        <v>1555</v>
      </c>
      <c r="J57" s="235">
        <f ca="1">IF(OR(M47="住宅",J51&lt;L48,J56="是"),"——",J51-L48)</f>
        <v>25.44</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10</v>
      </c>
      <c r="D58" s="1181" t="s">
        <v>1425</v>
      </c>
      <c r="E58" s="1182"/>
      <c r="F58" s="1183"/>
      <c r="I58" s="1924" t="s">
        <v>1559</v>
      </c>
      <c r="J58" s="2998">
        <f ca="1">IF(J55&lt;0.4,0.4,J55)</f>
        <v>0.42399999999999999</v>
      </c>
      <c r="K58" s="2989"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8.1999999999999993</v>
      </c>
      <c r="D59" s="1184" t="s">
        <v>1430</v>
      </c>
      <c r="E59" s="1185" t="s">
        <v>1431</v>
      </c>
      <c r="F59" s="368" t="str">
        <f ca="1">IF(项目基本情况!B11="企业","",IF(INDIRECT("'数据-取费表'!c"&amp;$G$1)="住宅",5%,IF(F49*F50*F51/12/(1+'数据-取费表'!C42)&gt;20000,12%,7%)))</f>
        <v/>
      </c>
      <c r="I59" s="1924" t="s">
        <v>1562</v>
      </c>
      <c r="J59" s="235">
        <f ca="1">IF(OR(M47="住宅",J51&lt;L48,J56="是"),"——",ROUND(C29*J58,0))</f>
        <v>41</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9" t="s">
        <v>1564</v>
      </c>
      <c r="J60" s="3000">
        <f ca="1">IF(OR(M47="住宅",J51&lt;L48,J56="是"),"0",ROUND(J59/(1+J52)^J53,0))</f>
        <v>3</v>
      </c>
      <c r="K60" s="3001" t="s">
        <v>1565</v>
      </c>
      <c r="L60" s="3000">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8.15</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0.09</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546</v>
      </c>
      <c r="R62" s="1888" t="s">
        <v>1047</v>
      </c>
    </row>
    <row r="63" spans="1:18" s="1844" customFormat="1" ht="13.5" thickBot="1">
      <c r="A63" s="372"/>
      <c r="B63" s="1177"/>
      <c r="C63" s="29"/>
      <c r="D63" s="1187"/>
      <c r="E63" s="1171" t="s">
        <v>1499</v>
      </c>
      <c r="F63" s="348">
        <f t="shared" ca="1" si="0"/>
        <v>55.77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1.5</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546</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-10</v>
      </c>
      <c r="D67" s="1184" t="s">
        <v>1464</v>
      </c>
      <c r="E67" s="1189"/>
      <c r="F67" s="1190"/>
      <c r="O67" s="1896" t="s">
        <v>1042</v>
      </c>
      <c r="P67" s="1887" t="s">
        <v>1561</v>
      </c>
      <c r="Q67" s="1935">
        <f ca="1">L51</f>
        <v>270</v>
      </c>
      <c r="R67" s="1888" t="s">
        <v>1581</v>
      </c>
    </row>
    <row r="68" spans="1:18" s="1844" customFormat="1" ht="16.5" thickBot="1">
      <c r="A68" s="1168" t="s">
        <v>1032</v>
      </c>
      <c r="B68" s="1169" t="s">
        <v>1485</v>
      </c>
      <c r="C68" s="346">
        <f ca="1">ROUND(C67*(1-((1+F70)/(1+F68))^F69)/(F68-F70),0)</f>
        <v>-157</v>
      </c>
      <c r="D68" s="1186" t="s">
        <v>1469</v>
      </c>
      <c r="E68" s="1171" t="s">
        <v>1470</v>
      </c>
      <c r="F68" s="357">
        <f ca="1">F40</f>
        <v>0.05</v>
      </c>
      <c r="O68" s="1896" t="s">
        <v>1043</v>
      </c>
      <c r="P68" s="1936" t="s">
        <v>1582</v>
      </c>
      <c r="Q68" s="1888">
        <f ca="1">ROUND(Q69-Q70*Q71,0)</f>
        <v>16</v>
      </c>
      <c r="R68" s="1888" t="s">
        <v>1051</v>
      </c>
    </row>
    <row r="69" spans="1:18" s="1844" customFormat="1" ht="13.5" thickBot="1">
      <c r="A69" s="1172"/>
      <c r="B69" s="1173"/>
      <c r="C69" s="351"/>
      <c r="D69" s="1191" t="s">
        <v>1473</v>
      </c>
      <c r="E69" s="1171" t="s">
        <v>1474</v>
      </c>
      <c r="F69" s="379">
        <f ca="1">F41</f>
        <v>31.56</v>
      </c>
      <c r="O69" s="1896" t="s">
        <v>1048</v>
      </c>
      <c r="P69" s="1936" t="s">
        <v>1583</v>
      </c>
      <c r="Q69" s="1888">
        <f ca="1">C39</f>
        <v>24</v>
      </c>
      <c r="R69" s="1888" t="s">
        <v>1529</v>
      </c>
    </row>
    <row r="70" spans="1:18" s="1844" customFormat="1" ht="13.5" thickBot="1">
      <c r="A70" s="1175"/>
      <c r="B70" s="1176"/>
      <c r="C70" s="355"/>
      <c r="D70" s="1187"/>
      <c r="E70" s="1171" t="s">
        <v>1477</v>
      </c>
      <c r="F70" s="1277"/>
      <c r="O70" s="1896" t="s">
        <v>1049</v>
      </c>
      <c r="P70" s="1936" t="s">
        <v>1584</v>
      </c>
      <c r="Q70" s="1888">
        <f ca="1">C13</f>
        <v>92</v>
      </c>
      <c r="R70" s="1888" t="s">
        <v>1529</v>
      </c>
    </row>
    <row r="71" spans="1:18" s="1844" customFormat="1" ht="13.5" thickBot="1">
      <c r="A71" s="1192" t="s">
        <v>1033</v>
      </c>
      <c r="B71" s="1193" t="s">
        <v>1487</v>
      </c>
      <c r="C71" s="382">
        <f ca="1">ROUND(C68*10000/F71,0)</f>
        <v>-8043</v>
      </c>
      <c r="D71" s="1194" t="s">
        <v>1488</v>
      </c>
      <c r="E71" s="1195" t="s">
        <v>1489</v>
      </c>
      <c r="F71" s="385">
        <f ca="1">F43</f>
        <v>195.21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8</v>
      </c>
      <c r="D75" s="1844"/>
      <c r="E75" s="1844"/>
      <c r="F75" s="1844"/>
      <c r="K75" s="1870"/>
      <c r="L75" s="1844"/>
      <c r="O75" s="1886" t="s">
        <v>1046</v>
      </c>
      <c r="P75" s="1887" t="s">
        <v>1549</v>
      </c>
      <c r="Q75" s="1888">
        <f ca="1">Q65+Q66</f>
        <v>546</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0.83199999999999996</v>
      </c>
    </row>
    <row r="83" spans="2:3">
      <c r="B83" s="317" t="s">
        <v>1514</v>
      </c>
      <c r="C83" s="318">
        <f ca="1">ROUND(C13/C40,3)</f>
        <v>0.16800000000000001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67" t="s">
        <v>1403</v>
      </c>
      <c r="C6" s="1298">
        <f ca="1">ROUND(F6*F8*F7*(1-F9),0)</f>
        <v>0</v>
      </c>
      <c r="D6" s="164" t="s">
        <v>3027</v>
      </c>
      <c r="E6" s="347" t="s">
        <v>1405</v>
      </c>
      <c r="F6" s="348">
        <f ca="1">INDIRECT("'数据-取费表'!u"&amp;$G$1)</f>
        <v>0</v>
      </c>
      <c r="G6" s="1853"/>
      <c r="H6" s="1293" t="s">
        <v>1035</v>
      </c>
      <c r="I6" s="3267" t="s">
        <v>1403</v>
      </c>
      <c r="J6" s="346">
        <f ca="1">ROUND(M6*M8*M7*(1-M9),0)</f>
        <v>0</v>
      </c>
      <c r="K6" s="1836" t="s">
        <v>3028</v>
      </c>
      <c r="L6" s="347" t="s">
        <v>1405</v>
      </c>
      <c r="M6" s="348">
        <f ca="1">INDIRECT("'数据-取费表'!z"&amp;$G$1)</f>
        <v>0</v>
      </c>
    </row>
    <row r="7" spans="1:37" ht="18" customHeight="1">
      <c r="A7" s="1297"/>
      <c r="B7" s="3268"/>
      <c r="C7" s="1299"/>
      <c r="D7" s="352"/>
      <c r="E7" s="1300" t="s">
        <v>1406</v>
      </c>
      <c r="F7" s="348">
        <f ca="1">IF(INDIRECT("'数据-取费表'!ah"&amp;$G$1)="",INDIRECT("'数据-取费表'!k"&amp;$G$1),INDIRECT("'数据-取费表'!ah"&amp;$G$1))</f>
        <v>0</v>
      </c>
      <c r="G7" s="1853"/>
      <c r="H7" s="349"/>
      <c r="I7" s="3268"/>
      <c r="J7" s="351"/>
      <c r="K7" s="352"/>
      <c r="L7" s="347" t="s">
        <v>1406</v>
      </c>
      <c r="M7" s="348">
        <f ca="1">F7</f>
        <v>0</v>
      </c>
    </row>
    <row r="8" spans="1:37" ht="18" customHeight="1">
      <c r="A8" s="349"/>
      <c r="B8" s="3268"/>
      <c r="C8" s="351"/>
      <c r="D8" s="352"/>
      <c r="E8" s="347" t="s">
        <v>1407</v>
      </c>
      <c r="F8" s="348">
        <f ca="1">INDIRECT("'数据-取费表'!ai"&amp;$G$1)</f>
        <v>0</v>
      </c>
      <c r="G8" s="1853"/>
      <c r="H8" s="349"/>
      <c r="I8" s="3268"/>
      <c r="J8" s="351"/>
      <c r="K8" s="352"/>
      <c r="L8" s="347" t="s">
        <v>1407</v>
      </c>
      <c r="M8" s="348">
        <f ca="1">INDIRECT("'数据-取费表'!ai"&amp;$G$1)</f>
        <v>0</v>
      </c>
    </row>
    <row r="9" spans="1:37" ht="18" customHeight="1">
      <c r="A9" s="349"/>
      <c r="B9" s="3269"/>
      <c r="C9" s="351"/>
      <c r="D9" s="352"/>
      <c r="E9" s="347" t="s">
        <v>1408</v>
      </c>
      <c r="F9" s="357">
        <f ca="1">INDIRECT("'数据-取费表'!w"&amp;$G$1)</f>
        <v>0</v>
      </c>
      <c r="G9" s="1853"/>
      <c r="H9" s="349"/>
      <c r="I9" s="326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65" t="s">
        <v>1548</v>
      </c>
      <c r="L53" s="326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549</v>
      </c>
      <c r="C2" s="2566" t="s">
        <v>2517</v>
      </c>
      <c r="D2" s="2567" t="s">
        <v>2518</v>
      </c>
      <c r="E2" s="2568">
        <f>SUM(E6:E13)</f>
        <v>195.21</v>
      </c>
    </row>
    <row r="3" spans="1:6" ht="15.75">
      <c r="A3" s="2564" t="s">
        <v>1395</v>
      </c>
      <c r="B3" s="2565">
        <f ca="1">ROUND(B2*10000/E2,0)</f>
        <v>28124</v>
      </c>
      <c r="C3" s="2566" t="s">
        <v>2525</v>
      </c>
      <c r="D3" s="2569"/>
      <c r="E3" s="2570"/>
    </row>
    <row r="4" spans="1:6" ht="15.75">
      <c r="A4" s="2571"/>
      <c r="B4" s="2569"/>
      <c r="C4" s="2569"/>
      <c r="D4" s="2569"/>
      <c r="E4" s="2570"/>
    </row>
    <row r="5" spans="1:6" ht="15">
      <c r="A5" s="2572" t="s">
        <v>2519</v>
      </c>
      <c r="B5" s="3270" t="s">
        <v>2520</v>
      </c>
      <c r="C5" s="3270"/>
      <c r="D5" s="2573"/>
      <c r="E5" s="2574" t="s">
        <v>2521</v>
      </c>
      <c r="F5" s="2575" t="s">
        <v>2522</v>
      </c>
    </row>
    <row r="6" spans="1:6">
      <c r="A6" s="2576" t="str">
        <f>'数据-取费表'!AN6</f>
        <v>收益法</v>
      </c>
      <c r="B6" s="2575">
        <f ca="1">IF(F6="是",'数据-取费表'!AO6,0)</f>
        <v>549</v>
      </c>
      <c r="C6" s="2566" t="s">
        <v>2517</v>
      </c>
      <c r="D6" s="2569"/>
      <c r="E6" s="2577">
        <f>IF(OR(A6=0,F6="否"),0,'数据-取费表'!K6+'数据-取费表'!S6)</f>
        <v>195.21</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76" t="s">
        <v>1077</v>
      </c>
      <c r="B2" s="3277" t="s">
        <v>1078</v>
      </c>
      <c r="C2" s="3277"/>
      <c r="D2" s="1303" t="s">
        <v>1079</v>
      </c>
      <c r="E2" s="1303" t="s">
        <v>1080</v>
      </c>
      <c r="F2" s="1303" t="s">
        <v>1081</v>
      </c>
      <c r="G2" s="1303" t="s">
        <v>1082</v>
      </c>
      <c r="H2" s="1303" t="s">
        <v>1083</v>
      </c>
      <c r="I2" s="1304" t="s">
        <v>1084</v>
      </c>
    </row>
    <row r="3" spans="1:9">
      <c r="A3" s="3276"/>
      <c r="B3" s="3277" t="s">
        <v>1085</v>
      </c>
      <c r="C3" s="3277"/>
      <c r="D3" s="1305"/>
      <c r="E3" s="1303"/>
      <c r="F3" s="1306"/>
      <c r="G3" s="1306"/>
      <c r="H3" s="1307"/>
      <c r="I3" s="1308">
        <f>ROUND(D3*E3*F3*G3*H3/10000,0)</f>
        <v>0</v>
      </c>
    </row>
    <row r="4" spans="1:9">
      <c r="A4" s="3276"/>
      <c r="B4" s="3277" t="s">
        <v>1086</v>
      </c>
      <c r="C4" s="3277"/>
      <c r="D4" s="1305"/>
      <c r="E4" s="1303"/>
      <c r="F4" s="1306"/>
      <c r="G4" s="1306"/>
      <c r="H4" s="1307"/>
      <c r="I4" s="1308">
        <f t="shared" ref="I4:I9" si="0">ROUND(D4*E4*F4*G4*H4/10000,0)</f>
        <v>0</v>
      </c>
    </row>
    <row r="5" spans="1:9">
      <c r="A5" s="3276"/>
      <c r="B5" s="3277" t="s">
        <v>1087</v>
      </c>
      <c r="C5" s="3277"/>
      <c r="D5" s="1305"/>
      <c r="E5" s="1303"/>
      <c r="F5" s="1306"/>
      <c r="G5" s="1306"/>
      <c r="H5" s="1307"/>
      <c r="I5" s="1308">
        <f t="shared" si="0"/>
        <v>0</v>
      </c>
    </row>
    <row r="6" spans="1:9">
      <c r="A6" s="3276"/>
      <c r="B6" s="3277" t="s">
        <v>1088</v>
      </c>
      <c r="C6" s="3277"/>
      <c r="D6" s="1305"/>
      <c r="E6" s="1303"/>
      <c r="F6" s="1306"/>
      <c r="G6" s="1306"/>
      <c r="H6" s="1307"/>
      <c r="I6" s="1308">
        <f t="shared" si="0"/>
        <v>0</v>
      </c>
    </row>
    <row r="7" spans="1:9">
      <c r="A7" s="3276"/>
      <c r="B7" s="3277" t="s">
        <v>1089</v>
      </c>
      <c r="C7" s="3277"/>
      <c r="D7" s="1305"/>
      <c r="E7" s="1303"/>
      <c r="F7" s="1306"/>
      <c r="G7" s="1306"/>
      <c r="H7" s="1307"/>
      <c r="I7" s="1308">
        <f t="shared" si="0"/>
        <v>0</v>
      </c>
    </row>
    <row r="8" spans="1:9">
      <c r="A8" s="3276"/>
      <c r="B8" s="3277" t="s">
        <v>1090</v>
      </c>
      <c r="C8" s="3277"/>
      <c r="D8" s="1305"/>
      <c r="E8" s="1303"/>
      <c r="F8" s="1306"/>
      <c r="G8" s="1306"/>
      <c r="H8" s="1307"/>
      <c r="I8" s="1308">
        <f t="shared" si="0"/>
        <v>0</v>
      </c>
    </row>
    <row r="9" spans="1:9">
      <c r="A9" s="3276"/>
      <c r="B9" s="3277" t="s">
        <v>1091</v>
      </c>
      <c r="C9" s="3277"/>
      <c r="D9" s="1305"/>
      <c r="E9" s="1303"/>
      <c r="F9" s="1306"/>
      <c r="G9" s="1306"/>
      <c r="H9" s="1307"/>
      <c r="I9" s="1308">
        <f t="shared" si="0"/>
        <v>0</v>
      </c>
    </row>
    <row r="10" spans="1:9">
      <c r="A10" s="3276"/>
      <c r="B10" s="3278" t="s">
        <v>1092</v>
      </c>
      <c r="C10" s="3278"/>
      <c r="D10" s="1309"/>
      <c r="E10" s="1309" t="e">
        <f>ROUND(D1*10000/D10/H9,0)</f>
        <v>#DIV/0!</v>
      </c>
      <c r="F10" s="1310"/>
      <c r="G10" s="1310"/>
      <c r="H10" s="1311"/>
      <c r="I10" s="1312">
        <f>SUM(I3:I9)</f>
        <v>0</v>
      </c>
    </row>
    <row r="11" spans="1:9" ht="14.25">
      <c r="A11" s="3276" t="s">
        <v>1093</v>
      </c>
      <c r="B11" s="3277" t="s">
        <v>1094</v>
      </c>
      <c r="C11" s="3277"/>
      <c r="D11" s="1305" t="s">
        <v>1095</v>
      </c>
      <c r="E11" s="1305" t="s">
        <v>1096</v>
      </c>
      <c r="F11" s="1306" t="s">
        <v>1097</v>
      </c>
      <c r="G11" s="1306" t="s">
        <v>1083</v>
      </c>
      <c r="H11" s="1313" t="s">
        <v>1098</v>
      </c>
      <c r="I11" s="1304" t="s">
        <v>1084</v>
      </c>
    </row>
    <row r="12" spans="1:9">
      <c r="A12" s="3276"/>
      <c r="B12" s="3277" t="s">
        <v>1099</v>
      </c>
      <c r="C12" s="3277"/>
      <c r="D12" s="1305"/>
      <c r="E12" s="1305"/>
      <c r="F12" s="1306"/>
      <c r="G12" s="1307"/>
      <c r="H12" s="1314"/>
      <c r="I12" s="1304">
        <f>ROUND(D12*E12*F12*G12/10000,0)</f>
        <v>0</v>
      </c>
    </row>
    <row r="13" spans="1:9">
      <c r="A13" s="3276"/>
      <c r="B13" s="3277" t="s">
        <v>1100</v>
      </c>
      <c r="C13" s="3277"/>
      <c r="D13" s="1305"/>
      <c r="E13" s="1305"/>
      <c r="F13" s="1306"/>
      <c r="G13" s="1307"/>
      <c r="H13" s="1314"/>
      <c r="I13" s="1304">
        <f>ROUND(D13*E13*F13*G13/10000,0)</f>
        <v>0</v>
      </c>
    </row>
    <row r="14" spans="1:9">
      <c r="A14" s="3276"/>
      <c r="B14" s="3277" t="s">
        <v>1101</v>
      </c>
      <c r="C14" s="3277"/>
      <c r="D14" s="1305"/>
      <c r="E14" s="1305"/>
      <c r="F14" s="1306"/>
      <c r="G14" s="1307"/>
      <c r="H14" s="1314"/>
      <c r="I14" s="1304">
        <f>ROUND(D14*E14*F14*G14/10000,0)</f>
        <v>0</v>
      </c>
    </row>
    <row r="15" spans="1:9">
      <c r="A15" s="3276"/>
      <c r="B15" s="3278" t="s">
        <v>1092</v>
      </c>
      <c r="C15" s="3278"/>
      <c r="D15" s="1309"/>
      <c r="E15" s="1309">
        <f>SUM(E12:E14)</f>
        <v>0</v>
      </c>
      <c r="F15" s="1310"/>
      <c r="G15" s="1307"/>
      <c r="H15" s="1314"/>
      <c r="I15" s="1315">
        <f>SUM(I12:I14)</f>
        <v>0</v>
      </c>
    </row>
    <row r="16" spans="1:9" ht="24">
      <c r="A16" s="3276" t="s">
        <v>1102</v>
      </c>
      <c r="B16" s="3277" t="s">
        <v>1103</v>
      </c>
      <c r="C16" s="3277"/>
      <c r="D16" s="1305" t="s">
        <v>1079</v>
      </c>
      <c r="E16" s="1316" t="s">
        <v>1104</v>
      </c>
      <c r="F16" s="1306" t="s">
        <v>1105</v>
      </c>
      <c r="G16" s="1307" t="s">
        <v>1083</v>
      </c>
      <c r="H16" s="1313" t="s">
        <v>1098</v>
      </c>
      <c r="I16" s="1304" t="s">
        <v>1084</v>
      </c>
    </row>
    <row r="17" spans="1:9" ht="14.25">
      <c r="A17" s="3276"/>
      <c r="B17" s="3277" t="s">
        <v>1106</v>
      </c>
      <c r="C17" s="3277"/>
      <c r="D17" s="1305"/>
      <c r="E17" s="1305"/>
      <c r="F17" s="1306"/>
      <c r="G17" s="1307"/>
      <c r="H17" s="1317"/>
      <c r="I17" s="1318">
        <f>ROUND(D17*E17*F17*G17/10000,0)</f>
        <v>0</v>
      </c>
    </row>
    <row r="18" spans="1:9" ht="14.25">
      <c r="A18" s="3276"/>
      <c r="B18" s="3277" t="s">
        <v>1107</v>
      </c>
      <c r="C18" s="3277"/>
      <c r="D18" s="1305"/>
      <c r="E18" s="1305"/>
      <c r="F18" s="1306"/>
      <c r="G18" s="1307"/>
      <c r="H18" s="1317"/>
      <c r="I18" s="1318">
        <f>ROUND(D18*E18*F18*G18/10000,0)</f>
        <v>0</v>
      </c>
    </row>
    <row r="19" spans="1:9" ht="14.25">
      <c r="A19" s="3276"/>
      <c r="B19" s="3277" t="s">
        <v>1108</v>
      </c>
      <c r="C19" s="3277"/>
      <c r="D19" s="1305"/>
      <c r="E19" s="1305"/>
      <c r="F19" s="1306"/>
      <c r="G19" s="1307"/>
      <c r="H19" s="1317"/>
      <c r="I19" s="1318">
        <f>ROUND(D19*E19*F19*G19/10000,0)</f>
        <v>0</v>
      </c>
    </row>
    <row r="20" spans="1:9">
      <c r="A20" s="3276"/>
      <c r="B20" s="3278" t="s">
        <v>1092</v>
      </c>
      <c r="C20" s="3278"/>
      <c r="D20" s="1309">
        <f>SUM(D17:D19)</f>
        <v>0</v>
      </c>
      <c r="E20" s="1309"/>
      <c r="F20" s="1310"/>
      <c r="G20" s="1307"/>
      <c r="H20" s="1314"/>
      <c r="I20" s="1315">
        <f>SUM(I17:I19)</f>
        <v>0</v>
      </c>
    </row>
    <row r="21" spans="1:9">
      <c r="A21" s="3276" t="s">
        <v>1109</v>
      </c>
      <c r="B21" s="3280"/>
      <c r="C21" s="3280"/>
      <c r="D21" s="3280"/>
      <c r="E21" s="3280"/>
      <c r="F21" s="3280"/>
      <c r="G21" s="3280"/>
      <c r="H21" s="1767">
        <v>0.1</v>
      </c>
      <c r="I21" s="1312">
        <f>ROUND(I10*H21,0)</f>
        <v>0</v>
      </c>
    </row>
    <row r="22" spans="1:9" ht="14.25">
      <c r="A22" s="3281" t="s">
        <v>1110</v>
      </c>
      <c r="B22" s="3282"/>
      <c r="C22" s="3283"/>
      <c r="D22" s="1319" t="s">
        <v>1111</v>
      </c>
      <c r="E22" s="1319" t="s">
        <v>1112</v>
      </c>
      <c r="F22" s="1320" t="s">
        <v>1113</v>
      </c>
      <c r="G22" s="1320" t="s">
        <v>1114</v>
      </c>
      <c r="H22" s="1313" t="s">
        <v>1115</v>
      </c>
      <c r="I22" s="1304" t="s">
        <v>1116</v>
      </c>
    </row>
    <row r="23" spans="1:9" ht="14.25" thickBot="1">
      <c r="A23" s="3284"/>
      <c r="B23" s="3285"/>
      <c r="C23" s="3286"/>
      <c r="D23" s="1321"/>
      <c r="E23" s="1321"/>
      <c r="F23" s="1321"/>
      <c r="G23" s="1322"/>
      <c r="H23" s="1323"/>
      <c r="I23" s="1324">
        <f>ROUND(E23*D23*F23*(1-G23)/10000,0)</f>
        <v>0</v>
      </c>
    </row>
    <row r="26" spans="1:9">
      <c r="A26" s="1325" t="s">
        <v>1117</v>
      </c>
      <c r="B26" s="1325"/>
      <c r="C26" s="1325"/>
      <c r="D26" s="1325"/>
      <c r="E26" s="3287">
        <f>C27-C30-C31-C32</f>
        <v>0</v>
      </c>
      <c r="F26" s="3287"/>
      <c r="G26" s="3287"/>
      <c r="H26" s="1739" t="s">
        <v>1340</v>
      </c>
    </row>
    <row r="27" spans="1:9">
      <c r="A27" s="1326">
        <v>1</v>
      </c>
      <c r="B27" s="1327" t="s">
        <v>1118</v>
      </c>
      <c r="C27" s="1327">
        <f>C28+C29</f>
        <v>0</v>
      </c>
      <c r="D27" s="1327"/>
      <c r="E27" s="3288"/>
      <c r="F27" s="3288"/>
      <c r="G27" s="3288"/>
    </row>
    <row r="28" spans="1:9">
      <c r="A28" s="1328" t="s">
        <v>1119</v>
      </c>
      <c r="B28" s="1327" t="s">
        <v>1120</v>
      </c>
      <c r="C28" s="1327"/>
      <c r="D28" s="1327"/>
      <c r="E28" s="3288"/>
      <c r="F28" s="3288"/>
      <c r="G28" s="328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9"/>
      <c r="F32" s="3279"/>
      <c r="G32" s="3279"/>
    </row>
    <row r="33" spans="1:7" hidden="1">
      <c r="A33" s="3289" t="s">
        <v>1129</v>
      </c>
      <c r="B33" s="3290"/>
      <c r="C33" s="3290"/>
      <c r="D33" s="3291"/>
      <c r="E33" s="3287"/>
      <c r="F33" s="3287"/>
      <c r="G33" s="3287"/>
    </row>
    <row r="34" spans="1:7" hidden="1">
      <c r="A34" s="1330">
        <v>1</v>
      </c>
      <c r="B34" s="1327" t="s">
        <v>1130</v>
      </c>
      <c r="C34" s="1327"/>
      <c r="D34" s="1327"/>
      <c r="E34" s="3288"/>
      <c r="F34" s="3288"/>
      <c r="G34" s="3288"/>
    </row>
    <row r="35" spans="1:7" hidden="1">
      <c r="A35" s="1330">
        <v>2</v>
      </c>
      <c r="B35" s="1327" t="s">
        <v>1131</v>
      </c>
      <c r="C35" s="1327"/>
      <c r="D35" s="1327"/>
      <c r="E35" s="3288"/>
      <c r="F35" s="3288"/>
      <c r="G35" s="3288"/>
    </row>
    <row r="36" spans="1:7" hidden="1">
      <c r="A36" s="1330">
        <v>3</v>
      </c>
      <c r="B36" s="1327" t="s">
        <v>1132</v>
      </c>
      <c r="C36" s="1327"/>
      <c r="D36" s="1327"/>
      <c r="E36" s="3288"/>
      <c r="F36" s="3288"/>
      <c r="G36" s="3288"/>
    </row>
    <row r="37" spans="1:7" hidden="1">
      <c r="A37" s="1330">
        <v>4</v>
      </c>
      <c r="B37" s="1327" t="s">
        <v>1133</v>
      </c>
      <c r="C37" s="1327"/>
      <c r="D37" s="1327"/>
      <c r="E37" s="3288"/>
      <c r="F37" s="3288"/>
      <c r="G37" s="3288"/>
    </row>
    <row r="38" spans="1:7" hidden="1">
      <c r="A38" s="3289" t="s">
        <v>1134</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4020.0999999999995</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38" t="s">
        <v>2534</v>
      </c>
      <c r="D4" s="3239"/>
      <c r="E4" s="3240" t="s">
        <v>2535</v>
      </c>
      <c r="F4" s="3241"/>
      <c r="G4" s="3238" t="s">
        <v>2536</v>
      </c>
      <c r="H4" s="3239"/>
      <c r="I4" s="3238" t="s">
        <v>2537</v>
      </c>
      <c r="J4" s="3239"/>
      <c r="K4" s="2596" t="s">
        <v>2538</v>
      </c>
      <c r="L4" s="1132"/>
      <c r="M4" s="1133"/>
      <c r="N4" s="1133"/>
      <c r="O4" s="1133"/>
      <c r="P4" s="3242" t="s">
        <v>2539</v>
      </c>
      <c r="Q4" s="3243"/>
      <c r="R4" s="3224" t="s">
        <v>2535</v>
      </c>
      <c r="S4" s="3225"/>
      <c r="T4" s="3224" t="s">
        <v>2536</v>
      </c>
      <c r="U4" s="3225"/>
      <c r="V4" s="3221" t="s">
        <v>2537</v>
      </c>
      <c r="W4" s="3221"/>
      <c r="X4" s="1815"/>
      <c r="Y4" s="3224" t="s">
        <v>2539</v>
      </c>
      <c r="Z4" s="3225"/>
      <c r="AA4" s="3218" t="s">
        <v>2535</v>
      </c>
      <c r="AB4" s="3218" t="s">
        <v>2536</v>
      </c>
      <c r="AC4" s="3218" t="s">
        <v>2537</v>
      </c>
    </row>
    <row r="5" spans="1:29" ht="15">
      <c r="A5" s="404"/>
      <c r="B5" s="405"/>
      <c r="C5" s="3293" t="s">
        <v>2540</v>
      </c>
      <c r="D5" s="3231"/>
      <c r="E5" s="3292" t="s">
        <v>2541</v>
      </c>
      <c r="F5" s="3229"/>
      <c r="G5" s="3293" t="s">
        <v>2542</v>
      </c>
      <c r="H5" s="3231"/>
      <c r="I5" s="3293" t="s">
        <v>2543</v>
      </c>
      <c r="J5" s="3231"/>
      <c r="K5" s="2597"/>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2597"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22" t="s">
        <v>2547</v>
      </c>
      <c r="Q7" s="3250"/>
      <c r="R7" s="769" t="s">
        <v>23</v>
      </c>
      <c r="S7" s="770">
        <f t="shared" ref="S7:S15" si="0">F7</f>
        <v>0</v>
      </c>
      <c r="T7" s="769" t="s">
        <v>23</v>
      </c>
      <c r="U7" s="770">
        <f t="shared" ref="U7:U15" si="1">H7</f>
        <v>0</v>
      </c>
      <c r="V7" s="769" t="s">
        <v>23</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22" t="s">
        <v>2550</v>
      </c>
      <c r="Q8" s="3223"/>
      <c r="R8" s="769" t="s">
        <v>23</v>
      </c>
      <c r="S8" s="770">
        <f t="shared" si="0"/>
        <v>0</v>
      </c>
      <c r="T8" s="769" t="s">
        <v>23</v>
      </c>
      <c r="U8" s="770">
        <f t="shared" si="1"/>
        <v>0</v>
      </c>
      <c r="V8" s="769" t="s">
        <v>23</v>
      </c>
      <c r="W8" s="770">
        <f t="shared" si="2"/>
        <v>0</v>
      </c>
      <c r="X8" s="771"/>
      <c r="Y8" s="3222" t="s">
        <v>2550</v>
      </c>
      <c r="Z8" s="3223"/>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37"/>
      <c r="Q11" s="1797" t="str">
        <f t="shared" si="6"/>
        <v>容积率</v>
      </c>
      <c r="R11" s="769" t="s">
        <v>21</v>
      </c>
      <c r="S11" s="770" t="e">
        <f t="shared" si="0"/>
        <v>#N/A</v>
      </c>
      <c r="T11" s="769" t="s">
        <v>21</v>
      </c>
      <c r="U11" s="770" t="e">
        <f t="shared" si="1"/>
        <v>#N/A</v>
      </c>
      <c r="V11" s="769" t="s">
        <v>21</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37"/>
      <c r="Q12" s="1797">
        <f t="shared" si="6"/>
        <v>111</v>
      </c>
      <c r="R12" s="769" t="s">
        <v>21</v>
      </c>
      <c r="S12" s="770">
        <f t="shared" si="0"/>
        <v>100</v>
      </c>
      <c r="T12" s="769" t="s">
        <v>21</v>
      </c>
      <c r="U12" s="770">
        <f t="shared" si="1"/>
        <v>100</v>
      </c>
      <c r="V12" s="769" t="s">
        <v>21</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37"/>
      <c r="Q13" s="1797">
        <f t="shared" si="6"/>
        <v>111</v>
      </c>
      <c r="R13" s="769" t="s">
        <v>21</v>
      </c>
      <c r="S13" s="770">
        <f t="shared" si="0"/>
        <v>100</v>
      </c>
      <c r="T13" s="769" t="s">
        <v>21</v>
      </c>
      <c r="U13" s="770">
        <f t="shared" si="1"/>
        <v>100</v>
      </c>
      <c r="V13" s="769" t="s">
        <v>21</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37"/>
      <c r="Q14" s="1797">
        <f t="shared" si="6"/>
        <v>111</v>
      </c>
      <c r="R14" s="769" t="s">
        <v>21</v>
      </c>
      <c r="S14" s="770">
        <f t="shared" si="0"/>
        <v>100</v>
      </c>
      <c r="T14" s="769" t="s">
        <v>21</v>
      </c>
      <c r="U14" s="770">
        <f t="shared" si="1"/>
        <v>100</v>
      </c>
      <c r="V14" s="769" t="s">
        <v>21</v>
      </c>
      <c r="W14" s="770">
        <f t="shared" si="2"/>
        <v>100</v>
      </c>
      <c r="X14" s="771"/>
      <c r="Y14" s="3095"/>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1" t="s">
        <v>2558</v>
      </c>
      <c r="Q15" s="1812" t="str">
        <f t="shared" si="6"/>
        <v>居住社区成熟度</v>
      </c>
      <c r="R15" s="773" t="s">
        <v>21</v>
      </c>
      <c r="S15" s="774">
        <f t="shared" si="0"/>
        <v>100</v>
      </c>
      <c r="T15" s="773" t="s">
        <v>21</v>
      </c>
      <c r="U15" s="774">
        <f t="shared" si="1"/>
        <v>100</v>
      </c>
      <c r="V15" s="773" t="s">
        <v>21</v>
      </c>
      <c r="W15" s="774">
        <f t="shared" si="2"/>
        <v>100</v>
      </c>
      <c r="X15" s="1815"/>
      <c r="Y15" s="3253"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52"/>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2"/>
      <c r="Q17" s="1812" t="str">
        <f>B17</f>
        <v>交通便捷度</v>
      </c>
      <c r="R17" s="773" t="s">
        <v>21</v>
      </c>
      <c r="S17" s="774">
        <f>F17</f>
        <v>100</v>
      </c>
      <c r="T17" s="773" t="s">
        <v>21</v>
      </c>
      <c r="U17" s="774">
        <f>H17</f>
        <v>100</v>
      </c>
      <c r="V17" s="773" t="s">
        <v>21</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52"/>
      <c r="Q18" s="1812"/>
      <c r="R18" s="773"/>
      <c r="S18" s="774"/>
      <c r="T18" s="773"/>
      <c r="U18" s="774"/>
      <c r="V18" s="773"/>
      <c r="W18" s="774"/>
      <c r="X18" s="1815"/>
      <c r="Y18" s="3254"/>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2"/>
      <c r="Q19" s="1812" t="str">
        <f>B19</f>
        <v>公共配套设施</v>
      </c>
      <c r="R19" s="773" t="s">
        <v>21</v>
      </c>
      <c r="S19" s="774">
        <f>F19</f>
        <v>100</v>
      </c>
      <c r="T19" s="773" t="s">
        <v>21</v>
      </c>
      <c r="U19" s="774">
        <f>H19</f>
        <v>100</v>
      </c>
      <c r="V19" s="773" t="s">
        <v>21</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52"/>
      <c r="Q20" s="1812"/>
      <c r="R20" s="773"/>
      <c r="S20" s="774"/>
      <c r="T20" s="773"/>
      <c r="U20" s="774"/>
      <c r="V20" s="773"/>
      <c r="W20" s="774"/>
      <c r="X20" s="1815"/>
      <c r="Y20" s="3254"/>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52"/>
      <c r="Q22" s="1812"/>
      <c r="R22" s="773"/>
      <c r="S22" s="774"/>
      <c r="T22" s="773"/>
      <c r="U22" s="774"/>
      <c r="V22" s="773"/>
      <c r="W22" s="774"/>
      <c r="X22" s="1815"/>
      <c r="Y22" s="3254"/>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2"/>
      <c r="Q23" s="1812" t="str">
        <f>B23</f>
        <v>自然及人文环境</v>
      </c>
      <c r="R23" s="773" t="s">
        <v>21</v>
      </c>
      <c r="S23" s="774">
        <f>F23</f>
        <v>100</v>
      </c>
      <c r="T23" s="773" t="s">
        <v>21</v>
      </c>
      <c r="U23" s="774">
        <f>H23</f>
        <v>100</v>
      </c>
      <c r="V23" s="773" t="s">
        <v>21</v>
      </c>
      <c r="W23" s="774">
        <f>J23</f>
        <v>100</v>
      </c>
      <c r="X23" s="1815"/>
      <c r="Y23" s="3254"/>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52"/>
      <c r="Q24" s="1812"/>
      <c r="R24" s="773"/>
      <c r="S24" s="774"/>
      <c r="T24" s="773"/>
      <c r="U24" s="774"/>
      <c r="V24" s="773"/>
      <c r="W24" s="774"/>
      <c r="X24" s="1815"/>
      <c r="Y24" s="3254"/>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5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4"/>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52"/>
      <c r="Q26" s="1812" t="str">
        <f t="shared" si="11"/>
        <v>朝向</v>
      </c>
      <c r="R26" s="773" t="s">
        <v>21</v>
      </c>
      <c r="S26" s="774">
        <f t="shared" si="12"/>
        <v>100</v>
      </c>
      <c r="T26" s="773" t="s">
        <v>21</v>
      </c>
      <c r="U26" s="774">
        <f t="shared" si="13"/>
        <v>100</v>
      </c>
      <c r="V26" s="773" t="s">
        <v>21</v>
      </c>
      <c r="W26" s="774">
        <f t="shared" si="14"/>
        <v>100</v>
      </c>
      <c r="X26" s="1815"/>
      <c r="Y26" s="325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52"/>
      <c r="Q27" s="1797">
        <f t="shared" si="11"/>
        <v>111</v>
      </c>
      <c r="R27" s="769" t="s">
        <v>21</v>
      </c>
      <c r="S27" s="770">
        <f t="shared" si="12"/>
        <v>100</v>
      </c>
      <c r="T27" s="769" t="s">
        <v>21</v>
      </c>
      <c r="U27" s="770">
        <f t="shared" si="13"/>
        <v>100</v>
      </c>
      <c r="V27" s="769" t="s">
        <v>21</v>
      </c>
      <c r="W27" s="770">
        <f t="shared" si="14"/>
        <v>100</v>
      </c>
      <c r="X27" s="771"/>
      <c r="Y27" s="325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52"/>
      <c r="Q28" s="1812">
        <f t="shared" si="11"/>
        <v>111</v>
      </c>
      <c r="R28" s="773" t="s">
        <v>21</v>
      </c>
      <c r="S28" s="774">
        <f t="shared" si="12"/>
        <v>100</v>
      </c>
      <c r="T28" s="773" t="s">
        <v>21</v>
      </c>
      <c r="U28" s="774">
        <f t="shared" si="13"/>
        <v>100</v>
      </c>
      <c r="V28" s="773" t="s">
        <v>21</v>
      </c>
      <c r="W28" s="774">
        <f t="shared" si="14"/>
        <v>100</v>
      </c>
      <c r="X28" s="1815"/>
      <c r="Y28" s="325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52"/>
      <c r="Q29" s="1812">
        <f t="shared" si="11"/>
        <v>111</v>
      </c>
      <c r="R29" s="773" t="s">
        <v>21</v>
      </c>
      <c r="S29" s="774">
        <f t="shared" si="12"/>
        <v>100</v>
      </c>
      <c r="T29" s="773" t="s">
        <v>21</v>
      </c>
      <c r="U29" s="774">
        <f t="shared" si="13"/>
        <v>100</v>
      </c>
      <c r="V29" s="773" t="s">
        <v>21</v>
      </c>
      <c r="W29" s="774">
        <f t="shared" si="14"/>
        <v>100</v>
      </c>
      <c r="X29" s="1815"/>
      <c r="Y29" s="325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52"/>
      <c r="Q30" s="1812">
        <f t="shared" si="11"/>
        <v>111</v>
      </c>
      <c r="R30" s="773" t="s">
        <v>21</v>
      </c>
      <c r="S30" s="774">
        <f t="shared" si="12"/>
        <v>100</v>
      </c>
      <c r="T30" s="773" t="s">
        <v>21</v>
      </c>
      <c r="U30" s="774">
        <f t="shared" si="13"/>
        <v>100</v>
      </c>
      <c r="V30" s="773" t="s">
        <v>21</v>
      </c>
      <c r="W30" s="774">
        <f t="shared" si="14"/>
        <v>100</v>
      </c>
      <c r="X30" s="1815"/>
      <c r="Y30" s="325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52"/>
      <c r="Q31" s="1812">
        <f t="shared" si="11"/>
        <v>111</v>
      </c>
      <c r="R31" s="773" t="s">
        <v>21</v>
      </c>
      <c r="S31" s="774">
        <f t="shared" si="12"/>
        <v>100</v>
      </c>
      <c r="T31" s="773" t="s">
        <v>21</v>
      </c>
      <c r="U31" s="774">
        <f t="shared" si="13"/>
        <v>100</v>
      </c>
      <c r="V31" s="773" t="s">
        <v>21</v>
      </c>
      <c r="W31" s="774">
        <f t="shared" si="14"/>
        <v>100</v>
      </c>
      <c r="X31" s="1815"/>
      <c r="Y31" s="3254"/>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55" t="s">
        <v>2563</v>
      </c>
      <c r="Q32" s="1812" t="str">
        <f t="shared" si="11"/>
        <v>建筑类型</v>
      </c>
      <c r="R32" s="773" t="s">
        <v>21</v>
      </c>
      <c r="S32" s="774">
        <f t="shared" si="12"/>
        <v>100</v>
      </c>
      <c r="T32" s="773" t="s">
        <v>21</v>
      </c>
      <c r="U32" s="774">
        <f t="shared" si="13"/>
        <v>100</v>
      </c>
      <c r="V32" s="773" t="s">
        <v>21</v>
      </c>
      <c r="W32" s="774">
        <f t="shared" si="14"/>
        <v>100</v>
      </c>
      <c r="X32" s="1815"/>
      <c r="Y32" s="3258"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56"/>
      <c r="Q34" s="1812" t="str">
        <f t="shared" si="11"/>
        <v>建筑结构</v>
      </c>
      <c r="R34" s="773" t="s">
        <v>21</v>
      </c>
      <c r="S34" s="774">
        <f t="shared" si="12"/>
        <v>100</v>
      </c>
      <c r="T34" s="773" t="s">
        <v>21</v>
      </c>
      <c r="U34" s="774">
        <f t="shared" si="13"/>
        <v>100</v>
      </c>
      <c r="V34" s="773" t="s">
        <v>21</v>
      </c>
      <c r="W34" s="774">
        <f t="shared" si="14"/>
        <v>100</v>
      </c>
      <c r="X34" s="1815"/>
      <c r="Y34" s="3258"/>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56"/>
      <c r="Q35" s="1812" t="str">
        <f t="shared" si="11"/>
        <v>建筑品质</v>
      </c>
      <c r="R35" s="773" t="s">
        <v>21</v>
      </c>
      <c r="S35" s="774">
        <f t="shared" si="12"/>
        <v>100</v>
      </c>
      <c r="T35" s="773" t="s">
        <v>21</v>
      </c>
      <c r="U35" s="774">
        <f t="shared" si="13"/>
        <v>100</v>
      </c>
      <c r="V35" s="773" t="s">
        <v>21</v>
      </c>
      <c r="W35" s="774">
        <f t="shared" si="14"/>
        <v>100</v>
      </c>
      <c r="X35" s="1815"/>
      <c r="Y35" s="3258"/>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56"/>
      <c r="Q36" s="1812" t="str">
        <f t="shared" si="11"/>
        <v>公共部分装修</v>
      </c>
      <c r="R36" s="773" t="s">
        <v>21</v>
      </c>
      <c r="S36" s="774">
        <f t="shared" si="12"/>
        <v>100</v>
      </c>
      <c r="T36" s="773" t="s">
        <v>21</v>
      </c>
      <c r="U36" s="774">
        <f t="shared" si="13"/>
        <v>100</v>
      </c>
      <c r="V36" s="773" t="s">
        <v>21</v>
      </c>
      <c r="W36" s="774">
        <f t="shared" si="14"/>
        <v>100</v>
      </c>
      <c r="X36" s="1815"/>
      <c r="Y36" s="3258"/>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6"/>
      <c r="Q37" s="1797"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56" t="s">
        <v>2563</v>
      </c>
      <c r="Q38" s="1812" t="str">
        <f t="shared" si="11"/>
        <v>物业管理</v>
      </c>
      <c r="R38" s="773" t="s">
        <v>21</v>
      </c>
      <c r="S38" s="774">
        <f t="shared" si="12"/>
        <v>100</v>
      </c>
      <c r="T38" s="773" t="s">
        <v>21</v>
      </c>
      <c r="U38" s="774">
        <f t="shared" si="13"/>
        <v>100</v>
      </c>
      <c r="V38" s="773" t="s">
        <v>21</v>
      </c>
      <c r="W38" s="774">
        <f t="shared" si="14"/>
        <v>100</v>
      </c>
      <c r="X38" s="1815"/>
      <c r="Y38" s="3258"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56"/>
      <c r="Q39" s="1812" t="str">
        <f t="shared" si="11"/>
        <v>市政基础设施</v>
      </c>
      <c r="R39" s="773" t="s">
        <v>21</v>
      </c>
      <c r="S39" s="774">
        <f t="shared" si="12"/>
        <v>100</v>
      </c>
      <c r="T39" s="773" t="s">
        <v>21</v>
      </c>
      <c r="U39" s="774">
        <f t="shared" si="13"/>
        <v>100</v>
      </c>
      <c r="V39" s="773" t="s">
        <v>21</v>
      </c>
      <c r="W39" s="774">
        <f t="shared" si="14"/>
        <v>100</v>
      </c>
      <c r="X39" s="1815"/>
      <c r="Y39" s="3258"/>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56"/>
      <c r="Q40" s="1812" t="str">
        <f t="shared" si="11"/>
        <v>房型</v>
      </c>
      <c r="R40" s="773" t="s">
        <v>21</v>
      </c>
      <c r="S40" s="774">
        <f t="shared" si="12"/>
        <v>100</v>
      </c>
      <c r="T40" s="773" t="s">
        <v>21</v>
      </c>
      <c r="U40" s="774">
        <f t="shared" si="13"/>
        <v>100</v>
      </c>
      <c r="V40" s="773" t="s">
        <v>21</v>
      </c>
      <c r="W40" s="774">
        <f t="shared" si="14"/>
        <v>100</v>
      </c>
      <c r="X40" s="1815"/>
      <c r="Y40" s="3258"/>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56"/>
      <c r="Q42" s="1812" t="str">
        <f t="shared" si="11"/>
        <v>内部装修</v>
      </c>
      <c r="R42" s="773" t="s">
        <v>21</v>
      </c>
      <c r="S42" s="774">
        <f t="shared" si="12"/>
        <v>100</v>
      </c>
      <c r="T42" s="773" t="s">
        <v>21</v>
      </c>
      <c r="U42" s="774">
        <f t="shared" si="13"/>
        <v>100</v>
      </c>
      <c r="V42" s="773" t="s">
        <v>21</v>
      </c>
      <c r="W42" s="774">
        <f t="shared" si="14"/>
        <v>100</v>
      </c>
      <c r="X42" s="1815"/>
      <c r="Y42" s="3258"/>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56"/>
      <c r="Q43" s="1812" t="str">
        <f t="shared" si="11"/>
        <v>内部装修维护情况</v>
      </c>
      <c r="R43" s="773" t="s">
        <v>21</v>
      </c>
      <c r="S43" s="774">
        <f t="shared" si="12"/>
        <v>100</v>
      </c>
      <c r="T43" s="773" t="s">
        <v>21</v>
      </c>
      <c r="U43" s="774">
        <f t="shared" si="13"/>
        <v>100</v>
      </c>
      <c r="V43" s="773" t="s">
        <v>21</v>
      </c>
      <c r="W43" s="774">
        <f t="shared" si="14"/>
        <v>100</v>
      </c>
      <c r="X43" s="1815"/>
      <c r="Y43" s="325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56"/>
      <c r="Q44" s="1797">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56"/>
      <c r="Q45" s="1812">
        <f t="shared" si="11"/>
        <v>111</v>
      </c>
      <c r="R45" s="773" t="s">
        <v>21</v>
      </c>
      <c r="S45" s="774">
        <f t="shared" si="12"/>
        <v>100</v>
      </c>
      <c r="T45" s="773" t="s">
        <v>21</v>
      </c>
      <c r="U45" s="774">
        <f t="shared" si="13"/>
        <v>100</v>
      </c>
      <c r="V45" s="773" t="s">
        <v>21</v>
      </c>
      <c r="W45" s="774">
        <f t="shared" si="14"/>
        <v>100</v>
      </c>
      <c r="X45" s="1815"/>
      <c r="Y45" s="325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57"/>
      <c r="Q46" s="1812">
        <f t="shared" si="11"/>
        <v>111</v>
      </c>
      <c r="R46" s="773" t="s">
        <v>20</v>
      </c>
      <c r="S46" s="774">
        <f t="shared" si="12"/>
        <v>100</v>
      </c>
      <c r="T46" s="773" t="s">
        <v>20</v>
      </c>
      <c r="U46" s="774">
        <f t="shared" si="13"/>
        <v>100</v>
      </c>
      <c r="V46" s="773" t="s">
        <v>20</v>
      </c>
      <c r="W46" s="774">
        <f t="shared" si="14"/>
        <v>100</v>
      </c>
      <c r="X46" s="1815"/>
      <c r="Y46" s="3259"/>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60" t="str">
        <f>A47</f>
        <v>成交单价（元/平方米）</v>
      </c>
      <c r="Q47" s="3260"/>
      <c r="R47" s="3261">
        <f>E47</f>
        <v>0</v>
      </c>
      <c r="S47" s="3261"/>
      <c r="T47" s="3261">
        <f>G47</f>
        <v>0</v>
      </c>
      <c r="U47" s="3261"/>
      <c r="V47" s="3261">
        <f>I47</f>
        <v>0</v>
      </c>
      <c r="W47" s="3261"/>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4020.0999999999995</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301" t="s">
        <v>2649</v>
      </c>
      <c r="Q4" s="3302"/>
      <c r="R4" s="3296" t="s">
        <v>2645</v>
      </c>
      <c r="S4" s="3297"/>
      <c r="T4" s="3296" t="s">
        <v>2646</v>
      </c>
      <c r="U4" s="3297"/>
      <c r="V4" s="3305" t="s">
        <v>2647</v>
      </c>
      <c r="W4" s="3305"/>
      <c r="X4" s="2670"/>
      <c r="Y4" s="3296" t="s">
        <v>2649</v>
      </c>
      <c r="Z4" s="3297"/>
      <c r="AA4" s="3295" t="s">
        <v>2645</v>
      </c>
      <c r="AB4" s="3295" t="s">
        <v>2646</v>
      </c>
      <c r="AC4" s="3298" t="s">
        <v>2647</v>
      </c>
    </row>
    <row r="5" spans="1:29" ht="15">
      <c r="A5" s="404"/>
      <c r="B5" s="405"/>
      <c r="C5" s="3293" t="s">
        <v>2540</v>
      </c>
      <c r="D5" s="3231"/>
      <c r="E5" s="3292" t="s">
        <v>2541</v>
      </c>
      <c r="F5" s="3229"/>
      <c r="G5" s="3293" t="s">
        <v>2542</v>
      </c>
      <c r="H5" s="3231"/>
      <c r="I5" s="3293" t="s">
        <v>2543</v>
      </c>
      <c r="J5" s="3231"/>
      <c r="K5" s="610"/>
      <c r="L5" s="1132"/>
      <c r="M5" s="1133"/>
      <c r="N5" s="1133"/>
      <c r="O5" s="1133"/>
      <c r="P5" s="3303"/>
      <c r="Q5" s="3245"/>
      <c r="R5" s="3226"/>
      <c r="S5" s="3227"/>
      <c r="T5" s="3226"/>
      <c r="U5" s="3227"/>
      <c r="V5" s="3221"/>
      <c r="W5" s="3221"/>
      <c r="X5" s="1815"/>
      <c r="Y5" s="3226"/>
      <c r="Z5" s="3227"/>
      <c r="AA5" s="3219"/>
      <c r="AB5" s="3219"/>
      <c r="AC5" s="329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304"/>
      <c r="Q6" s="3247"/>
      <c r="R6" s="3226"/>
      <c r="S6" s="3227"/>
      <c r="T6" s="3248"/>
      <c r="U6" s="3249"/>
      <c r="V6" s="3221"/>
      <c r="W6" s="3221"/>
      <c r="X6" s="1815"/>
      <c r="Y6" s="3248"/>
      <c r="Z6" s="3249"/>
      <c r="AA6" s="3220"/>
      <c r="AB6" s="3220"/>
      <c r="AC6" s="3300"/>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6"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6" t="s">
        <v>2550</v>
      </c>
      <c r="Q8" s="3223"/>
      <c r="R8" s="769" t="s">
        <v>17</v>
      </c>
      <c r="S8" s="770">
        <f t="shared" si="0"/>
        <v>0</v>
      </c>
      <c r="T8" s="769" t="s">
        <v>17</v>
      </c>
      <c r="U8" s="770">
        <f t="shared" si="1"/>
        <v>0</v>
      </c>
      <c r="V8" s="769" t="s">
        <v>17</v>
      </c>
      <c r="W8" s="770">
        <f t="shared" si="2"/>
        <v>0</v>
      </c>
      <c r="X8" s="771"/>
      <c r="Y8" s="3222" t="s">
        <v>2550</v>
      </c>
      <c r="Z8" s="3223"/>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7"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7"/>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7"/>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37"/>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37"/>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37"/>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1" t="s">
        <v>2558</v>
      </c>
      <c r="Q15" s="1812" t="str">
        <f t="shared" si="6"/>
        <v>办公集聚程度</v>
      </c>
      <c r="R15" s="773" t="s">
        <v>17</v>
      </c>
      <c r="S15" s="774">
        <f t="shared" si="0"/>
        <v>100</v>
      </c>
      <c r="T15" s="773" t="s">
        <v>17</v>
      </c>
      <c r="U15" s="774">
        <f t="shared" si="1"/>
        <v>100</v>
      </c>
      <c r="V15" s="773" t="s">
        <v>17</v>
      </c>
      <c r="W15" s="774">
        <f t="shared" si="2"/>
        <v>100</v>
      </c>
      <c r="X15" s="1815"/>
      <c r="Y15" s="3253"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52"/>
      <c r="Q16" s="1812"/>
      <c r="R16" s="773"/>
      <c r="S16" s="774"/>
      <c r="T16" s="773"/>
      <c r="U16" s="774"/>
      <c r="V16" s="773"/>
      <c r="W16" s="774"/>
      <c r="X16" s="1815"/>
      <c r="Y16" s="3254"/>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2"/>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52"/>
      <c r="Q18" s="1812"/>
      <c r="R18" s="773"/>
      <c r="S18" s="774"/>
      <c r="T18" s="773"/>
      <c r="U18" s="774"/>
      <c r="V18" s="773"/>
      <c r="W18" s="774"/>
      <c r="X18" s="1815"/>
      <c r="Y18" s="3254"/>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2"/>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52"/>
      <c r="Q20" s="1812"/>
      <c r="R20" s="773"/>
      <c r="S20" s="774"/>
      <c r="T20" s="773"/>
      <c r="U20" s="774"/>
      <c r="V20" s="773"/>
      <c r="W20" s="774"/>
      <c r="X20" s="1815"/>
      <c r="Y20" s="3254"/>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2"/>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52"/>
      <c r="Q22" s="1812"/>
      <c r="R22" s="773"/>
      <c r="S22" s="774"/>
      <c r="T22" s="773"/>
      <c r="U22" s="774"/>
      <c r="V22" s="773"/>
      <c r="W22" s="774"/>
      <c r="X22" s="1815"/>
      <c r="Y22" s="3254"/>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2"/>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52"/>
      <c r="Q24" s="1812"/>
      <c r="R24" s="773"/>
      <c r="S24" s="774"/>
      <c r="T24" s="773"/>
      <c r="U24" s="774"/>
      <c r="V24" s="773"/>
      <c r="W24" s="774"/>
      <c r="X24" s="1815"/>
      <c r="Y24" s="3254"/>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52"/>
      <c r="Q25" s="1812" t="str">
        <f>B25</f>
        <v>毗邻道路的类型与等级</v>
      </c>
      <c r="R25" s="773" t="s">
        <v>17</v>
      </c>
      <c r="S25" s="774">
        <f>F25</f>
        <v>100</v>
      </c>
      <c r="T25" s="773" t="s">
        <v>17</v>
      </c>
      <c r="U25" s="774">
        <f>H25</f>
        <v>100</v>
      </c>
      <c r="V25" s="773" t="s">
        <v>17</v>
      </c>
      <c r="W25" s="774">
        <f>J25</f>
        <v>100</v>
      </c>
      <c r="X25" s="1815"/>
      <c r="Y25" s="3254"/>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52"/>
      <c r="Q26" s="1812"/>
      <c r="R26" s="773"/>
      <c r="S26" s="774"/>
      <c r="T26" s="773"/>
      <c r="U26" s="774"/>
      <c r="V26" s="773"/>
      <c r="W26" s="774"/>
      <c r="X26" s="1815"/>
      <c r="Y26" s="3254"/>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52"/>
      <c r="Q27" s="1812" t="str">
        <f t="shared" ref="Q27:Q47" si="11">B27</f>
        <v>楼层</v>
      </c>
      <c r="R27" s="773" t="s">
        <v>17</v>
      </c>
      <c r="S27" s="774">
        <f>F27</f>
        <v>100</v>
      </c>
      <c r="T27" s="773" t="s">
        <v>17</v>
      </c>
      <c r="U27" s="774">
        <f>H27</f>
        <v>100</v>
      </c>
      <c r="V27" s="773" t="s">
        <v>17</v>
      </c>
      <c r="W27" s="774">
        <f>J27</f>
        <v>100</v>
      </c>
      <c r="X27" s="1815"/>
      <c r="Y27" s="3254"/>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52"/>
      <c r="Q28" s="1797" t="str">
        <f t="shared" si="11"/>
        <v>朝向</v>
      </c>
      <c r="R28" s="769" t="s">
        <v>17</v>
      </c>
      <c r="S28" s="770">
        <f>F28</f>
        <v>100</v>
      </c>
      <c r="T28" s="769" t="s">
        <v>17</v>
      </c>
      <c r="U28" s="770">
        <f>H28</f>
        <v>100</v>
      </c>
      <c r="V28" s="769" t="s">
        <v>17</v>
      </c>
      <c r="W28" s="770">
        <f>J28</f>
        <v>100</v>
      </c>
      <c r="X28" s="771"/>
      <c r="Y28" s="3254"/>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52"/>
      <c r="Q29" s="1812">
        <f t="shared" si="11"/>
        <v>111</v>
      </c>
      <c r="R29" s="773" t="s">
        <v>17</v>
      </c>
      <c r="S29" s="774">
        <f t="shared" ref="S29:S47" si="12">F29</f>
        <v>100</v>
      </c>
      <c r="T29" s="773" t="s">
        <v>17</v>
      </c>
      <c r="U29" s="774">
        <f t="shared" ref="U29:U47" si="13">H29</f>
        <v>100</v>
      </c>
      <c r="V29" s="773" t="s">
        <v>17</v>
      </c>
      <c r="W29" s="774">
        <f t="shared" ref="W29:W47" si="14">J29</f>
        <v>100</v>
      </c>
      <c r="X29" s="1815"/>
      <c r="Y29" s="3254"/>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52"/>
      <c r="Q30" s="1812">
        <f t="shared" si="11"/>
        <v>111</v>
      </c>
      <c r="R30" s="773" t="s">
        <v>17</v>
      </c>
      <c r="S30" s="774">
        <f t="shared" si="12"/>
        <v>100</v>
      </c>
      <c r="T30" s="773" t="s">
        <v>17</v>
      </c>
      <c r="U30" s="774">
        <f t="shared" si="13"/>
        <v>100</v>
      </c>
      <c r="V30" s="773" t="s">
        <v>17</v>
      </c>
      <c r="W30" s="774">
        <f t="shared" si="14"/>
        <v>100</v>
      </c>
      <c r="X30" s="1815"/>
      <c r="Y30" s="3254"/>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52"/>
      <c r="Q31" s="1812">
        <f t="shared" si="11"/>
        <v>111</v>
      </c>
      <c r="R31" s="773" t="s">
        <v>17</v>
      </c>
      <c r="S31" s="774">
        <f t="shared" si="12"/>
        <v>100</v>
      </c>
      <c r="T31" s="773" t="s">
        <v>17</v>
      </c>
      <c r="U31" s="774">
        <f t="shared" si="13"/>
        <v>100</v>
      </c>
      <c r="V31" s="773" t="s">
        <v>17</v>
      </c>
      <c r="W31" s="774">
        <f t="shared" si="14"/>
        <v>100</v>
      </c>
      <c r="X31" s="1815"/>
      <c r="Y31" s="3254"/>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52"/>
      <c r="Q32" s="1812">
        <f t="shared" si="11"/>
        <v>111</v>
      </c>
      <c r="R32" s="773" t="s">
        <v>17</v>
      </c>
      <c r="S32" s="774">
        <f t="shared" si="12"/>
        <v>100</v>
      </c>
      <c r="T32" s="773" t="s">
        <v>17</v>
      </c>
      <c r="U32" s="774">
        <f t="shared" si="13"/>
        <v>100</v>
      </c>
      <c r="V32" s="773" t="s">
        <v>17</v>
      </c>
      <c r="W32" s="774">
        <f t="shared" si="14"/>
        <v>100</v>
      </c>
      <c r="X32" s="1815"/>
      <c r="Y32" s="3254"/>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55" t="s">
        <v>2563</v>
      </c>
      <c r="Q33" s="1812" t="str">
        <f t="shared" si="11"/>
        <v>建筑类型</v>
      </c>
      <c r="R33" s="773" t="s">
        <v>17</v>
      </c>
      <c r="S33" s="774">
        <f t="shared" si="12"/>
        <v>100</v>
      </c>
      <c r="T33" s="773" t="s">
        <v>17</v>
      </c>
      <c r="U33" s="774">
        <f t="shared" si="13"/>
        <v>100</v>
      </c>
      <c r="V33" s="773" t="s">
        <v>17</v>
      </c>
      <c r="W33" s="774">
        <f t="shared" si="14"/>
        <v>100</v>
      </c>
      <c r="X33" s="1815"/>
      <c r="Y33" s="3258"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6"/>
      <c r="Q35" s="1812" t="str">
        <f t="shared" si="11"/>
        <v>建筑结构</v>
      </c>
      <c r="R35" s="773" t="s">
        <v>17</v>
      </c>
      <c r="S35" s="774">
        <f t="shared" si="12"/>
        <v>100</v>
      </c>
      <c r="T35" s="773" t="s">
        <v>17</v>
      </c>
      <c r="U35" s="774">
        <f t="shared" si="13"/>
        <v>100</v>
      </c>
      <c r="V35" s="773" t="s">
        <v>17</v>
      </c>
      <c r="W35" s="774">
        <f t="shared" si="14"/>
        <v>100</v>
      </c>
      <c r="X35" s="1815"/>
      <c r="Y35" s="3258"/>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6"/>
      <c r="Q36" s="1812" t="str">
        <f t="shared" si="11"/>
        <v>公共部分装修</v>
      </c>
      <c r="R36" s="773" t="s">
        <v>17</v>
      </c>
      <c r="S36" s="774">
        <f t="shared" si="12"/>
        <v>100</v>
      </c>
      <c r="T36" s="773" t="s">
        <v>17</v>
      </c>
      <c r="U36" s="774">
        <f t="shared" si="13"/>
        <v>100</v>
      </c>
      <c r="V36" s="773" t="s">
        <v>17</v>
      </c>
      <c r="W36" s="774">
        <f t="shared" si="14"/>
        <v>100</v>
      </c>
      <c r="X36" s="1815"/>
      <c r="Y36" s="3258"/>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6"/>
      <c r="Q37" s="1812" t="str">
        <f t="shared" si="11"/>
        <v>成新度</v>
      </c>
      <c r="R37" s="773" t="s">
        <v>17</v>
      </c>
      <c r="S37" s="774" t="e">
        <f t="shared" si="12"/>
        <v>#N/A</v>
      </c>
      <c r="T37" s="773" t="s">
        <v>17</v>
      </c>
      <c r="U37" s="774" t="e">
        <f t="shared" si="13"/>
        <v>#N/A</v>
      </c>
      <c r="V37" s="773" t="s">
        <v>17</v>
      </c>
      <c r="W37" s="774" t="e">
        <f t="shared" si="14"/>
        <v>#N/A</v>
      </c>
      <c r="X37" s="1815"/>
      <c r="Y37" s="3258"/>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6"/>
      <c r="Q38" s="1797"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6" t="s">
        <v>2563</v>
      </c>
      <c r="Q39" s="1812" t="str">
        <f t="shared" si="11"/>
        <v>物业管理</v>
      </c>
      <c r="R39" s="773" t="s">
        <v>17</v>
      </c>
      <c r="S39" s="774">
        <f t="shared" si="12"/>
        <v>100</v>
      </c>
      <c r="T39" s="773" t="s">
        <v>17</v>
      </c>
      <c r="U39" s="774">
        <f t="shared" si="13"/>
        <v>100</v>
      </c>
      <c r="V39" s="773" t="s">
        <v>17</v>
      </c>
      <c r="W39" s="774">
        <f t="shared" si="14"/>
        <v>100</v>
      </c>
      <c r="X39" s="1815"/>
      <c r="Y39" s="3258"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6"/>
      <c r="Q40" s="1812" t="str">
        <f t="shared" si="11"/>
        <v>市政基础设施</v>
      </c>
      <c r="R40" s="773" t="s">
        <v>17</v>
      </c>
      <c r="S40" s="774">
        <f t="shared" si="12"/>
        <v>100</v>
      </c>
      <c r="T40" s="773" t="s">
        <v>17</v>
      </c>
      <c r="U40" s="774">
        <f t="shared" si="13"/>
        <v>100</v>
      </c>
      <c r="V40" s="773" t="s">
        <v>17</v>
      </c>
      <c r="W40" s="774">
        <f t="shared" si="14"/>
        <v>100</v>
      </c>
      <c r="X40" s="1815"/>
      <c r="Y40" s="3258"/>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6"/>
      <c r="Q41" s="1812" t="str">
        <f t="shared" si="11"/>
        <v>层高</v>
      </c>
      <c r="R41" s="773" t="s">
        <v>17</v>
      </c>
      <c r="S41" s="774">
        <f t="shared" si="12"/>
        <v>100</v>
      </c>
      <c r="T41" s="773" t="s">
        <v>17</v>
      </c>
      <c r="U41" s="774">
        <f t="shared" si="13"/>
        <v>100</v>
      </c>
      <c r="V41" s="773" t="s">
        <v>17</v>
      </c>
      <c r="W41" s="774">
        <f t="shared" si="14"/>
        <v>100</v>
      </c>
      <c r="X41" s="1815"/>
      <c r="Y41" s="3258"/>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6"/>
      <c r="Q43" s="1812" t="str">
        <f t="shared" si="11"/>
        <v>内部装修</v>
      </c>
      <c r="R43" s="773" t="s">
        <v>17</v>
      </c>
      <c r="S43" s="774">
        <f t="shared" si="12"/>
        <v>100</v>
      </c>
      <c r="T43" s="773" t="s">
        <v>17</v>
      </c>
      <c r="U43" s="774">
        <f t="shared" si="13"/>
        <v>100</v>
      </c>
      <c r="V43" s="773" t="s">
        <v>17</v>
      </c>
      <c r="W43" s="774">
        <f t="shared" si="14"/>
        <v>100</v>
      </c>
      <c r="X43" s="1815"/>
      <c r="Y43" s="3258"/>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56"/>
      <c r="Q44" s="1812" t="str">
        <f t="shared" si="11"/>
        <v>内部装修维护情况</v>
      </c>
      <c r="R44" s="773" t="s">
        <v>17</v>
      </c>
      <c r="S44" s="774">
        <f t="shared" si="12"/>
        <v>100</v>
      </c>
      <c r="T44" s="773" t="s">
        <v>17</v>
      </c>
      <c r="U44" s="774">
        <f t="shared" si="13"/>
        <v>100</v>
      </c>
      <c r="V44" s="773" t="s">
        <v>17</v>
      </c>
      <c r="W44" s="774">
        <f t="shared" si="14"/>
        <v>100</v>
      </c>
      <c r="X44" s="1815"/>
      <c r="Y44" s="325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6"/>
      <c r="Q45" s="1797">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6"/>
      <c r="Q46" s="1812">
        <f t="shared" si="11"/>
        <v>111</v>
      </c>
      <c r="R46" s="773" t="s">
        <v>17</v>
      </c>
      <c r="S46" s="774">
        <f t="shared" si="12"/>
        <v>100</v>
      </c>
      <c r="T46" s="773" t="s">
        <v>17</v>
      </c>
      <c r="U46" s="774">
        <f t="shared" si="13"/>
        <v>100</v>
      </c>
      <c r="V46" s="773" t="s">
        <v>17</v>
      </c>
      <c r="W46" s="774">
        <f t="shared" si="14"/>
        <v>100</v>
      </c>
      <c r="X46" s="1815"/>
      <c r="Y46" s="325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7"/>
      <c r="Q47" s="1812">
        <f t="shared" si="11"/>
        <v>111</v>
      </c>
      <c r="R47" s="773" t="s">
        <v>17</v>
      </c>
      <c r="S47" s="774">
        <f t="shared" si="12"/>
        <v>100</v>
      </c>
      <c r="T47" s="773" t="s">
        <v>17</v>
      </c>
      <c r="U47" s="774">
        <f t="shared" si="13"/>
        <v>100</v>
      </c>
      <c r="V47" s="773" t="s">
        <v>17</v>
      </c>
      <c r="W47" s="774">
        <f t="shared" si="14"/>
        <v>100</v>
      </c>
      <c r="X47" s="1815"/>
      <c r="Y47" s="3259"/>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37" t="str">
        <f>A48</f>
        <v>成交单价（元/平方米）</v>
      </c>
      <c r="Q48" s="3260"/>
      <c r="R48" s="3261">
        <f>E48</f>
        <v>0</v>
      </c>
      <c r="S48" s="3261"/>
      <c r="T48" s="3261">
        <f>G48</f>
        <v>0</v>
      </c>
      <c r="U48" s="3261"/>
      <c r="V48" s="3261">
        <f>I48</f>
        <v>0</v>
      </c>
      <c r="W48" s="3261"/>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37"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07" t="str">
        <f>A50</f>
        <v>估价对象XX用房的比较价值（楼面单价，元/平方米）</v>
      </c>
      <c r="Q50" s="3308"/>
      <c r="R50" s="3309" t="e">
        <f>IF(F1="售价",ROUND(AVERAGE(R49:V49),0),ROUND(AVERAGE(R49:V49),1))</f>
        <v>#DIV/0!</v>
      </c>
      <c r="S50" s="3309"/>
      <c r="T50" s="3309"/>
      <c r="U50" s="3309"/>
      <c r="V50" s="3309"/>
      <c r="W50" s="330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4020.0999999999995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54"/>
      <c r="Q18" s="1812"/>
      <c r="R18" s="773"/>
      <c r="S18" s="774"/>
      <c r="T18" s="773"/>
      <c r="U18" s="774"/>
      <c r="V18" s="773"/>
      <c r="W18" s="774"/>
      <c r="X18" s="1815"/>
      <c r="Y18" s="3254"/>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4"/>
      <c r="Q19" s="1812" t="str">
        <f>B19</f>
        <v>公共配套设施</v>
      </c>
      <c r="R19" s="773" t="s">
        <v>17</v>
      </c>
      <c r="S19" s="774">
        <f>F19</f>
        <v>100</v>
      </c>
      <c r="T19" s="773" t="s">
        <v>17</v>
      </c>
      <c r="U19" s="774">
        <f>H19</f>
        <v>100</v>
      </c>
      <c r="V19" s="773" t="s">
        <v>17</v>
      </c>
      <c r="W19" s="774">
        <f>J19</f>
        <v>100</v>
      </c>
      <c r="X19" s="1815"/>
      <c r="Y19" s="325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54"/>
      <c r="Q20" s="1812"/>
      <c r="R20" s="773"/>
      <c r="S20" s="774"/>
      <c r="T20" s="773"/>
      <c r="U20" s="774"/>
      <c r="V20" s="773"/>
      <c r="W20" s="774"/>
      <c r="X20" s="1815"/>
      <c r="Y20" s="3254"/>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4"/>
      <c r="Q21" s="1812" t="str">
        <f>B21</f>
        <v>基础设施水平</v>
      </c>
      <c r="R21" s="773" t="s">
        <v>17</v>
      </c>
      <c r="S21" s="774">
        <f>F21</f>
        <v>100</v>
      </c>
      <c r="T21" s="773" t="s">
        <v>17</v>
      </c>
      <c r="U21" s="774">
        <f>H21</f>
        <v>100</v>
      </c>
      <c r="V21" s="773" t="s">
        <v>17</v>
      </c>
      <c r="W21" s="774">
        <f>J21</f>
        <v>100</v>
      </c>
      <c r="X21" s="1815"/>
      <c r="Y21" s="325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54"/>
      <c r="Q22" s="1812"/>
      <c r="R22" s="773"/>
      <c r="S22" s="774"/>
      <c r="T22" s="773"/>
      <c r="U22" s="774"/>
      <c r="V22" s="773"/>
      <c r="W22" s="774"/>
      <c r="X22" s="1815"/>
      <c r="Y22" s="3254"/>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4"/>
      <c r="Q23" s="1812" t="str">
        <f>B23</f>
        <v>环境质量</v>
      </c>
      <c r="R23" s="773" t="s">
        <v>17</v>
      </c>
      <c r="S23" s="774">
        <f>F23</f>
        <v>100</v>
      </c>
      <c r="T23" s="773" t="s">
        <v>17</v>
      </c>
      <c r="U23" s="774">
        <f>H23</f>
        <v>100</v>
      </c>
      <c r="V23" s="773" t="s">
        <v>17</v>
      </c>
      <c r="W23" s="774">
        <f>J23</f>
        <v>100</v>
      </c>
      <c r="X23" s="1815"/>
      <c r="Y23" s="3254"/>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54"/>
      <c r="Q24" s="1812"/>
      <c r="R24" s="773"/>
      <c r="S24" s="774"/>
      <c r="T24" s="773"/>
      <c r="U24" s="774"/>
      <c r="V24" s="773"/>
      <c r="W24" s="774"/>
      <c r="X24" s="1815"/>
      <c r="Y24" s="325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4"/>
      <c r="Q25" s="1812">
        <f>B25</f>
        <v>111</v>
      </c>
      <c r="R25" s="773" t="s">
        <v>17</v>
      </c>
      <c r="S25" s="774">
        <f>F25</f>
        <v>100</v>
      </c>
      <c r="T25" s="773" t="s">
        <v>17</v>
      </c>
      <c r="U25" s="774">
        <f>H25</f>
        <v>100</v>
      </c>
      <c r="V25" s="773" t="s">
        <v>17</v>
      </c>
      <c r="W25" s="774">
        <f>J25</f>
        <v>100</v>
      </c>
      <c r="X25" s="1815"/>
      <c r="Y25" s="325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4"/>
      <c r="Q26" s="1812">
        <f t="shared" ref="Q26:Q40" si="11">B26</f>
        <v>111</v>
      </c>
      <c r="R26" s="773" t="s">
        <v>17</v>
      </c>
      <c r="S26" s="774">
        <f>F26</f>
        <v>100</v>
      </c>
      <c r="T26" s="773" t="s">
        <v>17</v>
      </c>
      <c r="U26" s="774">
        <f>H26</f>
        <v>100</v>
      </c>
      <c r="V26" s="773" t="s">
        <v>17</v>
      </c>
      <c r="W26" s="774">
        <f>J26</f>
        <v>100</v>
      </c>
      <c r="X26" s="1815"/>
      <c r="Y26" s="325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4"/>
      <c r="Q27" s="1797">
        <f t="shared" si="11"/>
        <v>111</v>
      </c>
      <c r="R27" s="769" t="s">
        <v>17</v>
      </c>
      <c r="S27" s="770">
        <f>F27</f>
        <v>100</v>
      </c>
      <c r="T27" s="769" t="s">
        <v>17</v>
      </c>
      <c r="U27" s="770">
        <f>H27</f>
        <v>100</v>
      </c>
      <c r="V27" s="769" t="s">
        <v>17</v>
      </c>
      <c r="W27" s="770">
        <f>J27</f>
        <v>100</v>
      </c>
      <c r="X27" s="771"/>
      <c r="Y27" s="325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4"/>
      <c r="Q28" s="1812">
        <f t="shared" si="11"/>
        <v>111</v>
      </c>
      <c r="R28" s="773" t="s">
        <v>17</v>
      </c>
      <c r="S28" s="774">
        <f t="shared" ref="S28:S40" si="12">F28</f>
        <v>100</v>
      </c>
      <c r="T28" s="773" t="s">
        <v>17</v>
      </c>
      <c r="U28" s="774">
        <f t="shared" ref="U28:U40" si="13">H28</f>
        <v>100</v>
      </c>
      <c r="V28" s="773" t="s">
        <v>17</v>
      </c>
      <c r="W28" s="774">
        <f t="shared" ref="W28:W40" si="14">J28</f>
        <v>100</v>
      </c>
      <c r="X28" s="1815"/>
      <c r="Y28" s="3254"/>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10" t="s">
        <v>2563</v>
      </c>
      <c r="Q29" s="1812" t="str">
        <f t="shared" si="11"/>
        <v>建筑类型</v>
      </c>
      <c r="R29" s="773" t="s">
        <v>17</v>
      </c>
      <c r="S29" s="774">
        <f t="shared" si="12"/>
        <v>100</v>
      </c>
      <c r="T29" s="773" t="s">
        <v>17</v>
      </c>
      <c r="U29" s="774">
        <f t="shared" si="13"/>
        <v>100</v>
      </c>
      <c r="V29" s="773" t="s">
        <v>17</v>
      </c>
      <c r="W29" s="774">
        <f t="shared" si="14"/>
        <v>100</v>
      </c>
      <c r="X29" s="1815"/>
      <c r="Y29" s="3258"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8"/>
      <c r="Q31" s="1812" t="str">
        <f t="shared" si="11"/>
        <v>建筑结构</v>
      </c>
      <c r="R31" s="773" t="s">
        <v>17</v>
      </c>
      <c r="S31" s="774">
        <f t="shared" si="12"/>
        <v>100</v>
      </c>
      <c r="T31" s="773" t="s">
        <v>17</v>
      </c>
      <c r="U31" s="774">
        <f t="shared" si="13"/>
        <v>100</v>
      </c>
      <c r="V31" s="773" t="s">
        <v>17</v>
      </c>
      <c r="W31" s="774">
        <f t="shared" si="14"/>
        <v>100</v>
      </c>
      <c r="X31" s="1815"/>
      <c r="Y31" s="3258"/>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8"/>
      <c r="Q32" s="1812" t="str">
        <f t="shared" si="11"/>
        <v>公共部分装修</v>
      </c>
      <c r="R32" s="773" t="s">
        <v>17</v>
      </c>
      <c r="S32" s="774">
        <f t="shared" si="12"/>
        <v>100</v>
      </c>
      <c r="T32" s="773" t="s">
        <v>17</v>
      </c>
      <c r="U32" s="774">
        <f t="shared" si="13"/>
        <v>100</v>
      </c>
      <c r="V32" s="773" t="s">
        <v>17</v>
      </c>
      <c r="W32" s="774">
        <f t="shared" si="14"/>
        <v>100</v>
      </c>
      <c r="X32" s="1815"/>
      <c r="Y32" s="3258"/>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8"/>
      <c r="Q33" s="1812" t="str">
        <f t="shared" si="11"/>
        <v>成新度</v>
      </c>
      <c r="R33" s="773" t="s">
        <v>17</v>
      </c>
      <c r="S33" s="774" t="e">
        <f t="shared" si="12"/>
        <v>#N/A</v>
      </c>
      <c r="T33" s="773" t="s">
        <v>17</v>
      </c>
      <c r="U33" s="774" t="e">
        <f t="shared" si="13"/>
        <v>#N/A</v>
      </c>
      <c r="V33" s="773" t="s">
        <v>17</v>
      </c>
      <c r="W33" s="774" t="e">
        <f t="shared" si="14"/>
        <v>#N/A</v>
      </c>
      <c r="X33" s="1815"/>
      <c r="Y33" s="3258"/>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8"/>
      <c r="Q34" s="1797"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8" t="s">
        <v>2563</v>
      </c>
      <c r="Q35" s="1812" t="str">
        <f t="shared" si="11"/>
        <v>市政基础设施</v>
      </c>
      <c r="R35" s="773" t="s">
        <v>17</v>
      </c>
      <c r="S35" s="774">
        <f t="shared" si="12"/>
        <v>100</v>
      </c>
      <c r="T35" s="773" t="s">
        <v>17</v>
      </c>
      <c r="U35" s="774">
        <f t="shared" si="13"/>
        <v>100</v>
      </c>
      <c r="V35" s="773" t="s">
        <v>17</v>
      </c>
      <c r="W35" s="774">
        <f t="shared" si="14"/>
        <v>100</v>
      </c>
      <c r="X35" s="1815"/>
      <c r="Y35" s="3258"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8"/>
      <c r="Q36" s="1812" t="str">
        <f t="shared" si="11"/>
        <v>内部装修</v>
      </c>
      <c r="R36" s="773" t="s">
        <v>17</v>
      </c>
      <c r="S36" s="774">
        <f t="shared" si="12"/>
        <v>100</v>
      </c>
      <c r="T36" s="773" t="s">
        <v>17</v>
      </c>
      <c r="U36" s="774">
        <f t="shared" si="13"/>
        <v>100</v>
      </c>
      <c r="V36" s="773" t="s">
        <v>17</v>
      </c>
      <c r="W36" s="774">
        <f t="shared" si="14"/>
        <v>100</v>
      </c>
      <c r="X36" s="1815"/>
      <c r="Y36" s="3258"/>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8"/>
      <c r="Q37" s="1812" t="str">
        <f t="shared" si="11"/>
        <v>内部装修状况</v>
      </c>
      <c r="R37" s="773" t="s">
        <v>17</v>
      </c>
      <c r="S37" s="774">
        <f t="shared" si="12"/>
        <v>100</v>
      </c>
      <c r="T37" s="773" t="s">
        <v>17</v>
      </c>
      <c r="U37" s="774">
        <f t="shared" si="13"/>
        <v>100</v>
      </c>
      <c r="V37" s="773" t="s">
        <v>17</v>
      </c>
      <c r="W37" s="774">
        <f t="shared" si="14"/>
        <v>100</v>
      </c>
      <c r="X37" s="1815"/>
      <c r="Y37" s="325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8"/>
      <c r="Q39" s="1812">
        <f t="shared" si="11"/>
        <v>111</v>
      </c>
      <c r="R39" s="773" t="s">
        <v>17</v>
      </c>
      <c r="S39" s="774">
        <f t="shared" si="12"/>
        <v>100</v>
      </c>
      <c r="T39" s="773" t="s">
        <v>17</v>
      </c>
      <c r="U39" s="774">
        <f t="shared" si="13"/>
        <v>100</v>
      </c>
      <c r="V39" s="773" t="s">
        <v>17</v>
      </c>
      <c r="W39" s="774">
        <f t="shared" si="14"/>
        <v>100</v>
      </c>
      <c r="X39" s="1815"/>
      <c r="Y39" s="325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9"/>
      <c r="Q40" s="1812">
        <f t="shared" si="11"/>
        <v>111</v>
      </c>
      <c r="R40" s="773" t="s">
        <v>17</v>
      </c>
      <c r="S40" s="774">
        <f t="shared" si="12"/>
        <v>100</v>
      </c>
      <c r="T40" s="773" t="s">
        <v>17</v>
      </c>
      <c r="U40" s="774">
        <f t="shared" si="13"/>
        <v>100</v>
      </c>
      <c r="V40" s="773" t="s">
        <v>17</v>
      </c>
      <c r="W40" s="774">
        <f t="shared" si="14"/>
        <v>100</v>
      </c>
      <c r="X40" s="1815"/>
      <c r="Y40" s="3259"/>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估价对象为湖北省武汉市房地产，为武汉统建所有。根据，估价对象（分摊）出让国有建设用地使用权面积为1148.6平方米，建筑面积为4020.1平方米。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估价对象为湖北省武汉市房地产,属武汉统建开发建设的商业项目，该项目尚在开发建设中。根据，估价对象（分摊）出让国有建设用地使用权面积为1148.6平方米，规划建筑面积为4020.1平方米。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54"/>
      <c r="Q15" s="1812"/>
      <c r="R15" s="773"/>
      <c r="S15" s="774"/>
      <c r="T15" s="773"/>
      <c r="U15" s="774"/>
      <c r="V15" s="773"/>
      <c r="W15" s="774"/>
      <c r="X15" s="1815"/>
      <c r="Y15" s="3254"/>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54"/>
      <c r="Q17" s="1812"/>
      <c r="R17" s="773"/>
      <c r="S17" s="774"/>
      <c r="T17" s="773"/>
      <c r="U17" s="774"/>
      <c r="V17" s="773"/>
      <c r="W17" s="774"/>
      <c r="X17" s="1815"/>
      <c r="Y17" s="3254"/>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54"/>
      <c r="Q19" s="1812"/>
      <c r="R19" s="773"/>
      <c r="S19" s="774"/>
      <c r="T19" s="773"/>
      <c r="U19" s="774"/>
      <c r="V19" s="773"/>
      <c r="W19" s="774"/>
      <c r="X19" s="1815"/>
      <c r="Y19" s="3254"/>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54"/>
      <c r="Q21" s="1812"/>
      <c r="R21" s="773"/>
      <c r="S21" s="774"/>
      <c r="T21" s="773"/>
      <c r="U21" s="774"/>
      <c r="V21" s="773"/>
      <c r="W21" s="774"/>
      <c r="X21" s="1815"/>
      <c r="Y21" s="3254"/>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4"/>
      <c r="Q24" s="1812">
        <f t="shared" ref="Q24:Q36"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10"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8"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8"/>
      <c r="Q28" s="1812" t="str">
        <f t="shared" si="11"/>
        <v>公共部分装修</v>
      </c>
      <c r="R28" s="773" t="s">
        <v>17</v>
      </c>
      <c r="S28" s="774">
        <f t="shared" si="12"/>
        <v>100</v>
      </c>
      <c r="T28" s="773" t="s">
        <v>17</v>
      </c>
      <c r="U28" s="774">
        <f t="shared" si="13"/>
        <v>100</v>
      </c>
      <c r="V28" s="773" t="s">
        <v>17</v>
      </c>
      <c r="W28" s="774">
        <f t="shared" si="14"/>
        <v>100</v>
      </c>
      <c r="X28" s="1815"/>
      <c r="Y28" s="3258"/>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8"/>
      <c r="Q29" s="1812" t="str">
        <f t="shared" si="11"/>
        <v>成新率</v>
      </c>
      <c r="R29" s="773" t="s">
        <v>17</v>
      </c>
      <c r="S29" s="774" t="e">
        <f t="shared" si="12"/>
        <v>#N/A</v>
      </c>
      <c r="T29" s="773" t="s">
        <v>17</v>
      </c>
      <c r="U29" s="774" t="e">
        <f t="shared" si="13"/>
        <v>#N/A</v>
      </c>
      <c r="V29" s="773" t="s">
        <v>17</v>
      </c>
      <c r="W29" s="774" t="e">
        <f t="shared" si="14"/>
        <v>#N/A</v>
      </c>
      <c r="X29" s="1815"/>
      <c r="Y29" s="3258"/>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58"/>
      <c r="Q30" s="1812" t="str">
        <f t="shared" si="11"/>
        <v>物业等级</v>
      </c>
      <c r="R30" s="773" t="s">
        <v>17</v>
      </c>
      <c r="S30" s="774">
        <f t="shared" si="12"/>
        <v>100</v>
      </c>
      <c r="T30" s="773" t="s">
        <v>17</v>
      </c>
      <c r="U30" s="774">
        <f t="shared" si="13"/>
        <v>100</v>
      </c>
      <c r="V30" s="773" t="s">
        <v>17</v>
      </c>
      <c r="W30" s="774">
        <f t="shared" si="14"/>
        <v>100</v>
      </c>
      <c r="X30" s="1815"/>
      <c r="Y30" s="3258"/>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8"/>
      <c r="Q31" s="1797"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8" t="s">
        <v>2563</v>
      </c>
      <c r="Q32" s="1812" t="str">
        <f t="shared" si="11"/>
        <v>车位类型</v>
      </c>
      <c r="R32" s="773" t="s">
        <v>17</v>
      </c>
      <c r="S32" s="774">
        <f t="shared" si="12"/>
        <v>100</v>
      </c>
      <c r="T32" s="773" t="s">
        <v>17</v>
      </c>
      <c r="U32" s="774">
        <f t="shared" si="13"/>
        <v>100</v>
      </c>
      <c r="V32" s="773" t="s">
        <v>17</v>
      </c>
      <c r="W32" s="774">
        <f t="shared" si="14"/>
        <v>100</v>
      </c>
      <c r="X32" s="1815"/>
      <c r="Y32" s="3258"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8"/>
      <c r="Q33" s="1812" t="str">
        <f t="shared" si="11"/>
        <v>是否直接入户</v>
      </c>
      <c r="R33" s="773" t="s">
        <v>17</v>
      </c>
      <c r="S33" s="774">
        <f t="shared" si="12"/>
        <v>100</v>
      </c>
      <c r="T33" s="773" t="s">
        <v>17</v>
      </c>
      <c r="U33" s="774">
        <f t="shared" si="13"/>
        <v>100</v>
      </c>
      <c r="V33" s="773" t="s">
        <v>17</v>
      </c>
      <c r="W33" s="774">
        <f t="shared" si="14"/>
        <v>100</v>
      </c>
      <c r="X33" s="1815"/>
      <c r="Y33" s="3258"/>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8"/>
      <c r="Q36" s="1812">
        <f t="shared" si="11"/>
        <v>111</v>
      </c>
      <c r="R36" s="773" t="s">
        <v>17</v>
      </c>
      <c r="S36" s="774">
        <f t="shared" si="12"/>
        <v>100</v>
      </c>
      <c r="T36" s="773" t="s">
        <v>17</v>
      </c>
      <c r="U36" s="774">
        <f t="shared" si="13"/>
        <v>100</v>
      </c>
      <c r="V36" s="773" t="s">
        <v>17</v>
      </c>
      <c r="W36" s="774">
        <f t="shared" si="14"/>
        <v>100</v>
      </c>
      <c r="X36" s="1815"/>
      <c r="Y36" s="3258"/>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60" t="str">
        <f>A37</f>
        <v>成交单价</v>
      </c>
      <c r="Q37" s="3260"/>
      <c r="R37" s="3261">
        <f>E37</f>
        <v>0</v>
      </c>
      <c r="S37" s="3261"/>
      <c r="T37" s="3261">
        <f>G37</f>
        <v>0</v>
      </c>
      <c r="U37" s="3261"/>
      <c r="V37" s="3261">
        <f>I37</f>
        <v>0</v>
      </c>
      <c r="W37" s="3261"/>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22" t="s">
        <v>2547</v>
      </c>
      <c r="Q7" s="3250"/>
      <c r="R7" s="769" t="s">
        <v>17</v>
      </c>
      <c r="S7" s="770">
        <f t="shared" ref="S7:S14" si="0">F7</f>
        <v>0</v>
      </c>
      <c r="T7" s="769" t="s">
        <v>17</v>
      </c>
      <c r="U7" s="770">
        <f t="shared" ref="U7:U14" si="1">H7</f>
        <v>0</v>
      </c>
      <c r="V7" s="769" t="s">
        <v>17</v>
      </c>
      <c r="W7" s="770">
        <f t="shared" ref="W7:W14" si="2">J7</f>
        <v>0</v>
      </c>
      <c r="X7" s="771"/>
      <c r="Y7" s="3222" t="s">
        <v>2547</v>
      </c>
      <c r="Z7" s="3223"/>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60" t="s">
        <v>2553</v>
      </c>
      <c r="Q9" s="1797" t="str">
        <f t="shared" ref="Q9:Q14" si="6">B9</f>
        <v>用途</v>
      </c>
      <c r="R9" s="769" t="s">
        <v>17</v>
      </c>
      <c r="S9" s="770">
        <f t="shared" si="0"/>
        <v>100</v>
      </c>
      <c r="T9" s="769" t="s">
        <v>17</v>
      </c>
      <c r="U9" s="770">
        <f t="shared" si="1"/>
        <v>100</v>
      </c>
      <c r="V9" s="769" t="s">
        <v>17</v>
      </c>
      <c r="W9" s="770">
        <f t="shared" si="2"/>
        <v>100</v>
      </c>
      <c r="X9" s="771"/>
      <c r="Y9" s="3095"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60"/>
      <c r="Q10" s="1797" t="str">
        <f t="shared" si="6"/>
        <v>土地使用年限（年）</v>
      </c>
      <c r="R10" s="769" t="s">
        <v>17</v>
      </c>
      <c r="S10" s="770">
        <f t="shared" si="0"/>
        <v>100</v>
      </c>
      <c r="T10" s="769" t="s">
        <v>17</v>
      </c>
      <c r="U10" s="770">
        <f t="shared" si="1"/>
        <v>100</v>
      </c>
      <c r="V10" s="769" t="s">
        <v>17</v>
      </c>
      <c r="W10" s="770">
        <f t="shared" si="2"/>
        <v>100</v>
      </c>
      <c r="X10" s="771"/>
      <c r="Y10" s="3095"/>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60"/>
      <c r="Q11" s="1797">
        <f t="shared" si="6"/>
        <v>111</v>
      </c>
      <c r="R11" s="769" t="s">
        <v>17</v>
      </c>
      <c r="S11" s="770">
        <f t="shared" si="0"/>
        <v>100</v>
      </c>
      <c r="T11" s="769" t="s">
        <v>17</v>
      </c>
      <c r="U11" s="770">
        <f t="shared" si="1"/>
        <v>100</v>
      </c>
      <c r="V11" s="769" t="s">
        <v>17</v>
      </c>
      <c r="W11" s="770">
        <f t="shared" si="2"/>
        <v>100</v>
      </c>
      <c r="X11" s="771"/>
      <c r="Y11" s="3095"/>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53" t="s">
        <v>2558</v>
      </c>
      <c r="Q14" s="1812" t="str">
        <f t="shared" si="6"/>
        <v>交通便捷度</v>
      </c>
      <c r="R14" s="773" t="s">
        <v>17</v>
      </c>
      <c r="S14" s="774">
        <f t="shared" si="0"/>
        <v>100</v>
      </c>
      <c r="T14" s="773" t="s">
        <v>17</v>
      </c>
      <c r="U14" s="774">
        <f t="shared" si="1"/>
        <v>100</v>
      </c>
      <c r="V14" s="773" t="s">
        <v>17</v>
      </c>
      <c r="W14" s="774">
        <f t="shared" si="2"/>
        <v>100</v>
      </c>
      <c r="X14" s="1815"/>
      <c r="Y14" s="3253"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4"/>
      <c r="Q15" s="1812"/>
      <c r="R15" s="773"/>
      <c r="S15" s="774"/>
      <c r="T15" s="773"/>
      <c r="U15" s="774"/>
      <c r="V15" s="773"/>
      <c r="W15" s="774"/>
      <c r="X15" s="1815"/>
      <c r="Y15" s="3254"/>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4"/>
      <c r="Q16" s="1812" t="str">
        <f>B16</f>
        <v>公共配套设施</v>
      </c>
      <c r="R16" s="773" t="s">
        <v>17</v>
      </c>
      <c r="S16" s="774">
        <f>F16</f>
        <v>100</v>
      </c>
      <c r="T16" s="773" t="s">
        <v>17</v>
      </c>
      <c r="U16" s="774">
        <f>H16</f>
        <v>100</v>
      </c>
      <c r="V16" s="773" t="s">
        <v>17</v>
      </c>
      <c r="W16" s="774">
        <f>J16</f>
        <v>100</v>
      </c>
      <c r="X16" s="1815"/>
      <c r="Y16" s="325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54"/>
      <c r="Q17" s="1812"/>
      <c r="R17" s="773"/>
      <c r="S17" s="774"/>
      <c r="T17" s="773"/>
      <c r="U17" s="774"/>
      <c r="V17" s="773"/>
      <c r="W17" s="774"/>
      <c r="X17" s="1815"/>
      <c r="Y17" s="3254"/>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4"/>
      <c r="Q18" s="1812" t="str">
        <f>B18</f>
        <v>基础设施水平</v>
      </c>
      <c r="R18" s="773" t="s">
        <v>17</v>
      </c>
      <c r="S18" s="774">
        <f>F18</f>
        <v>100</v>
      </c>
      <c r="T18" s="773" t="s">
        <v>17</v>
      </c>
      <c r="U18" s="774">
        <f>H18</f>
        <v>100</v>
      </c>
      <c r="V18" s="773" t="s">
        <v>17</v>
      </c>
      <c r="W18" s="774">
        <f>J18</f>
        <v>100</v>
      </c>
      <c r="X18" s="1815"/>
      <c r="Y18" s="3254"/>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54"/>
      <c r="Q19" s="1812"/>
      <c r="R19" s="773"/>
      <c r="S19" s="774"/>
      <c r="T19" s="773"/>
      <c r="U19" s="774"/>
      <c r="V19" s="773"/>
      <c r="W19" s="774"/>
      <c r="X19" s="1815"/>
      <c r="Y19" s="3254"/>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4"/>
      <c r="Q20" s="1812" t="str">
        <f>B20</f>
        <v>自然及人文环境</v>
      </c>
      <c r="R20" s="773" t="s">
        <v>17</v>
      </c>
      <c r="S20" s="774">
        <f>F20</f>
        <v>100</v>
      </c>
      <c r="T20" s="773" t="s">
        <v>17</v>
      </c>
      <c r="U20" s="774">
        <f>H20</f>
        <v>100</v>
      </c>
      <c r="V20" s="773" t="s">
        <v>17</v>
      </c>
      <c r="W20" s="774">
        <f>J20</f>
        <v>100</v>
      </c>
      <c r="X20" s="1815"/>
      <c r="Y20" s="325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4"/>
      <c r="Q21" s="1812"/>
      <c r="R21" s="773"/>
      <c r="S21" s="774"/>
      <c r="T21" s="773"/>
      <c r="U21" s="774"/>
      <c r="V21" s="773"/>
      <c r="W21" s="774"/>
      <c r="X21" s="1815"/>
      <c r="Y21" s="3254"/>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4"/>
      <c r="Q22" s="1812" t="str">
        <f>B22</f>
        <v>楼层</v>
      </c>
      <c r="R22" s="773" t="s">
        <v>17</v>
      </c>
      <c r="S22" s="774">
        <f>F22</f>
        <v>100</v>
      </c>
      <c r="T22" s="773" t="s">
        <v>17</v>
      </c>
      <c r="U22" s="774">
        <f>H22</f>
        <v>100</v>
      </c>
      <c r="V22" s="773" t="s">
        <v>17</v>
      </c>
      <c r="W22" s="774">
        <f>J22</f>
        <v>100</v>
      </c>
      <c r="X22" s="1815"/>
      <c r="Y22" s="325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4"/>
      <c r="Q23" s="1812">
        <f>B23</f>
        <v>111</v>
      </c>
      <c r="R23" s="773" t="s">
        <v>17</v>
      </c>
      <c r="S23" s="774">
        <f>F23</f>
        <v>100</v>
      </c>
      <c r="T23" s="773" t="s">
        <v>17</v>
      </c>
      <c r="U23" s="774">
        <f>H23</f>
        <v>100</v>
      </c>
      <c r="V23" s="773" t="s">
        <v>17</v>
      </c>
      <c r="W23" s="774">
        <f>J23</f>
        <v>100</v>
      </c>
      <c r="X23" s="1815"/>
      <c r="Y23" s="325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4"/>
      <c r="Q24" s="1812">
        <f t="shared" ref="Q24:Q34" si="11">B24</f>
        <v>111</v>
      </c>
      <c r="R24" s="773" t="s">
        <v>17</v>
      </c>
      <c r="S24" s="774">
        <f>F24</f>
        <v>100</v>
      </c>
      <c r="T24" s="773" t="s">
        <v>17</v>
      </c>
      <c r="U24" s="774">
        <f>H24</f>
        <v>100</v>
      </c>
      <c r="V24" s="773" t="s">
        <v>17</v>
      </c>
      <c r="W24" s="774">
        <f>J24</f>
        <v>100</v>
      </c>
      <c r="X24" s="1815"/>
      <c r="Y24" s="3254"/>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54"/>
      <c r="Q25" s="1797">
        <f t="shared" si="11"/>
        <v>111</v>
      </c>
      <c r="R25" s="769" t="s">
        <v>17</v>
      </c>
      <c r="S25" s="770">
        <f>F25</f>
        <v>100</v>
      </c>
      <c r="T25" s="769" t="s">
        <v>17</v>
      </c>
      <c r="U25" s="770">
        <f>H25</f>
        <v>100</v>
      </c>
      <c r="V25" s="769" t="s">
        <v>17</v>
      </c>
      <c r="W25" s="770">
        <f>J25</f>
        <v>100</v>
      </c>
      <c r="X25" s="771"/>
      <c r="Y25" s="3254"/>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10"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8"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8"/>
      <c r="Q28" s="1812" t="str">
        <f t="shared" si="11"/>
        <v>物业等级</v>
      </c>
      <c r="R28" s="773" t="s">
        <v>17</v>
      </c>
      <c r="S28" s="774">
        <f t="shared" si="12"/>
        <v>100</v>
      </c>
      <c r="T28" s="773" t="s">
        <v>17</v>
      </c>
      <c r="U28" s="774">
        <f t="shared" si="13"/>
        <v>100</v>
      </c>
      <c r="V28" s="773" t="s">
        <v>17</v>
      </c>
      <c r="W28" s="774">
        <f t="shared" si="14"/>
        <v>100</v>
      </c>
      <c r="X28" s="1815"/>
      <c r="Y28" s="3258"/>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58"/>
      <c r="Q29" s="1812" t="str">
        <f t="shared" si="11"/>
        <v>有无电梯</v>
      </c>
      <c r="R29" s="773" t="s">
        <v>17</v>
      </c>
      <c r="S29" s="774">
        <f t="shared" si="12"/>
        <v>100</v>
      </c>
      <c r="T29" s="773" t="s">
        <v>17</v>
      </c>
      <c r="U29" s="774">
        <f t="shared" si="13"/>
        <v>100</v>
      </c>
      <c r="V29" s="773" t="s">
        <v>17</v>
      </c>
      <c r="W29" s="774">
        <f t="shared" si="14"/>
        <v>100</v>
      </c>
      <c r="X29" s="1815"/>
      <c r="Y29" s="3258"/>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8"/>
      <c r="Q30" s="1812" t="str">
        <f t="shared" si="11"/>
        <v>建筑面积</v>
      </c>
      <c r="R30" s="773" t="s">
        <v>17</v>
      </c>
      <c r="S30" s="774" t="e">
        <f t="shared" si="12"/>
        <v>#N/A</v>
      </c>
      <c r="T30" s="773" t="s">
        <v>17</v>
      </c>
      <c r="U30" s="774" t="e">
        <f t="shared" si="13"/>
        <v>#N/A</v>
      </c>
      <c r="V30" s="773" t="s">
        <v>17</v>
      </c>
      <c r="W30" s="774" t="e">
        <f t="shared" si="14"/>
        <v>#N/A</v>
      </c>
      <c r="X30" s="1815"/>
      <c r="Y30" s="3258"/>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58"/>
      <c r="Q31" s="1797"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8" t="s">
        <v>2563</v>
      </c>
      <c r="Q32" s="1812">
        <f t="shared" si="11"/>
        <v>111</v>
      </c>
      <c r="R32" s="773" t="s">
        <v>17</v>
      </c>
      <c r="S32" s="774">
        <f t="shared" si="12"/>
        <v>100</v>
      </c>
      <c r="T32" s="773" t="s">
        <v>17</v>
      </c>
      <c r="U32" s="774">
        <f t="shared" si="13"/>
        <v>100</v>
      </c>
      <c r="V32" s="773" t="s">
        <v>17</v>
      </c>
      <c r="W32" s="774">
        <f t="shared" si="14"/>
        <v>100</v>
      </c>
      <c r="X32" s="1815"/>
      <c r="Y32" s="3258"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8"/>
      <c r="Q33" s="1812">
        <f t="shared" si="11"/>
        <v>111</v>
      </c>
      <c r="R33" s="773" t="s">
        <v>17</v>
      </c>
      <c r="S33" s="774">
        <f t="shared" si="12"/>
        <v>100</v>
      </c>
      <c r="T33" s="773" t="s">
        <v>17</v>
      </c>
      <c r="U33" s="774">
        <f t="shared" si="13"/>
        <v>100</v>
      </c>
      <c r="V33" s="773" t="s">
        <v>17</v>
      </c>
      <c r="W33" s="774">
        <f t="shared" si="14"/>
        <v>100</v>
      </c>
      <c r="X33" s="1815"/>
      <c r="Y33" s="325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58"/>
      <c r="Q34" s="1812">
        <f t="shared" si="11"/>
        <v>111</v>
      </c>
      <c r="R34" s="773" t="s">
        <v>17</v>
      </c>
      <c r="S34" s="774">
        <f t="shared" si="12"/>
        <v>100</v>
      </c>
      <c r="T34" s="773" t="s">
        <v>17</v>
      </c>
      <c r="U34" s="774">
        <f t="shared" si="13"/>
        <v>100</v>
      </c>
      <c r="V34" s="773" t="s">
        <v>17</v>
      </c>
      <c r="W34" s="774">
        <f t="shared" si="14"/>
        <v>100</v>
      </c>
      <c r="X34" s="1815"/>
      <c r="Y34" s="3258"/>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30"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30" ht="15.75" thickBot="1">
      <c r="A6" s="406"/>
      <c r="B6" s="407"/>
      <c r="C6" s="3232" t="s">
        <v>2544</v>
      </c>
      <c r="D6" s="3233"/>
      <c r="E6" s="3294" t="s">
        <v>2544</v>
      </c>
      <c r="F6" s="3235"/>
      <c r="G6" s="3232" t="s">
        <v>2544</v>
      </c>
      <c r="H6" s="3233"/>
      <c r="I6" s="3232" t="s">
        <v>2544</v>
      </c>
      <c r="J6" s="3233"/>
      <c r="K6" s="610" t="s">
        <v>2545</v>
      </c>
      <c r="L6" s="1132"/>
      <c r="M6" s="1133"/>
      <c r="N6" s="1133"/>
      <c r="O6" s="1133"/>
      <c r="P6" s="3246"/>
      <c r="Q6" s="3247"/>
      <c r="R6" s="3226"/>
      <c r="S6" s="3227"/>
      <c r="T6" s="3248"/>
      <c r="U6" s="3249"/>
      <c r="V6" s="3221"/>
      <c r="W6" s="3221"/>
      <c r="X6" s="1815"/>
      <c r="Y6" s="3248"/>
      <c r="Z6" s="3249"/>
      <c r="AA6" s="3220"/>
      <c r="AB6" s="3220"/>
      <c r="AC6" s="3220"/>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1"/>
      <c r="L10" s="1137"/>
      <c r="M10" s="1138"/>
      <c r="N10" s="1138"/>
      <c r="O10" s="1139"/>
      <c r="P10" s="3260"/>
      <c r="Q10" s="1797" t="str">
        <f t="shared" si="6"/>
        <v>土地使用年限（年）</v>
      </c>
      <c r="R10" s="769" t="s">
        <v>17</v>
      </c>
      <c r="S10" s="770">
        <f t="shared" si="0"/>
        <v>110</v>
      </c>
      <c r="T10" s="769" t="s">
        <v>17</v>
      </c>
      <c r="U10" s="770">
        <f t="shared" si="1"/>
        <v>110</v>
      </c>
      <c r="V10" s="769" t="s">
        <v>17</v>
      </c>
      <c r="W10" s="770">
        <f t="shared" si="2"/>
        <v>110</v>
      </c>
      <c r="X10" s="771"/>
      <c r="Y10" s="3095"/>
      <c r="Z10" s="55" t="str">
        <f t="shared" si="7"/>
        <v>土地使用年限（年）</v>
      </c>
      <c r="AA10" s="772">
        <f t="shared" si="3"/>
        <v>0.90909090909090906</v>
      </c>
      <c r="AB10" s="772">
        <f t="shared" si="4"/>
        <v>0.90909090909090906</v>
      </c>
      <c r="AC10" s="772">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60"/>
      <c r="Q12" s="1797" t="str">
        <f t="shared" si="6"/>
        <v>配建</v>
      </c>
      <c r="R12" s="769" t="s">
        <v>17</v>
      </c>
      <c r="S12" s="770">
        <f t="shared" si="0"/>
        <v>100</v>
      </c>
      <c r="T12" s="769" t="s">
        <v>17</v>
      </c>
      <c r="U12" s="770">
        <f t="shared" si="1"/>
        <v>100</v>
      </c>
      <c r="V12" s="769" t="s">
        <v>17</v>
      </c>
      <c r="W12" s="770">
        <f t="shared" si="2"/>
        <v>100</v>
      </c>
      <c r="X12" s="771"/>
      <c r="Y12" s="3095"/>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53" t="s">
        <v>2558</v>
      </c>
      <c r="Q15" s="1812" t="str">
        <f t="shared" si="6"/>
        <v>居住社区成熟度</v>
      </c>
      <c r="R15" s="773" t="s">
        <v>17</v>
      </c>
      <c r="S15" s="774">
        <f t="shared" si="0"/>
        <v>100</v>
      </c>
      <c r="T15" s="773" t="s">
        <v>17</v>
      </c>
      <c r="U15" s="774">
        <f t="shared" si="1"/>
        <v>100</v>
      </c>
      <c r="V15" s="773" t="s">
        <v>17</v>
      </c>
      <c r="W15" s="774">
        <f t="shared" si="2"/>
        <v>100</v>
      </c>
      <c r="X15" s="1815"/>
      <c r="Y15" s="3253"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54"/>
      <c r="Q17" s="1812" t="str">
        <f>B17</f>
        <v>商业繁华度</v>
      </c>
      <c r="R17" s="773" t="s">
        <v>17</v>
      </c>
      <c r="S17" s="774">
        <f>F17</f>
        <v>100</v>
      </c>
      <c r="T17" s="773" t="s">
        <v>17</v>
      </c>
      <c r="U17" s="774">
        <f>H17</f>
        <v>100</v>
      </c>
      <c r="V17" s="773" t="s">
        <v>17</v>
      </c>
      <c r="W17" s="774">
        <f>J17</f>
        <v>100</v>
      </c>
      <c r="X17" s="1815"/>
      <c r="Y17" s="325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54"/>
      <c r="Q19" s="1812" t="str">
        <f>B19</f>
        <v>办公集聚程度</v>
      </c>
      <c r="R19" s="773" t="s">
        <v>17</v>
      </c>
      <c r="S19" s="774">
        <f>F19</f>
        <v>100</v>
      </c>
      <c r="T19" s="773" t="s">
        <v>17</v>
      </c>
      <c r="U19" s="774">
        <f>H19</f>
        <v>100</v>
      </c>
      <c r="V19" s="773" t="s">
        <v>17</v>
      </c>
      <c r="W19" s="774">
        <f>J19</f>
        <v>100</v>
      </c>
      <c r="X19" s="1815"/>
      <c r="Y19" s="325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54"/>
      <c r="Q20" s="1812"/>
      <c r="R20" s="773"/>
      <c r="S20" s="774"/>
      <c r="T20" s="773"/>
      <c r="U20" s="774"/>
      <c r="V20" s="773"/>
      <c r="W20" s="774"/>
      <c r="X20" s="1815"/>
      <c r="Y20" s="3254"/>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54"/>
      <c r="Q21" s="1812" t="str">
        <f>B21</f>
        <v>交通便捷度</v>
      </c>
      <c r="R21" s="773" t="s">
        <v>17</v>
      </c>
      <c r="S21" s="774">
        <f>F21</f>
        <v>100</v>
      </c>
      <c r="T21" s="773" t="s">
        <v>17</v>
      </c>
      <c r="U21" s="774">
        <f>H21</f>
        <v>100</v>
      </c>
      <c r="V21" s="773" t="s">
        <v>17</v>
      </c>
      <c r="W21" s="774">
        <f>J21</f>
        <v>100</v>
      </c>
      <c r="X21" s="1815"/>
      <c r="Y21" s="3254"/>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54"/>
      <c r="Q23" s="1812" t="str">
        <f t="shared" ref="Q23:Q37" si="8">B23</f>
        <v>区域土地利用方向</v>
      </c>
      <c r="R23" s="773" t="s">
        <v>17</v>
      </c>
      <c r="S23" s="774">
        <f>F23</f>
        <v>100</v>
      </c>
      <c r="T23" s="773" t="s">
        <v>17</v>
      </c>
      <c r="U23" s="774">
        <f>H23</f>
        <v>100</v>
      </c>
      <c r="V23" s="773" t="s">
        <v>17</v>
      </c>
      <c r="W23" s="774">
        <f>J23</f>
        <v>100</v>
      </c>
      <c r="X23" s="1815"/>
      <c r="Y23" s="325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54"/>
      <c r="Q24" s="1812"/>
      <c r="R24" s="773"/>
      <c r="S24" s="774"/>
      <c r="T24" s="773"/>
      <c r="U24" s="774"/>
      <c r="V24" s="773"/>
      <c r="W24" s="774"/>
      <c r="X24" s="1815"/>
      <c r="Y24" s="3254"/>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54"/>
      <c r="Q25" s="1812" t="str">
        <f t="shared" si="8"/>
        <v>自然及人文环境状况</v>
      </c>
      <c r="R25" s="773" t="s">
        <v>17</v>
      </c>
      <c r="S25" s="774">
        <f>F25</f>
        <v>100</v>
      </c>
      <c r="T25" s="773" t="s">
        <v>17</v>
      </c>
      <c r="U25" s="774">
        <f>H25</f>
        <v>100</v>
      </c>
      <c r="V25" s="773" t="s">
        <v>17</v>
      </c>
      <c r="W25" s="774">
        <f>J25</f>
        <v>100</v>
      </c>
      <c r="X25" s="1815"/>
      <c r="Y25" s="325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54"/>
      <c r="Q26" s="1812"/>
      <c r="R26" s="773"/>
      <c r="S26" s="774"/>
      <c r="T26" s="773"/>
      <c r="U26" s="774"/>
      <c r="V26" s="773"/>
      <c r="W26" s="774"/>
      <c r="X26" s="1815"/>
      <c r="Y26" s="3254"/>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54"/>
      <c r="Q27" s="1797" t="str">
        <f t="shared" si="8"/>
        <v>公共配套设施</v>
      </c>
      <c r="R27" s="769" t="s">
        <v>17</v>
      </c>
      <c r="S27" s="770">
        <f>F27</f>
        <v>100</v>
      </c>
      <c r="T27" s="769" t="s">
        <v>17</v>
      </c>
      <c r="U27" s="770">
        <f>H27</f>
        <v>100</v>
      </c>
      <c r="V27" s="769" t="s">
        <v>17</v>
      </c>
      <c r="W27" s="770">
        <f>J27</f>
        <v>100</v>
      </c>
      <c r="X27" s="771"/>
      <c r="Y27" s="3254"/>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54"/>
      <c r="Q28" s="1797"/>
      <c r="R28" s="769"/>
      <c r="S28" s="770"/>
      <c r="T28" s="769"/>
      <c r="U28" s="770"/>
      <c r="V28" s="769"/>
      <c r="W28" s="770"/>
      <c r="X28" s="771"/>
      <c r="Y28" s="3254"/>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54"/>
      <c r="Q29" s="1797" t="str">
        <f t="shared" ref="Q29" si="9">B29</f>
        <v>基础设施水平</v>
      </c>
      <c r="R29" s="769" t="s">
        <v>17</v>
      </c>
      <c r="S29" s="770">
        <f>F29</f>
        <v>100</v>
      </c>
      <c r="T29" s="769" t="s">
        <v>17</v>
      </c>
      <c r="U29" s="770">
        <f>H29</f>
        <v>100</v>
      </c>
      <c r="V29" s="769" t="s">
        <v>17</v>
      </c>
      <c r="W29" s="770">
        <f>J29</f>
        <v>100</v>
      </c>
      <c r="X29" s="771"/>
      <c r="Y29" s="3254"/>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54"/>
      <c r="Q30" s="1797"/>
      <c r="R30" s="769"/>
      <c r="S30" s="770"/>
      <c r="T30" s="769"/>
      <c r="U30" s="770"/>
      <c r="V30" s="769"/>
      <c r="W30" s="770"/>
      <c r="X30" s="771"/>
      <c r="Y30" s="3254"/>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5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4"/>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54"/>
      <c r="Q32" s="1812" t="str">
        <f t="shared" si="8"/>
        <v>毗邻道路的类型与等级</v>
      </c>
      <c r="R32" s="773" t="s">
        <v>17</v>
      </c>
      <c r="S32" s="774">
        <f t="shared" si="10"/>
        <v>100</v>
      </c>
      <c r="T32" s="773" t="s">
        <v>17</v>
      </c>
      <c r="U32" s="774">
        <f t="shared" si="11"/>
        <v>100</v>
      </c>
      <c r="V32" s="773" t="s">
        <v>17</v>
      </c>
      <c r="W32" s="774">
        <f t="shared" si="12"/>
        <v>100</v>
      </c>
      <c r="X32" s="1815"/>
      <c r="Y32" s="325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54"/>
      <c r="Q33" s="1812"/>
      <c r="R33" s="773"/>
      <c r="S33" s="774"/>
      <c r="T33" s="773"/>
      <c r="U33" s="774"/>
      <c r="V33" s="773"/>
      <c r="W33" s="774"/>
      <c r="X33" s="1815"/>
      <c r="Y33" s="3254"/>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54"/>
      <c r="Q34" s="1812" t="str">
        <f t="shared" si="8"/>
        <v>土地级别</v>
      </c>
      <c r="R34" s="773" t="s">
        <v>17</v>
      </c>
      <c r="S34" s="774">
        <f t="shared" si="10"/>
        <v>100</v>
      </c>
      <c r="T34" s="773" t="s">
        <v>17</v>
      </c>
      <c r="U34" s="774">
        <f t="shared" si="11"/>
        <v>100</v>
      </c>
      <c r="V34" s="773" t="s">
        <v>17</v>
      </c>
      <c r="W34" s="774">
        <f t="shared" si="12"/>
        <v>100</v>
      </c>
      <c r="X34" s="1815"/>
      <c r="Y34" s="3254"/>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54"/>
      <c r="Q35" s="1812">
        <f t="shared" si="8"/>
        <v>111</v>
      </c>
      <c r="R35" s="773" t="s">
        <v>17</v>
      </c>
      <c r="S35" s="774">
        <f t="shared" si="10"/>
        <v>100</v>
      </c>
      <c r="T35" s="773" t="s">
        <v>17</v>
      </c>
      <c r="U35" s="774">
        <f t="shared" si="11"/>
        <v>100</v>
      </c>
      <c r="V35" s="773" t="s">
        <v>17</v>
      </c>
      <c r="W35" s="774">
        <f t="shared" si="12"/>
        <v>100</v>
      </c>
      <c r="X35" s="1815"/>
      <c r="Y35" s="3254"/>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10" t="s">
        <v>2563</v>
      </c>
      <c r="Q36" s="1812">
        <f t="shared" si="8"/>
        <v>111</v>
      </c>
      <c r="R36" s="773" t="s">
        <v>17</v>
      </c>
      <c r="S36" s="774">
        <f t="shared" si="10"/>
        <v>100</v>
      </c>
      <c r="T36" s="773" t="s">
        <v>17</v>
      </c>
      <c r="U36" s="774">
        <f t="shared" si="11"/>
        <v>100</v>
      </c>
      <c r="V36" s="773" t="s">
        <v>17</v>
      </c>
      <c r="W36" s="774">
        <f t="shared" si="12"/>
        <v>100</v>
      </c>
      <c r="X36" s="1815"/>
      <c r="Y36" s="3258"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58"/>
      <c r="Q37" s="1812">
        <f t="shared" si="8"/>
        <v>111</v>
      </c>
      <c r="R37" s="776" t="s">
        <v>17</v>
      </c>
      <c r="S37" s="777">
        <f t="shared" si="10"/>
        <v>100</v>
      </c>
      <c r="T37" s="776" t="s">
        <v>17</v>
      </c>
      <c r="U37" s="777">
        <f t="shared" si="11"/>
        <v>100</v>
      </c>
      <c r="V37" s="776" t="s">
        <v>17</v>
      </c>
      <c r="W37" s="777">
        <f t="shared" si="12"/>
        <v>100</v>
      </c>
      <c r="X37" s="778"/>
      <c r="Y37" s="3258"/>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58"/>
      <c r="Q38" s="1812" t="str">
        <f>B38</f>
        <v>宗地面积</v>
      </c>
      <c r="R38" s="773" t="s">
        <v>17</v>
      </c>
      <c r="S38" s="774" t="e">
        <f t="shared" si="10"/>
        <v>#N/A</v>
      </c>
      <c r="T38" s="773" t="s">
        <v>17</v>
      </c>
      <c r="U38" s="774" t="e">
        <f t="shared" si="11"/>
        <v>#N/A</v>
      </c>
      <c r="V38" s="773" t="s">
        <v>17</v>
      </c>
      <c r="W38" s="774" t="e">
        <f t="shared" si="12"/>
        <v>#N/A</v>
      </c>
      <c r="X38" s="1815"/>
      <c r="Y38" s="3258"/>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58"/>
      <c r="Q39" s="1812" t="str">
        <f t="shared" ref="Q39:Q45" si="14">B39</f>
        <v>宗地形状</v>
      </c>
      <c r="R39" s="773" t="s">
        <v>17</v>
      </c>
      <c r="S39" s="774">
        <f t="shared" si="10"/>
        <v>100</v>
      </c>
      <c r="T39" s="773" t="s">
        <v>17</v>
      </c>
      <c r="U39" s="774">
        <f t="shared" si="11"/>
        <v>100</v>
      </c>
      <c r="V39" s="773" t="s">
        <v>17</v>
      </c>
      <c r="W39" s="774">
        <f t="shared" si="12"/>
        <v>100</v>
      </c>
      <c r="X39" s="1815"/>
      <c r="Y39" s="3258"/>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58"/>
      <c r="Q40" s="1812" t="str">
        <f t="shared" si="14"/>
        <v>临街宽度及深度</v>
      </c>
      <c r="R40" s="773" t="s">
        <v>17</v>
      </c>
      <c r="S40" s="774">
        <f t="shared" si="10"/>
        <v>100</v>
      </c>
      <c r="T40" s="773" t="s">
        <v>17</v>
      </c>
      <c r="U40" s="774">
        <f t="shared" si="11"/>
        <v>100</v>
      </c>
      <c r="V40" s="773" t="s">
        <v>17</v>
      </c>
      <c r="W40" s="774">
        <f t="shared" si="12"/>
        <v>100</v>
      </c>
      <c r="X40" s="1815"/>
      <c r="Y40" s="3258"/>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58"/>
      <c r="Q41" s="1812"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58" t="s">
        <v>2563</v>
      </c>
      <c r="Q42" s="1812" t="str">
        <f t="shared" si="14"/>
        <v>工程地质条件</v>
      </c>
      <c r="R42" s="773" t="s">
        <v>17</v>
      </c>
      <c r="S42" s="774">
        <f t="shared" si="10"/>
        <v>100</v>
      </c>
      <c r="T42" s="773" t="s">
        <v>17</v>
      </c>
      <c r="U42" s="774">
        <f t="shared" si="11"/>
        <v>100</v>
      </c>
      <c r="V42" s="773" t="s">
        <v>17</v>
      </c>
      <c r="W42" s="774">
        <f t="shared" si="12"/>
        <v>100</v>
      </c>
      <c r="X42" s="1815"/>
      <c r="Y42" s="3258"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58"/>
      <c r="Q43" s="1812">
        <f t="shared" si="14"/>
        <v>111</v>
      </c>
      <c r="R43" s="773" t="s">
        <v>17</v>
      </c>
      <c r="S43" s="774">
        <f t="shared" si="10"/>
        <v>100</v>
      </c>
      <c r="T43" s="773" t="s">
        <v>17</v>
      </c>
      <c r="U43" s="774">
        <f t="shared" si="11"/>
        <v>100</v>
      </c>
      <c r="V43" s="773" t="s">
        <v>17</v>
      </c>
      <c r="W43" s="774">
        <f t="shared" si="12"/>
        <v>100</v>
      </c>
      <c r="X43" s="1815"/>
      <c r="Y43" s="3258"/>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58"/>
      <c r="Q44" s="1812">
        <f t="shared" si="14"/>
        <v>111</v>
      </c>
      <c r="R44" s="773" t="s">
        <v>17</v>
      </c>
      <c r="S44" s="774">
        <f t="shared" si="10"/>
        <v>100</v>
      </c>
      <c r="T44" s="773" t="s">
        <v>17</v>
      </c>
      <c r="U44" s="774">
        <f t="shared" si="11"/>
        <v>100</v>
      </c>
      <c r="V44" s="773" t="s">
        <v>17</v>
      </c>
      <c r="W44" s="774">
        <f t="shared" si="12"/>
        <v>100</v>
      </c>
      <c r="X44" s="1815"/>
      <c r="Y44" s="3258"/>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58"/>
      <c r="Q45" s="1812">
        <f t="shared" si="14"/>
        <v>111</v>
      </c>
      <c r="R45" s="776" t="s">
        <v>17</v>
      </c>
      <c r="S45" s="777">
        <f t="shared" si="10"/>
        <v>100</v>
      </c>
      <c r="T45" s="776" t="s">
        <v>17</v>
      </c>
      <c r="U45" s="777">
        <f t="shared" si="11"/>
        <v>100</v>
      </c>
      <c r="V45" s="776" t="s">
        <v>17</v>
      </c>
      <c r="W45" s="777">
        <f t="shared" si="12"/>
        <v>100</v>
      </c>
      <c r="X45" s="778"/>
      <c r="Y45" s="3258"/>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60" t="str">
        <f>A46</f>
        <v>成交单价</v>
      </c>
      <c r="Q46" s="3260"/>
      <c r="R46" s="3221">
        <f>E46</f>
        <v>0</v>
      </c>
      <c r="S46" s="3221"/>
      <c r="T46" s="3221">
        <f>G46</f>
        <v>0</v>
      </c>
      <c r="U46" s="3221"/>
      <c r="V46" s="3221">
        <f>I46</f>
        <v>0</v>
      </c>
      <c r="W46" s="3221"/>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60" t="str">
        <f>A47</f>
        <v>比较价值（元/平方米）</v>
      </c>
      <c r="Q47" s="3260"/>
      <c r="R47" s="3311" t="e">
        <f>ROUND(PRODUCT(R46,AA7:AA45),0)</f>
        <v>#DIV/0!</v>
      </c>
      <c r="S47" s="3311"/>
      <c r="T47" s="3311" t="e">
        <f>ROUND(PRODUCT(T46,AB7:AB45),0)</f>
        <v>#DIV/0!</v>
      </c>
      <c r="U47" s="3311"/>
      <c r="V47" s="3311" t="e">
        <f>ROUND(PRODUCT(V46,AC7:AC45),0)</f>
        <v>#DIV/0!</v>
      </c>
      <c r="W47" s="3311"/>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62" t="str">
        <f>A48</f>
        <v>估价对象XX用房的比较价值（楼面单价，元/平方米）</v>
      </c>
      <c r="Q48" s="3263"/>
      <c r="R48" s="3312" t="e">
        <f>ROUND(AVERAGE(R47:V47),0)</f>
        <v>#DIV/0!</v>
      </c>
      <c r="S48" s="3312"/>
      <c r="T48" s="3312"/>
      <c r="U48" s="3312"/>
      <c r="V48" s="3312"/>
      <c r="W48" s="331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38" t="s">
        <v>2762</v>
      </c>
      <c r="H55" s="3313"/>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4020.0999999999995</v>
      </c>
      <c r="F56" s="1105" t="e">
        <f t="shared" ref="F56:F65" si="15">ROUND(B56*E56/10000,0)</f>
        <v>#DIV/0!</v>
      </c>
      <c r="G56" s="3237"/>
      <c r="H56" s="3260"/>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14"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14"/>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14"/>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14"/>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4020.0999999999995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38" t="s">
        <v>2644</v>
      </c>
      <c r="D4" s="3239"/>
      <c r="E4" s="3240" t="s">
        <v>2645</v>
      </c>
      <c r="F4" s="3241"/>
      <c r="G4" s="3238" t="s">
        <v>2646</v>
      </c>
      <c r="H4" s="3239"/>
      <c r="I4" s="3238" t="s">
        <v>2647</v>
      </c>
      <c r="J4" s="3239"/>
      <c r="K4" s="610" t="s">
        <v>2648</v>
      </c>
      <c r="L4" s="1132"/>
      <c r="M4" s="1133"/>
      <c r="N4" s="1133"/>
      <c r="O4" s="1133"/>
      <c r="P4" s="3242" t="s">
        <v>2649</v>
      </c>
      <c r="Q4" s="3243"/>
      <c r="R4" s="3224" t="s">
        <v>2645</v>
      </c>
      <c r="S4" s="3225"/>
      <c r="T4" s="3224" t="s">
        <v>2646</v>
      </c>
      <c r="U4" s="3225"/>
      <c r="V4" s="3221" t="s">
        <v>2647</v>
      </c>
      <c r="W4" s="3221"/>
      <c r="X4" s="1815"/>
      <c r="Y4" s="3224" t="s">
        <v>2649</v>
      </c>
      <c r="Z4" s="3225"/>
      <c r="AA4" s="3218" t="s">
        <v>2645</v>
      </c>
      <c r="AB4" s="3219" t="s">
        <v>2646</v>
      </c>
      <c r="AC4" s="3218" t="s">
        <v>2647</v>
      </c>
    </row>
    <row r="5" spans="1:29" ht="15">
      <c r="A5" s="404"/>
      <c r="B5" s="405"/>
      <c r="C5" s="3293" t="s">
        <v>2540</v>
      </c>
      <c r="D5" s="3231"/>
      <c r="E5" s="3292" t="s">
        <v>2541</v>
      </c>
      <c r="F5" s="3229"/>
      <c r="G5" s="3293" t="s">
        <v>2542</v>
      </c>
      <c r="H5" s="3231"/>
      <c r="I5" s="3293" t="s">
        <v>2543</v>
      </c>
      <c r="J5" s="3231"/>
      <c r="K5" s="610"/>
      <c r="L5" s="1132"/>
      <c r="M5" s="1133"/>
      <c r="N5" s="1133"/>
      <c r="O5" s="1133"/>
      <c r="P5" s="3244"/>
      <c r="Q5" s="3245"/>
      <c r="R5" s="3226"/>
      <c r="S5" s="3227"/>
      <c r="T5" s="3226"/>
      <c r="U5" s="3227"/>
      <c r="V5" s="3221"/>
      <c r="W5" s="3221"/>
      <c r="X5" s="1815"/>
      <c r="Y5" s="3226"/>
      <c r="Z5" s="3227"/>
      <c r="AA5" s="3219"/>
      <c r="AB5" s="3219"/>
      <c r="AC5" s="3219"/>
    </row>
    <row r="6" spans="1:29" ht="15.75" thickBot="1">
      <c r="A6" s="406"/>
      <c r="B6" s="407"/>
      <c r="C6" s="3315" t="s">
        <v>2795</v>
      </c>
      <c r="D6" s="3316"/>
      <c r="E6" s="3317" t="s">
        <v>2795</v>
      </c>
      <c r="F6" s="3318"/>
      <c r="G6" s="3315" t="s">
        <v>2795</v>
      </c>
      <c r="H6" s="3316"/>
      <c r="I6" s="3315" t="s">
        <v>2795</v>
      </c>
      <c r="J6" s="3316"/>
      <c r="K6" s="610" t="s">
        <v>2545</v>
      </c>
      <c r="L6" s="1132"/>
      <c r="M6" s="1133"/>
      <c r="N6" s="1133"/>
      <c r="O6" s="1133"/>
      <c r="P6" s="3246"/>
      <c r="Q6" s="3247"/>
      <c r="R6" s="3226"/>
      <c r="S6" s="3227"/>
      <c r="T6" s="3248"/>
      <c r="U6" s="3249"/>
      <c r="V6" s="3221"/>
      <c r="W6" s="3221"/>
      <c r="X6" s="1815"/>
      <c r="Y6" s="3248"/>
      <c r="Z6" s="3249"/>
      <c r="AA6" s="3220"/>
      <c r="AB6" s="3220"/>
      <c r="AC6" s="3220"/>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22" t="s">
        <v>2547</v>
      </c>
      <c r="Q7" s="3250"/>
      <c r="R7" s="769" t="s">
        <v>17</v>
      </c>
      <c r="S7" s="770">
        <f t="shared" ref="S7:S15" si="0">F7</f>
        <v>0</v>
      </c>
      <c r="T7" s="769" t="s">
        <v>17</v>
      </c>
      <c r="U7" s="770">
        <f t="shared" ref="U7:U15" si="1">H7</f>
        <v>0</v>
      </c>
      <c r="V7" s="769" t="s">
        <v>17</v>
      </c>
      <c r="W7" s="770">
        <f t="shared" ref="W7:W15" si="2">J7</f>
        <v>0</v>
      </c>
      <c r="X7" s="771"/>
      <c r="Y7" s="3222" t="s">
        <v>2547</v>
      </c>
      <c r="Z7" s="3223"/>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22" t="s">
        <v>2550</v>
      </c>
      <c r="Q8" s="3223"/>
      <c r="R8" s="769" t="s">
        <v>17</v>
      </c>
      <c r="S8" s="770">
        <f t="shared" si="0"/>
        <v>0</v>
      </c>
      <c r="T8" s="769" t="s">
        <v>17</v>
      </c>
      <c r="U8" s="770">
        <f t="shared" si="1"/>
        <v>0</v>
      </c>
      <c r="V8" s="769" t="s">
        <v>17</v>
      </c>
      <c r="W8" s="770">
        <f t="shared" si="2"/>
        <v>0</v>
      </c>
      <c r="X8" s="771"/>
      <c r="Y8" s="3222" t="s">
        <v>2550</v>
      </c>
      <c r="Z8" s="3223"/>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60" t="s">
        <v>2553</v>
      </c>
      <c r="Q9" s="1797" t="str">
        <f t="shared" ref="Q9:Q15" si="6">B9</f>
        <v>用途</v>
      </c>
      <c r="R9" s="769" t="s">
        <v>17</v>
      </c>
      <c r="S9" s="770">
        <f t="shared" si="0"/>
        <v>100</v>
      </c>
      <c r="T9" s="769" t="s">
        <v>17</v>
      </c>
      <c r="U9" s="770">
        <f t="shared" si="1"/>
        <v>100</v>
      </c>
      <c r="V9" s="769" t="s">
        <v>17</v>
      </c>
      <c r="W9" s="770">
        <f t="shared" si="2"/>
        <v>100</v>
      </c>
      <c r="X9" s="771"/>
      <c r="Y9" s="3095"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1"/>
      <c r="L10" s="1137"/>
      <c r="M10" s="1138"/>
      <c r="N10" s="1138"/>
      <c r="O10" s="1139"/>
      <c r="P10" s="3260"/>
      <c r="Q10" s="1797" t="str">
        <f t="shared" si="6"/>
        <v>土地使用年限（年）</v>
      </c>
      <c r="R10" s="769" t="s">
        <v>17</v>
      </c>
      <c r="S10" s="770">
        <f t="shared" si="0"/>
        <v>110</v>
      </c>
      <c r="T10" s="769" t="s">
        <v>17</v>
      </c>
      <c r="U10" s="770">
        <f t="shared" si="1"/>
        <v>110</v>
      </c>
      <c r="V10" s="769" t="s">
        <v>17</v>
      </c>
      <c r="W10" s="770">
        <f t="shared" si="2"/>
        <v>110</v>
      </c>
      <c r="X10" s="771"/>
      <c r="Y10" s="3095"/>
      <c r="Z10" s="55" t="str">
        <f t="shared" si="7"/>
        <v>土地使用年限（年）</v>
      </c>
      <c r="AA10" s="772">
        <f t="shared" si="3"/>
        <v>0.90909090909090906</v>
      </c>
      <c r="AB10" s="772">
        <f t="shared" si="4"/>
        <v>0.90909090909090906</v>
      </c>
      <c r="AC10" s="772">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60"/>
      <c r="Q11" s="1797" t="str">
        <f t="shared" si="6"/>
        <v>容积率</v>
      </c>
      <c r="R11" s="769" t="s">
        <v>17</v>
      </c>
      <c r="S11" s="770" t="e">
        <f t="shared" si="0"/>
        <v>#N/A</v>
      </c>
      <c r="T11" s="769" t="s">
        <v>17</v>
      </c>
      <c r="U11" s="770" t="e">
        <f t="shared" si="1"/>
        <v>#N/A</v>
      </c>
      <c r="V11" s="769" t="s">
        <v>17</v>
      </c>
      <c r="W11" s="770" t="e">
        <f t="shared" si="2"/>
        <v>#N/A</v>
      </c>
      <c r="X11" s="771"/>
      <c r="Y11" s="3095"/>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60"/>
      <c r="Q12" s="1797">
        <f t="shared" si="6"/>
        <v>111</v>
      </c>
      <c r="R12" s="769" t="s">
        <v>17</v>
      </c>
      <c r="S12" s="770">
        <f t="shared" si="0"/>
        <v>100</v>
      </c>
      <c r="T12" s="769" t="s">
        <v>17</v>
      </c>
      <c r="U12" s="770">
        <f t="shared" si="1"/>
        <v>100</v>
      </c>
      <c r="V12" s="769" t="s">
        <v>17</v>
      </c>
      <c r="W12" s="770">
        <f t="shared" si="2"/>
        <v>100</v>
      </c>
      <c r="X12" s="771"/>
      <c r="Y12" s="3095"/>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60"/>
      <c r="Q13" s="1797">
        <f t="shared" si="6"/>
        <v>111</v>
      </c>
      <c r="R13" s="769" t="s">
        <v>17</v>
      </c>
      <c r="S13" s="770">
        <f t="shared" si="0"/>
        <v>100</v>
      </c>
      <c r="T13" s="769" t="s">
        <v>17</v>
      </c>
      <c r="U13" s="770">
        <f t="shared" si="1"/>
        <v>100</v>
      </c>
      <c r="V13" s="769" t="s">
        <v>17</v>
      </c>
      <c r="W13" s="770">
        <f t="shared" si="2"/>
        <v>100</v>
      </c>
      <c r="X13" s="771"/>
      <c r="Y13" s="3095"/>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60"/>
      <c r="Q14" s="1797">
        <f t="shared" si="6"/>
        <v>111</v>
      </c>
      <c r="R14" s="769" t="s">
        <v>17</v>
      </c>
      <c r="S14" s="770">
        <f t="shared" si="0"/>
        <v>100</v>
      </c>
      <c r="T14" s="769" t="s">
        <v>17</v>
      </c>
      <c r="U14" s="770">
        <f t="shared" si="1"/>
        <v>100</v>
      </c>
      <c r="V14" s="769" t="s">
        <v>17</v>
      </c>
      <c r="W14" s="770">
        <f t="shared" si="2"/>
        <v>100</v>
      </c>
      <c r="X14" s="771"/>
      <c r="Y14" s="3095"/>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53" t="s">
        <v>2558</v>
      </c>
      <c r="Q15" s="1812" t="str">
        <f t="shared" si="6"/>
        <v>产业集聚程度</v>
      </c>
      <c r="R15" s="773" t="s">
        <v>17</v>
      </c>
      <c r="S15" s="774">
        <f t="shared" si="0"/>
        <v>100</v>
      </c>
      <c r="T15" s="773" t="s">
        <v>17</v>
      </c>
      <c r="U15" s="774">
        <f t="shared" si="1"/>
        <v>100</v>
      </c>
      <c r="V15" s="773" t="s">
        <v>17</v>
      </c>
      <c r="W15" s="774">
        <f t="shared" si="2"/>
        <v>100</v>
      </c>
      <c r="X15" s="1815"/>
      <c r="Y15" s="3253"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54"/>
      <c r="Q16" s="1812"/>
      <c r="R16" s="773"/>
      <c r="S16" s="774"/>
      <c r="T16" s="773"/>
      <c r="U16" s="774"/>
      <c r="V16" s="773"/>
      <c r="W16" s="774"/>
      <c r="X16" s="1815"/>
      <c r="Y16" s="3254"/>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54"/>
      <c r="Q17" s="1812" t="str">
        <f>B17</f>
        <v>交通便捷度</v>
      </c>
      <c r="R17" s="773" t="s">
        <v>17</v>
      </c>
      <c r="S17" s="774">
        <f>F17</f>
        <v>100</v>
      </c>
      <c r="T17" s="773" t="s">
        <v>17</v>
      </c>
      <c r="U17" s="774">
        <f>H17</f>
        <v>100</v>
      </c>
      <c r="V17" s="773" t="s">
        <v>17</v>
      </c>
      <c r="W17" s="774">
        <f>J17</f>
        <v>100</v>
      </c>
      <c r="X17" s="1815"/>
      <c r="Y17" s="3254"/>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54"/>
      <c r="Q18" s="1812"/>
      <c r="R18" s="773"/>
      <c r="S18" s="774"/>
      <c r="T18" s="773"/>
      <c r="U18" s="774"/>
      <c r="V18" s="773"/>
      <c r="W18" s="774"/>
      <c r="X18" s="1815"/>
      <c r="Y18" s="3254"/>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54"/>
      <c r="Q19" s="1812" t="str">
        <f t="shared" ref="Q19:Q33" si="8">B19</f>
        <v>区域土地利用方向</v>
      </c>
      <c r="R19" s="773" t="s">
        <v>17</v>
      </c>
      <c r="S19" s="774">
        <f>F19</f>
        <v>100</v>
      </c>
      <c r="T19" s="773" t="s">
        <v>17</v>
      </c>
      <c r="U19" s="774">
        <f>H19</f>
        <v>100</v>
      </c>
      <c r="V19" s="773" t="s">
        <v>17</v>
      </c>
      <c r="W19" s="774">
        <f>J19</f>
        <v>100</v>
      </c>
      <c r="X19" s="1815"/>
      <c r="Y19" s="3254"/>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54"/>
      <c r="Q20" s="1812"/>
      <c r="R20" s="773"/>
      <c r="S20" s="774"/>
      <c r="T20" s="773"/>
      <c r="U20" s="774"/>
      <c r="V20" s="773"/>
      <c r="W20" s="774"/>
      <c r="X20" s="1815"/>
      <c r="Y20" s="3254"/>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54"/>
      <c r="Q21" s="1812" t="str">
        <f t="shared" si="8"/>
        <v>环境状况</v>
      </c>
      <c r="R21" s="773" t="s">
        <v>17</v>
      </c>
      <c r="S21" s="774">
        <f>F21</f>
        <v>100</v>
      </c>
      <c r="T21" s="773" t="s">
        <v>17</v>
      </c>
      <c r="U21" s="774">
        <f>H21</f>
        <v>100</v>
      </c>
      <c r="V21" s="773" t="s">
        <v>17</v>
      </c>
      <c r="W21" s="774">
        <f>J21</f>
        <v>100</v>
      </c>
      <c r="X21" s="1815"/>
      <c r="Y21" s="3254"/>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54"/>
      <c r="Q22" s="1812"/>
      <c r="R22" s="773"/>
      <c r="S22" s="774"/>
      <c r="T22" s="773"/>
      <c r="U22" s="774"/>
      <c r="V22" s="773"/>
      <c r="W22" s="774"/>
      <c r="X22" s="1815"/>
      <c r="Y22" s="3254"/>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54"/>
      <c r="Q23" s="1797" t="str">
        <f t="shared" si="8"/>
        <v>公共配套设施</v>
      </c>
      <c r="R23" s="769" t="s">
        <v>17</v>
      </c>
      <c r="S23" s="770">
        <f>F23</f>
        <v>100</v>
      </c>
      <c r="T23" s="769" t="s">
        <v>17</v>
      </c>
      <c r="U23" s="770">
        <f>H23</f>
        <v>100</v>
      </c>
      <c r="V23" s="769" t="s">
        <v>17</v>
      </c>
      <c r="W23" s="770">
        <f>J23</f>
        <v>100</v>
      </c>
      <c r="X23" s="771"/>
      <c r="Y23" s="3254"/>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54"/>
      <c r="Q24" s="1797"/>
      <c r="R24" s="769"/>
      <c r="S24" s="770"/>
      <c r="T24" s="769"/>
      <c r="U24" s="770"/>
      <c r="V24" s="769"/>
      <c r="W24" s="770"/>
      <c r="X24" s="771"/>
      <c r="Y24" s="3254"/>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54"/>
      <c r="Q25" s="1797" t="str">
        <f t="shared" ref="Q25" si="9">B25</f>
        <v>基础设施水平</v>
      </c>
      <c r="R25" s="769" t="s">
        <v>17</v>
      </c>
      <c r="S25" s="770">
        <f>F25</f>
        <v>100</v>
      </c>
      <c r="T25" s="769" t="s">
        <v>17</v>
      </c>
      <c r="U25" s="770">
        <f>H25</f>
        <v>100</v>
      </c>
      <c r="V25" s="769" t="s">
        <v>17</v>
      </c>
      <c r="W25" s="770">
        <f>J25</f>
        <v>100</v>
      </c>
      <c r="X25" s="771"/>
      <c r="Y25" s="3254"/>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54"/>
      <c r="Q26" s="1797"/>
      <c r="R26" s="769"/>
      <c r="S26" s="770"/>
      <c r="T26" s="769"/>
      <c r="U26" s="770"/>
      <c r="V26" s="769"/>
      <c r="W26" s="770"/>
      <c r="X26" s="771"/>
      <c r="Y26" s="3254"/>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5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4"/>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54"/>
      <c r="Q28" s="1812" t="str">
        <f t="shared" si="8"/>
        <v>毗邻道路的类型与等级</v>
      </c>
      <c r="R28" s="773" t="s">
        <v>17</v>
      </c>
      <c r="S28" s="774">
        <f t="shared" si="10"/>
        <v>100</v>
      </c>
      <c r="T28" s="773" t="s">
        <v>17</v>
      </c>
      <c r="U28" s="774">
        <f t="shared" si="11"/>
        <v>100</v>
      </c>
      <c r="V28" s="773" t="s">
        <v>17</v>
      </c>
      <c r="W28" s="774">
        <f t="shared" si="12"/>
        <v>100</v>
      </c>
      <c r="X28" s="1815"/>
      <c r="Y28" s="3254"/>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54"/>
      <c r="Q29" s="1812"/>
      <c r="R29" s="773"/>
      <c r="S29" s="774"/>
      <c r="T29" s="773"/>
      <c r="U29" s="774"/>
      <c r="V29" s="773"/>
      <c r="W29" s="774"/>
      <c r="X29" s="1815"/>
      <c r="Y29" s="3254"/>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54"/>
      <c r="Q30" s="1812" t="str">
        <f t="shared" si="8"/>
        <v>土地级别</v>
      </c>
      <c r="R30" s="773" t="s">
        <v>17</v>
      </c>
      <c r="S30" s="774">
        <f t="shared" si="10"/>
        <v>100</v>
      </c>
      <c r="T30" s="773" t="s">
        <v>17</v>
      </c>
      <c r="U30" s="774">
        <f t="shared" si="11"/>
        <v>100</v>
      </c>
      <c r="V30" s="773" t="s">
        <v>17</v>
      </c>
      <c r="W30" s="774">
        <f t="shared" si="12"/>
        <v>100</v>
      </c>
      <c r="X30" s="1815"/>
      <c r="Y30" s="3254"/>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4"/>
      <c r="Q31" s="1812">
        <f t="shared" si="8"/>
        <v>111</v>
      </c>
      <c r="R31" s="773" t="s">
        <v>17</v>
      </c>
      <c r="S31" s="774">
        <f t="shared" si="10"/>
        <v>100</v>
      </c>
      <c r="T31" s="773" t="s">
        <v>17</v>
      </c>
      <c r="U31" s="774">
        <f t="shared" si="11"/>
        <v>100</v>
      </c>
      <c r="V31" s="773" t="s">
        <v>17</v>
      </c>
      <c r="W31" s="774">
        <f t="shared" si="12"/>
        <v>100</v>
      </c>
      <c r="X31" s="1815"/>
      <c r="Y31" s="3254"/>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10" t="s">
        <v>2563</v>
      </c>
      <c r="Q32" s="1812">
        <f t="shared" si="8"/>
        <v>111</v>
      </c>
      <c r="R32" s="773" t="s">
        <v>17</v>
      </c>
      <c r="S32" s="774">
        <f t="shared" si="10"/>
        <v>100</v>
      </c>
      <c r="T32" s="773" t="s">
        <v>17</v>
      </c>
      <c r="U32" s="774">
        <f t="shared" si="11"/>
        <v>100</v>
      </c>
      <c r="V32" s="773" t="s">
        <v>17</v>
      </c>
      <c r="W32" s="774">
        <f t="shared" si="12"/>
        <v>100</v>
      </c>
      <c r="X32" s="1815"/>
      <c r="Y32" s="3258"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58"/>
      <c r="Q33" s="1812">
        <f t="shared" si="8"/>
        <v>111</v>
      </c>
      <c r="R33" s="776" t="s">
        <v>17</v>
      </c>
      <c r="S33" s="777">
        <f t="shared" si="10"/>
        <v>100</v>
      </c>
      <c r="T33" s="776" t="s">
        <v>17</v>
      </c>
      <c r="U33" s="777">
        <f t="shared" si="11"/>
        <v>100</v>
      </c>
      <c r="V33" s="776" t="s">
        <v>17</v>
      </c>
      <c r="W33" s="777">
        <f t="shared" si="12"/>
        <v>100</v>
      </c>
      <c r="X33" s="778"/>
      <c r="Y33" s="3258"/>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58"/>
      <c r="Q34" s="1812" t="str">
        <f>B34</f>
        <v>宗地面积</v>
      </c>
      <c r="R34" s="773" t="s">
        <v>17</v>
      </c>
      <c r="S34" s="774" t="e">
        <f t="shared" si="10"/>
        <v>#N/A</v>
      </c>
      <c r="T34" s="773" t="s">
        <v>17</v>
      </c>
      <c r="U34" s="774" t="e">
        <f t="shared" si="11"/>
        <v>#N/A</v>
      </c>
      <c r="V34" s="773" t="s">
        <v>17</v>
      </c>
      <c r="W34" s="774" t="e">
        <f t="shared" si="12"/>
        <v>#N/A</v>
      </c>
      <c r="X34" s="1815"/>
      <c r="Y34" s="3258"/>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58"/>
      <c r="Q35" s="1812" t="str">
        <f t="shared" ref="Q35:Q40" si="14">B35</f>
        <v>宗地形状</v>
      </c>
      <c r="R35" s="773" t="s">
        <v>17</v>
      </c>
      <c r="S35" s="774">
        <f t="shared" si="10"/>
        <v>100</v>
      </c>
      <c r="T35" s="773" t="s">
        <v>17</v>
      </c>
      <c r="U35" s="774">
        <f t="shared" si="11"/>
        <v>100</v>
      </c>
      <c r="V35" s="773" t="s">
        <v>17</v>
      </c>
      <c r="W35" s="774">
        <f t="shared" si="12"/>
        <v>100</v>
      </c>
      <c r="X35" s="1815"/>
      <c r="Y35" s="3258"/>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58"/>
      <c r="Q36" s="1812"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58" t="s">
        <v>2563</v>
      </c>
      <c r="Q37" s="1812" t="str">
        <f t="shared" si="14"/>
        <v>工程地质条件</v>
      </c>
      <c r="R37" s="773" t="s">
        <v>17</v>
      </c>
      <c r="S37" s="774">
        <f t="shared" si="10"/>
        <v>100</v>
      </c>
      <c r="T37" s="773" t="s">
        <v>17</v>
      </c>
      <c r="U37" s="774">
        <f t="shared" si="11"/>
        <v>100</v>
      </c>
      <c r="V37" s="773" t="s">
        <v>17</v>
      </c>
      <c r="W37" s="774">
        <f t="shared" si="12"/>
        <v>100</v>
      </c>
      <c r="X37" s="1815"/>
      <c r="Y37" s="3258"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58"/>
      <c r="Q38" s="1812">
        <f t="shared" si="14"/>
        <v>111</v>
      </c>
      <c r="R38" s="773" t="s">
        <v>17</v>
      </c>
      <c r="S38" s="774">
        <f t="shared" si="10"/>
        <v>100</v>
      </c>
      <c r="T38" s="773" t="s">
        <v>17</v>
      </c>
      <c r="U38" s="774">
        <f t="shared" si="11"/>
        <v>100</v>
      </c>
      <c r="V38" s="773" t="s">
        <v>17</v>
      </c>
      <c r="W38" s="774">
        <f t="shared" si="12"/>
        <v>100</v>
      </c>
      <c r="X38" s="1815"/>
      <c r="Y38" s="3258"/>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58"/>
      <c r="Q39" s="1812">
        <f t="shared" si="14"/>
        <v>111</v>
      </c>
      <c r="R39" s="773" t="s">
        <v>17</v>
      </c>
      <c r="S39" s="774">
        <f t="shared" si="10"/>
        <v>100</v>
      </c>
      <c r="T39" s="773" t="s">
        <v>17</v>
      </c>
      <c r="U39" s="774">
        <f t="shared" si="11"/>
        <v>100</v>
      </c>
      <c r="V39" s="773" t="s">
        <v>17</v>
      </c>
      <c r="W39" s="774">
        <f t="shared" si="12"/>
        <v>100</v>
      </c>
      <c r="X39" s="1815"/>
      <c r="Y39" s="3258"/>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58"/>
      <c r="Q40" s="1812">
        <f t="shared" si="14"/>
        <v>111</v>
      </c>
      <c r="R40" s="776" t="s">
        <v>17</v>
      </c>
      <c r="S40" s="777">
        <f t="shared" si="10"/>
        <v>100</v>
      </c>
      <c r="T40" s="776" t="s">
        <v>17</v>
      </c>
      <c r="U40" s="777">
        <f t="shared" si="11"/>
        <v>100</v>
      </c>
      <c r="V40" s="776" t="s">
        <v>17</v>
      </c>
      <c r="W40" s="777">
        <f t="shared" si="12"/>
        <v>100</v>
      </c>
      <c r="X40" s="778"/>
      <c r="Y40" s="3258"/>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60" t="str">
        <f>A41</f>
        <v>成交单价</v>
      </c>
      <c r="Q41" s="3260"/>
      <c r="R41" s="3221">
        <f>E41</f>
        <v>0</v>
      </c>
      <c r="S41" s="3221"/>
      <c r="T41" s="3221">
        <f>G41</f>
        <v>0</v>
      </c>
      <c r="U41" s="3221"/>
      <c r="V41" s="3221">
        <f>I41</f>
        <v>0</v>
      </c>
      <c r="W41" s="3221"/>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60" t="str">
        <f>A42</f>
        <v>比较价值（元/平方米）</v>
      </c>
      <c r="Q42" s="3260"/>
      <c r="R42" s="3311" t="e">
        <f>ROUND(PRODUCT(R41,AA7:AA40),0)</f>
        <v>#DIV/0!</v>
      </c>
      <c r="S42" s="3311"/>
      <c r="T42" s="3311" t="e">
        <f>ROUND(PRODUCT(T41,AB7:AB40),0)</f>
        <v>#DIV/0!</v>
      </c>
      <c r="U42" s="3311"/>
      <c r="V42" s="3311" t="e">
        <f>ROUND(PRODUCT(V41,AC7:AC40),0)</f>
        <v>#DIV/0!</v>
      </c>
      <c r="W42" s="3311"/>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62" t="str">
        <f>A43</f>
        <v>估价对象XX用房的比较价值（楼面单价，元/平方米）</v>
      </c>
      <c r="Q43" s="3263"/>
      <c r="R43" s="3312" t="e">
        <f>ROUND(AVERAGE(R42:V42),0)</f>
        <v>#DIV/0!</v>
      </c>
      <c r="S43" s="3312"/>
      <c r="T43" s="3312"/>
      <c r="U43" s="3312"/>
      <c r="V43" s="3312"/>
      <c r="W43" s="331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38" t="s">
        <v>2762</v>
      </c>
      <c r="H50" s="3313"/>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4020.0999999999995</v>
      </c>
      <c r="F51" s="690" t="e">
        <f t="shared" ref="F51:F60" si="15">ROUND(B51*E51/10000,0)</f>
        <v>#DIV/0!</v>
      </c>
      <c r="G51" s="3237"/>
      <c r="H51" s="3260"/>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14"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14"/>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14"/>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14"/>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1148.5999999999999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3.5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3"/>
      <c r="B4" s="3334"/>
      <c r="C4" s="3334"/>
      <c r="D4" s="3335"/>
      <c r="E4" s="3335"/>
      <c r="F4" s="3335"/>
      <c r="G4" s="3335"/>
      <c r="H4" s="3335"/>
      <c r="I4" s="3335"/>
      <c r="J4" s="3336"/>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19"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3.5</v>
      </c>
      <c r="AA7" s="1608"/>
      <c r="AB7" s="1608"/>
      <c r="AC7" s="1609"/>
      <c r="AD7" s="1610"/>
      <c r="AE7" s="1610"/>
      <c r="AF7" s="1610"/>
      <c r="AG7" s="1610"/>
      <c r="AH7" s="1610"/>
      <c r="AI7" s="1610"/>
      <c r="AJ7" s="1611"/>
    </row>
    <row r="8" spans="1:36" ht="15">
      <c r="A8" s="3320"/>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0" t="s">
        <v>2838</v>
      </c>
      <c r="X8" s="333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20"/>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0"/>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0"/>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2" t="s">
        <v>2862</v>
      </c>
      <c r="X11" s="1616" t="s">
        <v>2863</v>
      </c>
      <c r="Y11" s="1617">
        <f>$G$3</f>
        <v>3.5</v>
      </c>
      <c r="Z11" s="1617">
        <f t="shared" ref="Z11:AJ11" si="3">$G$3</f>
        <v>3.5</v>
      </c>
      <c r="AA11" s="1617">
        <f t="shared" si="3"/>
        <v>3.5</v>
      </c>
      <c r="AB11" s="1617">
        <f t="shared" si="3"/>
        <v>3.5</v>
      </c>
      <c r="AC11" s="1617">
        <f t="shared" si="3"/>
        <v>3.5</v>
      </c>
      <c r="AD11" s="1617">
        <f t="shared" si="3"/>
        <v>3.5</v>
      </c>
      <c r="AE11" s="1617">
        <f t="shared" si="3"/>
        <v>3.5</v>
      </c>
      <c r="AF11" s="1617">
        <f t="shared" si="3"/>
        <v>3.5</v>
      </c>
      <c r="AG11" s="1617">
        <f t="shared" si="3"/>
        <v>3.5</v>
      </c>
      <c r="AH11" s="1617">
        <f t="shared" si="3"/>
        <v>3.5</v>
      </c>
      <c r="AI11" s="1617">
        <f t="shared" si="3"/>
        <v>3.5</v>
      </c>
      <c r="AJ11" s="1617">
        <f t="shared" si="3"/>
        <v>3.5</v>
      </c>
    </row>
    <row r="12" spans="1:36" ht="25.5" thickBot="1">
      <c r="A12" s="3319"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7"/>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32"/>
      <c r="X13" s="1618"/>
      <c r="Y13" s="1615">
        <f>(-0.163*(Y12^2)-0.59*Y12+7617)*(10^(-4))/Y11</f>
        <v>0.21762857142857145</v>
      </c>
      <c r="Z13" s="1615">
        <f t="shared" ref="Z13:AJ13" si="5">(-0.163*(Z12^2)-0.59*Z12+7617)*(10^(-4))/Z11</f>
        <v>0.21762857142857145</v>
      </c>
      <c r="AA13" s="1615">
        <f t="shared" si="5"/>
        <v>0.21762857142857145</v>
      </c>
      <c r="AB13" s="1615">
        <f t="shared" si="5"/>
        <v>0.21762857142857145</v>
      </c>
      <c r="AC13" s="1615">
        <f t="shared" si="5"/>
        <v>0.21762857142857145</v>
      </c>
      <c r="AD13" s="1615">
        <f t="shared" si="5"/>
        <v>0.21762857142857145</v>
      </c>
      <c r="AE13" s="1615">
        <f t="shared" si="5"/>
        <v>0.21762857142857145</v>
      </c>
      <c r="AF13" s="1615">
        <f t="shared" si="5"/>
        <v>0.21762857142857145</v>
      </c>
      <c r="AG13" s="1615">
        <f t="shared" si="5"/>
        <v>0.21762857142857145</v>
      </c>
      <c r="AH13" s="1615">
        <f t="shared" si="5"/>
        <v>0.21762857142857145</v>
      </c>
      <c r="AI13" s="1615">
        <f t="shared" si="5"/>
        <v>0.21762857142857145</v>
      </c>
      <c r="AJ13" s="1615">
        <f t="shared" si="5"/>
        <v>0.21762857142857145</v>
      </c>
    </row>
    <row r="14" spans="1:36" ht="15">
      <c r="A14" s="3337"/>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38"/>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9"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0"/>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3.5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27"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8"/>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8"/>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29"/>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21" t="s">
        <v>2972</v>
      </c>
      <c r="B90" s="3321"/>
      <c r="C90" s="3321"/>
      <c r="D90" s="3321"/>
      <c r="E90" s="3321"/>
      <c r="F90" s="3321"/>
      <c r="G90" s="3321"/>
      <c r="H90" s="3321"/>
      <c r="I90" s="3321"/>
      <c r="J90" s="3321"/>
      <c r="K90" s="2892"/>
      <c r="L90" s="2892"/>
      <c r="M90" s="2892"/>
      <c r="N90" s="2892"/>
    </row>
    <row r="91" spans="1:37">
      <c r="A91" s="3323" t="s">
        <v>2973</v>
      </c>
      <c r="B91" s="3323" t="s">
        <v>2974</v>
      </c>
      <c r="C91" s="2846" t="s">
        <v>2975</v>
      </c>
      <c r="D91" s="2847"/>
      <c r="E91" s="2847"/>
      <c r="F91" s="2847"/>
      <c r="G91" s="2847"/>
      <c r="H91" s="2847"/>
      <c r="I91" s="2847"/>
      <c r="J91" s="2893"/>
      <c r="K91" s="2894"/>
      <c r="L91" s="2894"/>
      <c r="M91" s="2894"/>
      <c r="N91" s="2894"/>
    </row>
    <row r="92" spans="1:37">
      <c r="A92" s="3323"/>
      <c r="B92" s="332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24"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5"/>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2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4" t="s">
        <v>2977</v>
      </c>
      <c r="B101" s="2899" t="s">
        <v>2978</v>
      </c>
      <c r="C101" s="2900">
        <f>$G$3</f>
        <v>3.5</v>
      </c>
      <c r="D101" s="2900">
        <f t="shared" ref="D101:N101" si="31">$G$3</f>
        <v>3.5</v>
      </c>
      <c r="E101" s="2900">
        <f t="shared" si="31"/>
        <v>3.5</v>
      </c>
      <c r="F101" s="2900">
        <f t="shared" si="31"/>
        <v>3.5</v>
      </c>
      <c r="G101" s="2900">
        <f t="shared" si="31"/>
        <v>3.5</v>
      </c>
      <c r="H101" s="2900">
        <f t="shared" si="31"/>
        <v>3.5</v>
      </c>
      <c r="I101" s="2900">
        <f t="shared" si="31"/>
        <v>3.5</v>
      </c>
      <c r="J101" s="2900">
        <f t="shared" si="31"/>
        <v>3.5</v>
      </c>
      <c r="K101" s="2900">
        <f t="shared" si="31"/>
        <v>3.5</v>
      </c>
      <c r="L101" s="2900">
        <f t="shared" si="31"/>
        <v>3.5</v>
      </c>
      <c r="M101" s="2900">
        <f t="shared" si="31"/>
        <v>3.5</v>
      </c>
      <c r="N101" s="2900">
        <f t="shared" si="31"/>
        <v>3.5</v>
      </c>
    </row>
    <row r="102" spans="1:14">
      <c r="A102" s="3325"/>
      <c r="B102" s="2895">
        <v>1</v>
      </c>
      <c r="C102" s="2896">
        <f>1.9362/C101</f>
        <v>0.55320000000000003</v>
      </c>
      <c r="D102" s="2896">
        <f>1.9362/D101</f>
        <v>0.55320000000000003</v>
      </c>
      <c r="E102" s="2896">
        <f>1.8629/E101</f>
        <v>0.53225714285714287</v>
      </c>
      <c r="F102" s="2896">
        <f>1.8629/F101</f>
        <v>0.53225714285714287</v>
      </c>
      <c r="G102" s="2896">
        <f>1.8629/G101</f>
        <v>0.53225714285714287</v>
      </c>
      <c r="H102" s="2896">
        <f>1.8629/H101</f>
        <v>0.53225714285714287</v>
      </c>
      <c r="I102" s="2896">
        <f>1.8629/I101</f>
        <v>0.53225714285714287</v>
      </c>
      <c r="J102" s="2896">
        <f>1.942/J101</f>
        <v>0.55485714285714283</v>
      </c>
      <c r="K102" s="2896">
        <f>1.942/K101</f>
        <v>0.55485714285714283</v>
      </c>
      <c r="L102" s="2896">
        <f>1.942/L101</f>
        <v>0.55485714285714283</v>
      </c>
      <c r="M102" s="2896">
        <f>1.942/M101</f>
        <v>0.55485714285714283</v>
      </c>
      <c r="N102" s="2896">
        <f>1.942/N101</f>
        <v>0.55485714285714283</v>
      </c>
    </row>
    <row r="103" spans="1:14">
      <c r="A103" s="3325"/>
      <c r="B103" s="2895">
        <v>2</v>
      </c>
      <c r="C103" s="2896">
        <f>1.4198/C101</f>
        <v>0.40565714285714283</v>
      </c>
      <c r="D103" s="2896">
        <f>1.4198/D101</f>
        <v>0.40565714285714283</v>
      </c>
      <c r="E103" s="2896">
        <f>1.3372/E101</f>
        <v>0.38205714285714282</v>
      </c>
      <c r="F103" s="2896">
        <f>1.3372/F101</f>
        <v>0.38205714285714282</v>
      </c>
      <c r="G103" s="2896">
        <f>1.3372/G101</f>
        <v>0.38205714285714282</v>
      </c>
      <c r="H103" s="2896">
        <f>1.3372/H101</f>
        <v>0.38205714285714282</v>
      </c>
      <c r="I103" s="2896">
        <f>1.3372/I101</f>
        <v>0.38205714285714282</v>
      </c>
      <c r="J103" s="2896">
        <f>1.2799/J101</f>
        <v>0.36568571428571428</v>
      </c>
      <c r="K103" s="2896">
        <f>1.2799/K101</f>
        <v>0.36568571428571428</v>
      </c>
      <c r="L103" s="2896">
        <f>1.2799/L101</f>
        <v>0.36568571428571428</v>
      </c>
      <c r="M103" s="2896">
        <f>1.2799/M101</f>
        <v>0.36568571428571428</v>
      </c>
      <c r="N103" s="2896">
        <f>1.2799/N101</f>
        <v>0.36568571428571428</v>
      </c>
    </row>
    <row r="104" spans="1:14">
      <c r="A104" s="3325"/>
      <c r="B104" s="2895">
        <v>3</v>
      </c>
      <c r="C104" s="2896">
        <f>1.1594/C101</f>
        <v>0.33125714285714286</v>
      </c>
      <c r="D104" s="2896">
        <f>1.1594/D101</f>
        <v>0.33125714285714286</v>
      </c>
      <c r="E104" s="2896">
        <f>1.0788/E101</f>
        <v>0.30822857142857141</v>
      </c>
      <c r="F104" s="2896">
        <f>1.0788/F101</f>
        <v>0.30822857142857141</v>
      </c>
      <c r="G104" s="2896">
        <f>1.0788/G101</f>
        <v>0.30822857142857141</v>
      </c>
      <c r="H104" s="2896">
        <f>1.0788/H101</f>
        <v>0.30822857142857141</v>
      </c>
      <c r="I104" s="2896">
        <f>1.0788/I101</f>
        <v>0.30822857142857141</v>
      </c>
      <c r="J104" s="2896">
        <f>1.0072/J101</f>
        <v>0.28777142857142862</v>
      </c>
      <c r="K104" s="2896">
        <f>1.0072/K101</f>
        <v>0.28777142857142862</v>
      </c>
      <c r="L104" s="2896">
        <f>1.0072/L101</f>
        <v>0.28777142857142862</v>
      </c>
      <c r="M104" s="2896">
        <f>1.0072/M101</f>
        <v>0.28777142857142862</v>
      </c>
      <c r="N104" s="2896">
        <f>1.0072/N101</f>
        <v>0.28777142857142862</v>
      </c>
    </row>
    <row r="105" spans="1:14">
      <c r="A105" s="3325"/>
      <c r="B105" s="2895">
        <v>4</v>
      </c>
      <c r="C105" s="2896">
        <f>0.9622/C101</f>
        <v>0.27491428571428572</v>
      </c>
      <c r="D105" s="2896">
        <f>0.9622/D101</f>
        <v>0.27491428571428572</v>
      </c>
      <c r="E105" s="2896">
        <f>0.8656/E101</f>
        <v>0.24731428571428574</v>
      </c>
      <c r="F105" s="2896">
        <f>0.8656/F101</f>
        <v>0.24731428571428574</v>
      </c>
      <c r="G105" s="2896">
        <f>0.8656/G101</f>
        <v>0.24731428571428574</v>
      </c>
      <c r="H105" s="2896">
        <f>0.8656/H101</f>
        <v>0.24731428571428574</v>
      </c>
      <c r="I105" s="2896">
        <f>0.8656/I101</f>
        <v>0.24731428571428574</v>
      </c>
      <c r="J105" s="2896">
        <f>0.7525/J101</f>
        <v>0.215</v>
      </c>
      <c r="K105" s="2896">
        <f>0.7525/K101</f>
        <v>0.215</v>
      </c>
      <c r="L105" s="2896">
        <f>0.7525/L101</f>
        <v>0.215</v>
      </c>
      <c r="M105" s="2896">
        <f>0.7525/M101</f>
        <v>0.215</v>
      </c>
      <c r="N105" s="2896">
        <f>0.7525/N101</f>
        <v>0.215</v>
      </c>
    </row>
    <row r="106" spans="1:14">
      <c r="A106" s="3325"/>
      <c r="B106" s="2895">
        <v>5</v>
      </c>
      <c r="C106" s="2896">
        <f>0.8417/C101</f>
        <v>0.24048571428571427</v>
      </c>
      <c r="D106" s="2896">
        <f>0.8417/D101</f>
        <v>0.24048571428571427</v>
      </c>
      <c r="E106" s="2896">
        <f>0.7371/E101</f>
        <v>0.21059999999999998</v>
      </c>
      <c r="F106" s="2896">
        <f>0.7371/F101</f>
        <v>0.21059999999999998</v>
      </c>
      <c r="G106" s="2896">
        <f>0.7371/G101</f>
        <v>0.21059999999999998</v>
      </c>
      <c r="H106" s="2896">
        <f>0.7371/H101</f>
        <v>0.21059999999999998</v>
      </c>
      <c r="I106" s="2896">
        <f>0.7371/I101</f>
        <v>0.21059999999999998</v>
      </c>
      <c r="J106" s="2896">
        <f>0.5659/J101</f>
        <v>0.16168571428571427</v>
      </c>
      <c r="K106" s="2896">
        <f>0.5659/K101</f>
        <v>0.16168571428571427</v>
      </c>
      <c r="L106" s="2896">
        <f>0.5659/L101</f>
        <v>0.16168571428571427</v>
      </c>
      <c r="M106" s="2896">
        <f>0.5659/M101</f>
        <v>0.16168571428571427</v>
      </c>
      <c r="N106" s="2896">
        <f>0.5659/N101</f>
        <v>0.16168571428571427</v>
      </c>
    </row>
    <row r="107" spans="1:14">
      <c r="A107" s="3325"/>
      <c r="B107" s="2895">
        <v>6</v>
      </c>
      <c r="C107" s="2896">
        <f>0.7608/C101</f>
        <v>0.21737142857142858</v>
      </c>
      <c r="D107" s="2896">
        <f>0.7608/D101</f>
        <v>0.21737142857142858</v>
      </c>
      <c r="E107" s="2896">
        <f>0.6482/E101</f>
        <v>0.1852</v>
      </c>
      <c r="F107" s="2896">
        <f>0.6482/F101</f>
        <v>0.1852</v>
      </c>
      <c r="G107" s="2896">
        <f>0.6482/G101</f>
        <v>0.1852</v>
      </c>
      <c r="H107" s="2896">
        <f>0.6482/H101</f>
        <v>0.1852</v>
      </c>
      <c r="I107" s="2896">
        <f>0.6482/I101</f>
        <v>0.1852</v>
      </c>
      <c r="J107" s="2896">
        <f>0.4525/J101</f>
        <v>0.12928571428571428</v>
      </c>
      <c r="K107" s="2896">
        <f>0.4525/K101</f>
        <v>0.12928571428571428</v>
      </c>
      <c r="L107" s="2896">
        <f>0.4525/L101</f>
        <v>0.12928571428571428</v>
      </c>
      <c r="M107" s="2896">
        <f>0.4525/M101</f>
        <v>0.12928571428571428</v>
      </c>
      <c r="N107" s="2896">
        <f>0.4525/N101</f>
        <v>0.12928571428571428</v>
      </c>
    </row>
    <row r="108" spans="1:14">
      <c r="A108" s="3325"/>
      <c r="B108" s="3149"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26"/>
      <c r="B109" s="3150"/>
      <c r="C109" s="2898">
        <f>(-0.163*(C108^2)-0.59*C108+7617)*(10^(-4))/C101</f>
        <v>0.21762857142857145</v>
      </c>
      <c r="D109" s="2898">
        <f>(-0.163*(D108^2)-0.59*D108+7617)*(10^(-4))/D101</f>
        <v>0.21762857142857145</v>
      </c>
      <c r="E109" s="2898">
        <f>(-0.161*(E108^2)-7.509*E108+6533)*(10^(-4))/E101</f>
        <v>0.18665714285714285</v>
      </c>
      <c r="F109" s="2898">
        <f>(-0.161*(F108^2)-7.509*F108+6533)*(10^(-4))/F101</f>
        <v>0.18665714285714285</v>
      </c>
      <c r="G109" s="2898">
        <f>(-0.161*(G108^2)-7.509*G108+6533)*(10^(-4))/G101</f>
        <v>0.18665714285714285</v>
      </c>
      <c r="H109" s="2898">
        <f>(-0.161*(H108^2)-7.509*H108+6533)*(10^(-4))/H101</f>
        <v>0.18665714285714285</v>
      </c>
      <c r="I109" s="2898">
        <f>(-0.161*(I108^2)-7.509*I108+6533)*(10^(-4))/I101</f>
        <v>0.18665714285714285</v>
      </c>
      <c r="J109" s="2898">
        <f>(-0.214*(J108^2)-21.991*J108+4665)*(10^(-4))/J101</f>
        <v>0.13328571428571429</v>
      </c>
      <c r="K109" s="2898">
        <f>(-0.214*(K108^2)-21.991*K108+4665)*(10^(-4))/K101</f>
        <v>0.13328571428571429</v>
      </c>
      <c r="L109" s="2898">
        <f>(-0.214*(L108^2)-21.991*L108+4665)*(10^(-4))/L101</f>
        <v>0.13328571428571429</v>
      </c>
      <c r="M109" s="2898">
        <f>(-0.214*(M108^2)-21.991*M108+4665)*(10^(-4))/M101</f>
        <v>0.13328571428571429</v>
      </c>
      <c r="N109" s="2898">
        <f>(-0.214*(N108^2)-21.991*N108+4665)*(10^(-4))/N101</f>
        <v>0.13328571428571429</v>
      </c>
    </row>
    <row r="110" spans="1:14">
      <c r="A110" s="3322" t="s">
        <v>2980</v>
      </c>
      <c r="B110" s="3322"/>
      <c r="C110" s="3322"/>
      <c r="D110" s="3322"/>
      <c r="E110" s="3322"/>
      <c r="F110" s="3322"/>
      <c r="G110" s="3322"/>
      <c r="H110" s="3322"/>
      <c r="I110" s="3322"/>
      <c r="J110" s="3322"/>
      <c r="K110" s="2901"/>
      <c r="L110" s="2901"/>
      <c r="M110" s="2901"/>
      <c r="N110" s="2901"/>
    </row>
    <row r="112" spans="1:14" ht="13.5" thickBot="1"/>
    <row r="113" spans="1:13" ht="25.5" thickBot="1">
      <c r="A113" s="902" t="s">
        <v>2981</v>
      </c>
      <c r="B113" s="1289">
        <f>G3</f>
        <v>3.5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9" t="s">
        <v>183</v>
      </c>
      <c r="B18" s="881" t="s">
        <v>560</v>
      </c>
      <c r="C18" s="882" t="s">
        <v>561</v>
      </c>
      <c r="D18" s="883"/>
      <c r="E18" s="881">
        <v>1</v>
      </c>
      <c r="F18" s="884" t="s">
        <v>562</v>
      </c>
      <c r="G18" s="885"/>
      <c r="H18" s="877"/>
      <c r="I18" s="877"/>
    </row>
    <row r="19" spans="1:9" s="886" customFormat="1" ht="19.5" customHeight="1">
      <c r="A19" s="3339"/>
      <c r="B19" s="3339" t="s">
        <v>563</v>
      </c>
      <c r="C19" s="882" t="s">
        <v>564</v>
      </c>
      <c r="D19" s="883"/>
      <c r="E19" s="881">
        <v>0.9</v>
      </c>
      <c r="F19" s="884" t="s">
        <v>565</v>
      </c>
      <c r="G19" s="885"/>
      <c r="H19" s="877"/>
      <c r="I19" s="877"/>
    </row>
    <row r="20" spans="1:9" s="886" customFormat="1" ht="19.5" customHeight="1">
      <c r="A20" s="3339"/>
      <c r="B20" s="3339"/>
      <c r="C20" s="882" t="s">
        <v>566</v>
      </c>
      <c r="D20" s="883"/>
      <c r="E20" s="881">
        <v>1.1000000000000001</v>
      </c>
      <c r="F20" s="884" t="s">
        <v>567</v>
      </c>
      <c r="G20" s="885"/>
      <c r="H20" s="877"/>
      <c r="I20" s="877"/>
    </row>
    <row r="21" spans="1:9" s="886" customFormat="1" ht="19.5" customHeight="1">
      <c r="A21" s="3339"/>
      <c r="B21" s="3339"/>
      <c r="C21" s="882" t="s">
        <v>568</v>
      </c>
      <c r="D21" s="883"/>
      <c r="E21" s="881">
        <v>0.8</v>
      </c>
      <c r="F21" s="884" t="s">
        <v>569</v>
      </c>
      <c r="G21" s="885"/>
      <c r="H21" s="877"/>
      <c r="I21" s="877"/>
    </row>
    <row r="22" spans="1:9" s="886" customFormat="1" ht="19.5" customHeight="1">
      <c r="A22" s="3339"/>
      <c r="B22" s="3339"/>
      <c r="C22" s="882" t="s">
        <v>570</v>
      </c>
      <c r="D22" s="883"/>
      <c r="E22" s="881">
        <v>0.5</v>
      </c>
      <c r="F22" s="884"/>
      <c r="G22" s="885"/>
      <c r="H22" s="877"/>
      <c r="I22" s="877"/>
    </row>
    <row r="23" spans="1:9" s="886" customFormat="1" ht="19.5" customHeight="1">
      <c r="A23" s="3339" t="s">
        <v>184</v>
      </c>
      <c r="B23" s="881" t="s">
        <v>560</v>
      </c>
      <c r="C23" s="882" t="s">
        <v>571</v>
      </c>
      <c r="D23" s="883"/>
      <c r="E23" s="881">
        <v>1</v>
      </c>
      <c r="F23" s="884" t="s">
        <v>572</v>
      </c>
      <c r="G23" s="885"/>
      <c r="H23" s="877"/>
      <c r="I23" s="877"/>
    </row>
    <row r="24" spans="1:9" s="886" customFormat="1" ht="19.5" customHeight="1">
      <c r="A24" s="3339"/>
      <c r="B24" s="3339" t="s">
        <v>563</v>
      </c>
      <c r="C24" s="882" t="s">
        <v>573</v>
      </c>
      <c r="D24" s="883"/>
      <c r="E24" s="881">
        <v>0.5</v>
      </c>
      <c r="F24" s="884"/>
      <c r="G24" s="885"/>
      <c r="H24" s="877"/>
      <c r="I24" s="877"/>
    </row>
    <row r="25" spans="1:9" s="886" customFormat="1" ht="19.5" customHeight="1">
      <c r="A25" s="3339"/>
      <c r="B25" s="3339"/>
      <c r="C25" s="882" t="s">
        <v>574</v>
      </c>
      <c r="D25" s="883"/>
      <c r="E25" s="881">
        <v>1.1000000000000001</v>
      </c>
      <c r="F25" s="884"/>
      <c r="G25" s="885"/>
      <c r="H25" s="877"/>
      <c r="I25" s="877"/>
    </row>
    <row r="26" spans="1:9" s="886" customFormat="1" ht="19.5" customHeight="1">
      <c r="A26" s="3339"/>
      <c r="B26" s="3339"/>
      <c r="C26" s="882" t="s">
        <v>575</v>
      </c>
      <c r="D26" s="883"/>
      <c r="E26" s="881">
        <v>1.1000000000000001</v>
      </c>
      <c r="F26" s="884"/>
      <c r="G26" s="885"/>
      <c r="H26" s="877"/>
      <c r="I26" s="877"/>
    </row>
    <row r="27" spans="1:9" s="886" customFormat="1" ht="19.5" customHeight="1">
      <c r="A27" s="3339"/>
      <c r="B27" s="3339"/>
      <c r="C27" s="882" t="s">
        <v>576</v>
      </c>
      <c r="D27" s="883"/>
      <c r="E27" s="881">
        <v>0.9</v>
      </c>
      <c r="F27" s="884" t="s">
        <v>577</v>
      </c>
      <c r="G27" s="885"/>
      <c r="H27" s="877"/>
      <c r="I27" s="877"/>
    </row>
    <row r="28" spans="1:9" s="886" customFormat="1" ht="19.5" customHeight="1">
      <c r="A28" s="3339"/>
      <c r="B28" s="3339"/>
      <c r="C28" s="882" t="s">
        <v>578</v>
      </c>
      <c r="D28" s="883"/>
      <c r="E28" s="881">
        <v>0.9</v>
      </c>
      <c r="F28" s="884" t="s">
        <v>579</v>
      </c>
      <c r="G28" s="885"/>
      <c r="H28" s="877"/>
      <c r="I28" s="877"/>
    </row>
    <row r="29" spans="1:9" s="886" customFormat="1" ht="19.5" customHeight="1">
      <c r="A29" s="3339"/>
      <c r="B29" s="3339"/>
      <c r="C29" s="882" t="s">
        <v>580</v>
      </c>
      <c r="D29" s="883"/>
      <c r="E29" s="881">
        <v>0.9</v>
      </c>
      <c r="F29" s="884" t="s">
        <v>581</v>
      </c>
      <c r="G29" s="885"/>
      <c r="H29" s="877"/>
      <c r="I29" s="877"/>
    </row>
    <row r="30" spans="1:9" s="886" customFormat="1" ht="19.5" customHeight="1">
      <c r="A30" s="3339"/>
      <c r="B30" s="3339"/>
      <c r="C30" s="882" t="s">
        <v>582</v>
      </c>
      <c r="D30" s="883"/>
      <c r="E30" s="881">
        <v>0.9</v>
      </c>
      <c r="F30" s="884" t="s">
        <v>583</v>
      </c>
      <c r="G30" s="885"/>
      <c r="H30" s="877"/>
      <c r="I30" s="877"/>
    </row>
    <row r="31" spans="1:9" s="886" customFormat="1" ht="19.5" customHeight="1">
      <c r="A31" s="3339"/>
      <c r="B31" s="3339"/>
      <c r="C31" s="882" t="s">
        <v>584</v>
      </c>
      <c r="D31" s="883"/>
      <c r="E31" s="881">
        <v>0.8</v>
      </c>
      <c r="F31" s="884" t="s">
        <v>585</v>
      </c>
      <c r="G31" s="885"/>
      <c r="H31" s="877"/>
      <c r="I31" s="877"/>
    </row>
    <row r="32" spans="1:9" s="886" customFormat="1" ht="19.5" customHeight="1">
      <c r="A32" s="3339"/>
      <c r="B32" s="3339"/>
      <c r="C32" s="882" t="s">
        <v>586</v>
      </c>
      <c r="D32" s="883"/>
      <c r="E32" s="881">
        <v>0.8</v>
      </c>
      <c r="F32" s="884" t="s">
        <v>587</v>
      </c>
      <c r="G32" s="885"/>
      <c r="H32" s="877"/>
      <c r="I32" s="877"/>
    </row>
    <row r="33" spans="1:9" s="886" customFormat="1" ht="19.5" customHeight="1">
      <c r="A33" s="3339" t="s">
        <v>185</v>
      </c>
      <c r="B33" s="881" t="s">
        <v>560</v>
      </c>
      <c r="C33" s="882" t="s">
        <v>588</v>
      </c>
      <c r="D33" s="883"/>
      <c r="E33" s="881">
        <v>1</v>
      </c>
      <c r="F33" s="884" t="s">
        <v>589</v>
      </c>
      <c r="G33" s="885"/>
      <c r="H33" s="877"/>
      <c r="I33" s="877"/>
    </row>
    <row r="34" spans="1:9" s="886" customFormat="1" ht="19.5" customHeight="1">
      <c r="A34" s="3339"/>
      <c r="B34" s="881" t="s">
        <v>563</v>
      </c>
      <c r="C34" s="882" t="s">
        <v>590</v>
      </c>
      <c r="D34" s="883"/>
      <c r="E34" s="881">
        <v>1.5</v>
      </c>
      <c r="F34" s="884" t="s">
        <v>591</v>
      </c>
      <c r="G34" s="885"/>
      <c r="H34" s="877"/>
      <c r="I34" s="877"/>
    </row>
    <row r="35" spans="1:9" s="886" customFormat="1" ht="19.5" customHeight="1">
      <c r="A35" s="3339" t="s">
        <v>186</v>
      </c>
      <c r="B35" s="881" t="s">
        <v>560</v>
      </c>
      <c r="C35" s="882" t="s">
        <v>592</v>
      </c>
      <c r="D35" s="883"/>
      <c r="E35" s="881">
        <v>1</v>
      </c>
      <c r="F35" s="884" t="s">
        <v>593</v>
      </c>
      <c r="G35" s="885"/>
      <c r="H35" s="877"/>
      <c r="I35" s="877"/>
    </row>
    <row r="36" spans="1:9" s="886" customFormat="1" ht="19.5" customHeight="1">
      <c r="A36" s="3339"/>
      <c r="B36" s="3339" t="s">
        <v>563</v>
      </c>
      <c r="C36" s="882" t="s">
        <v>594</v>
      </c>
      <c r="D36" s="883"/>
      <c r="E36" s="881">
        <v>1</v>
      </c>
      <c r="F36" s="884" t="s">
        <v>595</v>
      </c>
      <c r="G36" s="885"/>
      <c r="H36" s="877"/>
      <c r="I36" s="877"/>
    </row>
    <row r="37" spans="1:9" s="886" customFormat="1" ht="19.5" customHeight="1">
      <c r="A37" s="3339"/>
      <c r="B37" s="3339"/>
      <c r="C37" s="882" t="s">
        <v>596</v>
      </c>
      <c r="D37" s="883"/>
      <c r="E37" s="881">
        <v>1.5</v>
      </c>
      <c r="F37" s="884" t="s">
        <v>597</v>
      </c>
      <c r="G37" s="885"/>
      <c r="H37" s="877"/>
      <c r="I37" s="877"/>
    </row>
    <row r="38" spans="1:9" s="886" customFormat="1" ht="19.5" customHeight="1">
      <c r="A38" s="3339"/>
      <c r="B38" s="3339"/>
      <c r="C38" s="882" t="s">
        <v>598</v>
      </c>
      <c r="D38" s="883"/>
      <c r="E38" s="881">
        <v>1</v>
      </c>
      <c r="F38" s="884" t="s">
        <v>599</v>
      </c>
      <c r="G38" s="885"/>
      <c r="H38" s="877"/>
      <c r="I38" s="877"/>
    </row>
    <row r="39" spans="1:9" s="886" customFormat="1" ht="19.5" customHeight="1">
      <c r="A39" s="3339"/>
      <c r="B39" s="333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9" t="s">
        <v>614</v>
      </c>
      <c r="C61" s="817" t="s">
        <v>615</v>
      </c>
      <c r="D61" s="817" t="s">
        <v>616</v>
      </c>
      <c r="E61" s="894">
        <v>0.5</v>
      </c>
      <c r="F61" s="881">
        <v>80</v>
      </c>
    </row>
    <row r="62" spans="1:8" s="877" customFormat="1" ht="24">
      <c r="A62" s="881">
        <v>2</v>
      </c>
      <c r="B62" s="3339"/>
      <c r="C62" s="817" t="s">
        <v>617</v>
      </c>
      <c r="D62" s="817" t="s">
        <v>618</v>
      </c>
      <c r="E62" s="894">
        <v>0.5</v>
      </c>
      <c r="F62" s="881">
        <v>80</v>
      </c>
    </row>
    <row r="63" spans="1:8" s="877" customFormat="1" ht="36">
      <c r="A63" s="881">
        <v>3</v>
      </c>
      <c r="B63" s="3339"/>
      <c r="C63" s="817" t="s">
        <v>619</v>
      </c>
      <c r="D63" s="817" t="s">
        <v>620</v>
      </c>
      <c r="E63" s="894">
        <v>0.5</v>
      </c>
      <c r="F63" s="881">
        <v>80</v>
      </c>
    </row>
    <row r="64" spans="1:8" s="877" customFormat="1" ht="36">
      <c r="A64" s="881">
        <v>4</v>
      </c>
      <c r="B64" s="3339"/>
      <c r="C64" s="817" t="s">
        <v>621</v>
      </c>
      <c r="D64" s="817" t="s">
        <v>622</v>
      </c>
      <c r="E64" s="894">
        <v>0.4</v>
      </c>
      <c r="F64" s="881">
        <v>60</v>
      </c>
    </row>
    <row r="65" spans="1:6" s="877" customFormat="1" ht="36">
      <c r="A65" s="881">
        <v>5</v>
      </c>
      <c r="B65" s="3339"/>
      <c r="C65" s="817" t="s">
        <v>623</v>
      </c>
      <c r="D65" s="817" t="s">
        <v>624</v>
      </c>
      <c r="E65" s="894">
        <v>0.2</v>
      </c>
      <c r="F65" s="881">
        <v>30</v>
      </c>
    </row>
    <row r="66" spans="1:6" s="877" customFormat="1" ht="36">
      <c r="A66" s="881">
        <v>6</v>
      </c>
      <c r="B66" s="3339"/>
      <c r="C66" s="817" t="s">
        <v>625</v>
      </c>
      <c r="D66" s="817" t="s">
        <v>626</v>
      </c>
      <c r="E66" s="894">
        <v>0.3</v>
      </c>
      <c r="F66" s="881">
        <v>50</v>
      </c>
    </row>
    <row r="67" spans="1:6" s="877" customFormat="1" ht="36">
      <c r="A67" s="881">
        <v>7</v>
      </c>
      <c r="B67" s="3339"/>
      <c r="C67" s="817" t="s">
        <v>627</v>
      </c>
      <c r="D67" s="817" t="s">
        <v>628</v>
      </c>
      <c r="E67" s="894">
        <v>0.2</v>
      </c>
      <c r="F67" s="881">
        <v>30</v>
      </c>
    </row>
    <row r="68" spans="1:6" s="877" customFormat="1" ht="36">
      <c r="A68" s="881">
        <v>8</v>
      </c>
      <c r="B68" s="3339"/>
      <c r="C68" s="817" t="s">
        <v>629</v>
      </c>
      <c r="D68" s="817" t="s">
        <v>630</v>
      </c>
      <c r="E68" s="894">
        <v>0.2</v>
      </c>
      <c r="F68" s="881">
        <v>30</v>
      </c>
    </row>
    <row r="69" spans="1:6" s="877" customFormat="1" ht="36">
      <c r="A69" s="881">
        <v>9</v>
      </c>
      <c r="B69" s="3339"/>
      <c r="C69" s="817" t="s">
        <v>631</v>
      </c>
      <c r="D69" s="817" t="s">
        <v>632</v>
      </c>
      <c r="E69" s="894">
        <v>0.2</v>
      </c>
      <c r="F69" s="881">
        <v>30</v>
      </c>
    </row>
    <row r="70" spans="1:6" s="877" customFormat="1" ht="48">
      <c r="A70" s="881">
        <v>10</v>
      </c>
      <c r="B70" s="3339"/>
      <c r="C70" s="817" t="s">
        <v>633</v>
      </c>
      <c r="D70" s="817" t="s">
        <v>634</v>
      </c>
      <c r="E70" s="894">
        <v>0.2</v>
      </c>
      <c r="F70" s="881">
        <v>30</v>
      </c>
    </row>
    <row r="71" spans="1:6" s="877" customFormat="1" ht="48">
      <c r="A71" s="881">
        <v>11</v>
      </c>
      <c r="B71" s="3339"/>
      <c r="C71" s="817" t="s">
        <v>635</v>
      </c>
      <c r="D71" s="817" t="s">
        <v>636</v>
      </c>
      <c r="E71" s="894">
        <v>0.2</v>
      </c>
      <c r="F71" s="881">
        <v>30</v>
      </c>
    </row>
    <row r="72" spans="1:6" s="877" customFormat="1" ht="36">
      <c r="A72" s="881">
        <v>12</v>
      </c>
      <c r="B72" s="3339"/>
      <c r="C72" s="817" t="s">
        <v>637</v>
      </c>
      <c r="D72" s="817" t="s">
        <v>638</v>
      </c>
      <c r="E72" s="894">
        <v>0.5</v>
      </c>
      <c r="F72" s="881">
        <v>80</v>
      </c>
    </row>
    <row r="73" spans="1:6" s="877" customFormat="1" ht="24">
      <c r="A73" s="881">
        <v>13</v>
      </c>
      <c r="B73" s="3339"/>
      <c r="C73" s="817" t="s">
        <v>639</v>
      </c>
      <c r="D73" s="817" t="s">
        <v>640</v>
      </c>
      <c r="E73" s="894">
        <v>0.4</v>
      </c>
      <c r="F73" s="881">
        <v>60</v>
      </c>
    </row>
    <row r="74" spans="1:6" s="877" customFormat="1" ht="24">
      <c r="A74" s="881">
        <v>14</v>
      </c>
      <c r="B74" s="3339"/>
      <c r="C74" s="817" t="s">
        <v>641</v>
      </c>
      <c r="D74" s="817" t="s">
        <v>642</v>
      </c>
      <c r="E74" s="894">
        <v>0.2</v>
      </c>
      <c r="F74" s="881">
        <v>30</v>
      </c>
    </row>
    <row r="75" spans="1:6" s="877" customFormat="1" ht="24">
      <c r="A75" s="881">
        <v>15</v>
      </c>
      <c r="B75" s="3339"/>
      <c r="C75" s="817" t="s">
        <v>643</v>
      </c>
      <c r="D75" s="817" t="s">
        <v>644</v>
      </c>
      <c r="E75" s="894">
        <v>0.2</v>
      </c>
      <c r="F75" s="881">
        <v>30</v>
      </c>
    </row>
    <row r="76" spans="1:6" s="877" customFormat="1" ht="24">
      <c r="A76" s="881">
        <v>16</v>
      </c>
      <c r="B76" s="3339" t="s">
        <v>645</v>
      </c>
      <c r="C76" s="817" t="s">
        <v>646</v>
      </c>
      <c r="D76" s="817" t="s">
        <v>647</v>
      </c>
      <c r="E76" s="894">
        <v>0.5</v>
      </c>
      <c r="F76" s="881">
        <v>80</v>
      </c>
    </row>
    <row r="77" spans="1:6" s="877" customFormat="1" ht="24">
      <c r="A77" s="881">
        <v>17</v>
      </c>
      <c r="B77" s="3339"/>
      <c r="C77" s="817" t="s">
        <v>648</v>
      </c>
      <c r="D77" s="817" t="s">
        <v>649</v>
      </c>
      <c r="E77" s="894">
        <v>0.5</v>
      </c>
      <c r="F77" s="881">
        <v>80</v>
      </c>
    </row>
    <row r="78" spans="1:6" s="877" customFormat="1" ht="24">
      <c r="A78" s="881">
        <v>18</v>
      </c>
      <c r="B78" s="3339"/>
      <c r="C78" s="817" t="s">
        <v>650</v>
      </c>
      <c r="D78" s="817" t="s">
        <v>651</v>
      </c>
      <c r="E78" s="894">
        <v>0.2</v>
      </c>
      <c r="F78" s="881">
        <v>30</v>
      </c>
    </row>
    <row r="79" spans="1:6" s="877" customFormat="1" ht="24">
      <c r="A79" s="881">
        <v>19</v>
      </c>
      <c r="B79" s="3339"/>
      <c r="C79" s="817" t="s">
        <v>652</v>
      </c>
      <c r="D79" s="817" t="s">
        <v>653</v>
      </c>
      <c r="E79" s="894">
        <v>0.5</v>
      </c>
      <c r="F79" s="881">
        <v>80</v>
      </c>
    </row>
    <row r="80" spans="1:6" s="877" customFormat="1" ht="36">
      <c r="A80" s="881">
        <v>20</v>
      </c>
      <c r="B80" s="3339"/>
      <c r="C80" s="817" t="s">
        <v>654</v>
      </c>
      <c r="D80" s="817" t="s">
        <v>655</v>
      </c>
      <c r="E80" s="894">
        <v>0.2</v>
      </c>
      <c r="F80" s="881">
        <v>30</v>
      </c>
    </row>
    <row r="81" spans="1:6" s="877" customFormat="1" ht="36">
      <c r="A81" s="881">
        <v>21</v>
      </c>
      <c r="B81" s="3339"/>
      <c r="C81" s="817" t="s">
        <v>656</v>
      </c>
      <c r="D81" s="817" t="s">
        <v>657</v>
      </c>
      <c r="E81" s="894">
        <v>0.2</v>
      </c>
      <c r="F81" s="881">
        <v>30</v>
      </c>
    </row>
    <row r="82" spans="1:6" s="877" customFormat="1" ht="48">
      <c r="A82" s="881">
        <v>22</v>
      </c>
      <c r="B82" s="3339"/>
      <c r="C82" s="817" t="s">
        <v>658</v>
      </c>
      <c r="D82" s="817" t="s">
        <v>659</v>
      </c>
      <c r="E82" s="894">
        <v>0.2</v>
      </c>
      <c r="F82" s="881">
        <v>30</v>
      </c>
    </row>
    <row r="83" spans="1:6" s="877" customFormat="1" ht="48">
      <c r="A83" s="881">
        <v>23</v>
      </c>
      <c r="B83" s="3339"/>
      <c r="C83" s="817" t="s">
        <v>660</v>
      </c>
      <c r="D83" s="817" t="s">
        <v>661</v>
      </c>
      <c r="E83" s="894">
        <v>0.2</v>
      </c>
      <c r="F83" s="881">
        <v>30</v>
      </c>
    </row>
    <row r="84" spans="1:6" s="877" customFormat="1" ht="36">
      <c r="A84" s="881">
        <v>24</v>
      </c>
      <c r="B84" s="3339"/>
      <c r="C84" s="817" t="s">
        <v>662</v>
      </c>
      <c r="D84" s="817" t="s">
        <v>663</v>
      </c>
      <c r="E84" s="894">
        <v>0.2</v>
      </c>
      <c r="F84" s="881">
        <v>30</v>
      </c>
    </row>
    <row r="85" spans="1:6" s="877" customFormat="1" ht="36">
      <c r="A85" s="881">
        <v>25</v>
      </c>
      <c r="B85" s="3339"/>
      <c r="C85" s="817" t="s">
        <v>664</v>
      </c>
      <c r="D85" s="817" t="s">
        <v>665</v>
      </c>
      <c r="E85" s="894">
        <v>0.5</v>
      </c>
      <c r="F85" s="881">
        <v>80</v>
      </c>
    </row>
    <row r="86" spans="1:6" s="877" customFormat="1" ht="36">
      <c r="A86" s="881">
        <v>26</v>
      </c>
      <c r="B86" s="3339"/>
      <c r="C86" s="817" t="s">
        <v>666</v>
      </c>
      <c r="D86" s="817" t="s">
        <v>667</v>
      </c>
      <c r="E86" s="894">
        <v>0.2</v>
      </c>
      <c r="F86" s="881">
        <v>30</v>
      </c>
    </row>
    <row r="87" spans="1:6" s="877" customFormat="1" ht="36">
      <c r="A87" s="881">
        <v>27</v>
      </c>
      <c r="B87" s="3339"/>
      <c r="C87" s="817" t="s">
        <v>668</v>
      </c>
      <c r="D87" s="817" t="s">
        <v>669</v>
      </c>
      <c r="E87" s="894">
        <v>0.2</v>
      </c>
      <c r="F87" s="881">
        <v>30</v>
      </c>
    </row>
    <row r="88" spans="1:6" s="877" customFormat="1" ht="36">
      <c r="A88" s="881">
        <v>28</v>
      </c>
      <c r="B88" s="3339"/>
      <c r="C88" s="817" t="s">
        <v>670</v>
      </c>
      <c r="D88" s="817" t="s">
        <v>671</v>
      </c>
      <c r="E88" s="894">
        <v>0.2</v>
      </c>
      <c r="F88" s="881">
        <v>30</v>
      </c>
    </row>
    <row r="89" spans="1:6" s="877" customFormat="1" ht="24">
      <c r="A89" s="881">
        <v>29</v>
      </c>
      <c r="B89" s="3339"/>
      <c r="C89" s="817" t="s">
        <v>672</v>
      </c>
      <c r="D89" s="817" t="s">
        <v>673</v>
      </c>
      <c r="E89" s="894">
        <v>0.2</v>
      </c>
      <c r="F89" s="881">
        <v>30</v>
      </c>
    </row>
    <row r="90" spans="1:6" s="877" customFormat="1" ht="24">
      <c r="A90" s="881">
        <v>30</v>
      </c>
      <c r="B90" s="3339"/>
      <c r="C90" s="817" t="s">
        <v>674</v>
      </c>
      <c r="D90" s="817" t="s">
        <v>675</v>
      </c>
      <c r="E90" s="894">
        <v>0.2</v>
      </c>
      <c r="F90" s="881">
        <v>30</v>
      </c>
    </row>
    <row r="91" spans="1:6" s="877" customFormat="1" ht="36">
      <c r="A91" s="881">
        <v>31</v>
      </c>
      <c r="B91" s="3339"/>
      <c r="C91" s="817" t="s">
        <v>676</v>
      </c>
      <c r="D91" s="817" t="s">
        <v>677</v>
      </c>
      <c r="E91" s="894">
        <v>0.2</v>
      </c>
      <c r="F91" s="881">
        <v>30</v>
      </c>
    </row>
    <row r="92" spans="1:6" s="877" customFormat="1" ht="24">
      <c r="A92" s="881">
        <v>32</v>
      </c>
      <c r="B92" s="3339" t="s">
        <v>678</v>
      </c>
      <c r="C92" s="881" t="s">
        <v>679</v>
      </c>
      <c r="D92" s="817" t="s">
        <v>680</v>
      </c>
      <c r="E92" s="894">
        <v>0.2</v>
      </c>
      <c r="F92" s="881">
        <v>30</v>
      </c>
    </row>
    <row r="93" spans="1:6" s="877" customFormat="1" ht="36">
      <c r="A93" s="881">
        <v>33</v>
      </c>
      <c r="B93" s="3339"/>
      <c r="C93" s="881" t="s">
        <v>681</v>
      </c>
      <c r="D93" s="817" t="s">
        <v>682</v>
      </c>
      <c r="E93" s="894">
        <v>0.2</v>
      </c>
      <c r="F93" s="881">
        <v>30</v>
      </c>
    </row>
    <row r="94" spans="1:6" s="877" customFormat="1" ht="48">
      <c r="A94" s="881">
        <v>34</v>
      </c>
      <c r="B94" s="3339"/>
      <c r="C94" s="881" t="s">
        <v>683</v>
      </c>
      <c r="D94" s="817" t="s">
        <v>684</v>
      </c>
      <c r="E94" s="894">
        <v>0.2</v>
      </c>
      <c r="F94" s="881">
        <v>30</v>
      </c>
    </row>
    <row r="95" spans="1:6" s="877" customFormat="1" ht="36">
      <c r="A95" s="881">
        <v>35</v>
      </c>
      <c r="B95" s="3339"/>
      <c r="C95" s="881" t="s">
        <v>685</v>
      </c>
      <c r="D95" s="817" t="s">
        <v>686</v>
      </c>
      <c r="E95" s="894">
        <v>0.2</v>
      </c>
      <c r="F95" s="881">
        <v>30</v>
      </c>
    </row>
    <row r="96" spans="1:6" s="877" customFormat="1" ht="48">
      <c r="A96" s="881">
        <v>36</v>
      </c>
      <c r="B96" s="3339"/>
      <c r="C96" s="817" t="s">
        <v>687</v>
      </c>
      <c r="D96" s="817" t="s">
        <v>688</v>
      </c>
      <c r="E96" s="894">
        <v>0.2</v>
      </c>
      <c r="F96" s="881">
        <v>30</v>
      </c>
    </row>
    <row r="97" spans="1:6" s="877" customFormat="1" ht="36">
      <c r="A97" s="881">
        <v>37</v>
      </c>
      <c r="B97" s="3339"/>
      <c r="C97" s="881" t="s">
        <v>689</v>
      </c>
      <c r="D97" s="817" t="s">
        <v>690</v>
      </c>
      <c r="E97" s="894">
        <v>0.2</v>
      </c>
      <c r="F97" s="881">
        <v>30</v>
      </c>
    </row>
    <row r="98" spans="1:6" s="877" customFormat="1" ht="36">
      <c r="A98" s="881">
        <v>38</v>
      </c>
      <c r="B98" s="3339"/>
      <c r="C98" s="881" t="s">
        <v>691</v>
      </c>
      <c r="D98" s="817" t="s">
        <v>692</v>
      </c>
      <c r="E98" s="894">
        <v>0.2</v>
      </c>
      <c r="F98" s="881">
        <v>30</v>
      </c>
    </row>
    <row r="99" spans="1:6" s="877" customFormat="1" ht="36">
      <c r="A99" s="881">
        <v>39</v>
      </c>
      <c r="B99" s="3339" t="s">
        <v>693</v>
      </c>
      <c r="C99" s="881" t="s">
        <v>694</v>
      </c>
      <c r="D99" s="817" t="s">
        <v>695</v>
      </c>
      <c r="E99" s="894">
        <v>0.3</v>
      </c>
      <c r="F99" s="881">
        <v>50</v>
      </c>
    </row>
    <row r="100" spans="1:6" s="877" customFormat="1" ht="24">
      <c r="A100" s="881">
        <v>40</v>
      </c>
      <c r="B100" s="3339"/>
      <c r="C100" s="881" t="s">
        <v>696</v>
      </c>
      <c r="D100" s="817" t="s">
        <v>697</v>
      </c>
      <c r="E100" s="894">
        <v>0.2</v>
      </c>
      <c r="F100" s="881">
        <v>30</v>
      </c>
    </row>
    <row r="101" spans="1:6" s="877" customFormat="1" ht="36">
      <c r="A101" s="881">
        <v>41</v>
      </c>
      <c r="B101" s="333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9" t="s">
        <v>708</v>
      </c>
      <c r="C105" s="881" t="s">
        <v>709</v>
      </c>
      <c r="D105" s="817" t="s">
        <v>710</v>
      </c>
      <c r="E105" s="894">
        <v>0.2</v>
      </c>
      <c r="F105" s="881">
        <v>30</v>
      </c>
    </row>
    <row r="106" spans="1:6" s="877" customFormat="1" ht="36">
      <c r="A106" s="881">
        <v>46</v>
      </c>
      <c r="B106" s="3339"/>
      <c r="C106" s="881" t="s">
        <v>711</v>
      </c>
      <c r="D106" s="817" t="s">
        <v>712</v>
      </c>
      <c r="E106" s="894">
        <v>0.2</v>
      </c>
      <c r="F106" s="881">
        <v>30</v>
      </c>
    </row>
    <row r="107" spans="1:6" s="877" customFormat="1" ht="36">
      <c r="A107" s="881">
        <v>47</v>
      </c>
      <c r="B107" s="3339" t="s">
        <v>713</v>
      </c>
      <c r="C107" s="881" t="s">
        <v>714</v>
      </c>
      <c r="D107" s="817" t="s">
        <v>715</v>
      </c>
      <c r="E107" s="894">
        <v>0.3</v>
      </c>
      <c r="F107" s="881">
        <v>50</v>
      </c>
    </row>
    <row r="108" spans="1:6" s="877" customFormat="1" ht="36">
      <c r="A108" s="881">
        <v>48</v>
      </c>
      <c r="B108" s="333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9" t="s">
        <v>724</v>
      </c>
      <c r="C111" s="881" t="s">
        <v>725</v>
      </c>
      <c r="D111" s="817" t="s">
        <v>726</v>
      </c>
      <c r="E111" s="894">
        <v>0.2</v>
      </c>
      <c r="F111" s="881">
        <v>30</v>
      </c>
    </row>
    <row r="112" spans="1:6" s="877" customFormat="1" ht="24">
      <c r="A112" s="881">
        <v>52</v>
      </c>
      <c r="B112" s="3339"/>
      <c r="C112" s="881" t="s">
        <v>727</v>
      </c>
      <c r="D112" s="817" t="s">
        <v>728</v>
      </c>
      <c r="E112" s="894">
        <v>0.2</v>
      </c>
      <c r="F112" s="881">
        <v>30</v>
      </c>
    </row>
    <row r="113" spans="1:6" s="877" customFormat="1" ht="24">
      <c r="A113" s="881">
        <v>53</v>
      </c>
      <c r="B113" s="333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9" t="s">
        <v>737</v>
      </c>
      <c r="C116" s="881" t="s">
        <v>738</v>
      </c>
      <c r="D116" s="817" t="s">
        <v>739</v>
      </c>
      <c r="E116" s="894">
        <v>0.2</v>
      </c>
      <c r="F116" s="881">
        <v>30</v>
      </c>
    </row>
    <row r="117" spans="1:6" ht="36">
      <c r="A117" s="881">
        <v>57</v>
      </c>
      <c r="B117" s="333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45" t="s">
        <v>1150</v>
      </c>
      <c r="C1" s="3345"/>
      <c r="D1" s="3345"/>
      <c r="E1" s="3345"/>
      <c r="F1" s="3345"/>
      <c r="G1" s="3341" t="s">
        <v>1151</v>
      </c>
      <c r="H1" s="3341"/>
      <c r="I1" s="3341"/>
      <c r="J1" s="3341"/>
      <c r="K1" s="3341"/>
      <c r="L1" s="3341"/>
      <c r="N1" s="3341" t="s">
        <v>1152</v>
      </c>
      <c r="O1" s="3341"/>
      <c r="P1" s="3341"/>
      <c r="Q1" s="3341"/>
      <c r="R1" s="1448"/>
      <c r="S1" s="3341" t="s">
        <v>1153</v>
      </c>
      <c r="T1" s="3341"/>
      <c r="U1" s="3341"/>
      <c r="V1" s="3341"/>
      <c r="X1" s="3340" t="s">
        <v>1154</v>
      </c>
      <c r="Y1" s="3341"/>
      <c r="Z1" s="3341"/>
      <c r="AA1" s="3341"/>
      <c r="AB1" s="3341"/>
      <c r="AD1" s="3340" t="s">
        <v>1155</v>
      </c>
      <c r="AE1" s="3341"/>
      <c r="AF1" s="3341"/>
      <c r="AG1" s="3341"/>
      <c r="AH1" s="334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46">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43"/>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43"/>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44"/>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42">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43"/>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43"/>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44"/>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42">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43"/>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43"/>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44"/>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47">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48"/>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48"/>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49"/>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42">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43"/>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43"/>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44"/>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42">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43">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43">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44">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42">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43">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43">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44">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42">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43">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43">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44">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42">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43">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43">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44">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42">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43">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43">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44">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42">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43">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43">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44">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42">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43">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43">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44">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42">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43">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43">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44">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4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43">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43">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4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4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43">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43">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44">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D18" sqref="D18"/>
    </sheetView>
  </sheetViews>
  <sheetFormatPr defaultRowHeight="12.75"/>
  <cols>
    <col min="1" max="1" width="16.62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51" t="s">
        <v>3006</v>
      </c>
      <c r="D1" s="3352"/>
      <c r="E1" s="3352"/>
      <c r="F1" s="3352"/>
      <c r="G1" s="3352"/>
      <c r="H1" s="3352"/>
      <c r="I1" s="3352"/>
      <c r="J1" s="3352"/>
      <c r="K1" s="3352"/>
      <c r="L1" s="3352"/>
      <c r="M1" s="3352"/>
      <c r="N1" s="3352"/>
      <c r="O1" s="3352"/>
      <c r="P1" s="3352"/>
      <c r="Q1" s="3352"/>
      <c r="R1" s="3352"/>
      <c r="S1" s="3353"/>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3126</v>
      </c>
      <c r="D17" s="1234" t="s">
        <v>3226</v>
      </c>
      <c r="E17" s="1234" t="s">
        <v>3127</v>
      </c>
      <c r="F17" s="1234" t="s">
        <v>3128</v>
      </c>
      <c r="G17" s="1234" t="s">
        <v>3227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9863</v>
      </c>
      <c r="C20" s="168"/>
      <c r="D20" s="2919" t="s">
        <v>70</v>
      </c>
      <c r="E20" s="1795"/>
      <c r="F20" s="1206">
        <f ca="1">SUMIF(INDIRECT("'"&amp;H20&amp;"'"&amp;"!A:A"),"承租人权益价值",INDIRECT("'"&amp;H20&amp;"'"&amp;"!c:c"))</f>
        <v>0</v>
      </c>
      <c r="G20" s="1206" t="s">
        <v>3019</v>
      </c>
      <c r="H20" s="2920" t="s">
        <v>3131</v>
      </c>
      <c r="I20" s="168"/>
      <c r="J20" s="168"/>
      <c r="K20" s="168"/>
      <c r="L20" s="168"/>
      <c r="M20" s="168"/>
      <c r="N20" s="168"/>
      <c r="O20" s="168"/>
      <c r="P20" s="168"/>
      <c r="Q20" s="168"/>
      <c r="R20" s="787"/>
      <c r="S20" s="138"/>
    </row>
    <row r="21" spans="1:45" ht="15.75">
      <c r="A21" s="714" t="s">
        <v>3020</v>
      </c>
      <c r="B21" s="338">
        <f ca="1">R22</f>
        <v>24534</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4020.0999999999995</v>
      </c>
      <c r="C22" s="3130" t="s">
        <v>33</v>
      </c>
      <c r="D22" s="3131"/>
      <c r="E22" s="3131"/>
      <c r="F22" s="3131"/>
      <c r="G22" s="3131"/>
      <c r="H22" s="3131"/>
      <c r="I22" s="3131"/>
      <c r="J22" s="3131"/>
      <c r="K22" s="3131"/>
      <c r="L22" s="3131"/>
      <c r="M22" s="3131"/>
      <c r="N22" s="3131"/>
      <c r="O22" s="3131"/>
      <c r="P22" s="3131"/>
      <c r="Q22" s="3350"/>
      <c r="R22" s="715">
        <f ca="1">ROUND(S22*10000/B22,0)</f>
        <v>24534</v>
      </c>
      <c r="S22" s="24">
        <f ca="1">SUM(S24:S10000)</f>
        <v>9863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20" t="str">
        <f>Sheet1!C3</f>
        <v>8号楼-商1</v>
      </c>
      <c r="B24" s="717">
        <f>Sheet1!E3</f>
        <v>195.21</v>
      </c>
      <c r="C24" s="718">
        <v>1</v>
      </c>
      <c r="D24" s="719"/>
      <c r="E24" s="718">
        <v>1</v>
      </c>
      <c r="F24" s="719"/>
      <c r="G24" s="718">
        <v>1</v>
      </c>
      <c r="H24" s="719"/>
      <c r="I24" s="718">
        <v>1</v>
      </c>
      <c r="J24" s="719"/>
      <c r="K24" s="718">
        <v>1</v>
      </c>
      <c r="L24" s="719"/>
      <c r="M24" s="718">
        <v>1</v>
      </c>
      <c r="N24" s="719"/>
      <c r="O24" s="718">
        <v>1</v>
      </c>
      <c r="P24" s="719" t="s">
        <v>3124</v>
      </c>
      <c r="Q24" s="718">
        <v>1</v>
      </c>
      <c r="R24" s="720">
        <f ca="1">结果表!G20</f>
        <v>29972</v>
      </c>
      <c r="S24" s="718">
        <f t="shared" ref="S24:S54" ca="1" si="11">ROUND(R24*B24/10000,0)</f>
        <v>585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20" t="str">
        <f>Sheet1!C4</f>
        <v>8号楼-商2</v>
      </c>
      <c r="B25" s="717">
        <f>Sheet1!E4</f>
        <v>121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3124</v>
      </c>
      <c r="Q25" s="24">
        <f>(SUMIF($17:$17,P25,$18:$18)-SUMIF($17:$17,$P$24,$18:$18)+100)/100</f>
        <v>1</v>
      </c>
      <c r="R25" s="715">
        <f ca="1">IF(B25="",0,ROUND($R$24*C25*E25*G25*I25*K25*M25*O25*Q25,0))</f>
        <v>29972</v>
      </c>
      <c r="S25" s="361">
        <f t="shared" ca="1" si="11"/>
        <v>363</v>
      </c>
      <c r="V25" s="799"/>
    </row>
    <row r="26" spans="1:45">
      <c r="A26" s="3020" t="str">
        <f>Sheet1!C5</f>
        <v>8号楼-商3</v>
      </c>
      <c r="B26" s="717">
        <f>Sheet1!E5</f>
        <v>91.29</v>
      </c>
      <c r="C26" s="24">
        <f t="shared" ref="C26:C89" si="12">IF(B26="",1,(LOOKUP(B26,$3:$3,$4:$4)-LOOKUP($B$24,$3:$3,$4:$4)+100)/100)</f>
        <v>1.01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3124</v>
      </c>
      <c r="Q26" s="24">
        <f t="shared" ref="Q26:Q89" si="19">(SUMIF($17:$17,P26,$18:$18)-SUMIF($17:$17,$P$24,$18:$18)+100)/100</f>
        <v>1</v>
      </c>
      <c r="R26" s="715">
        <f t="shared" ref="R26:R89" ca="1" si="20">IF(B26="",0,ROUND($R$24*C26*E26*G26*I26*K26*M26*O26*Q26,0))</f>
        <v>30272</v>
      </c>
      <c r="S26" s="361">
        <f t="shared" ca="1" si="11"/>
        <v>276</v>
      </c>
      <c r="V26" s="799"/>
    </row>
    <row r="27" spans="1:45">
      <c r="A27" s="3020" t="str">
        <f>Sheet1!C6</f>
        <v>8号楼-商4</v>
      </c>
      <c r="B27" s="717">
        <f>Sheet1!E6</f>
        <v>91.29</v>
      </c>
      <c r="C27" s="24">
        <f t="shared" si="12"/>
        <v>1.01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3124</v>
      </c>
      <c r="Q27" s="24">
        <f t="shared" si="19"/>
        <v>1</v>
      </c>
      <c r="R27" s="715">
        <f t="shared" ca="1" si="20"/>
        <v>30272</v>
      </c>
      <c r="S27" s="361">
        <f t="shared" ca="1" si="11"/>
        <v>276</v>
      </c>
      <c r="V27" s="799"/>
    </row>
    <row r="28" spans="1:45">
      <c r="A28" s="3020" t="str">
        <f>Sheet1!C7</f>
        <v>8号楼-商5</v>
      </c>
      <c r="B28" s="717">
        <f>Sheet1!E7</f>
        <v>121</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3124</v>
      </c>
      <c r="Q28" s="24">
        <f t="shared" si="19"/>
        <v>1</v>
      </c>
      <c r="R28" s="715">
        <f t="shared" ca="1" si="20"/>
        <v>29972</v>
      </c>
      <c r="S28" s="361">
        <f t="shared" ca="1" si="11"/>
        <v>363</v>
      </c>
      <c r="V28" s="799"/>
    </row>
    <row r="29" spans="1:45">
      <c r="A29" s="3020" t="str">
        <f>Sheet1!C8</f>
        <v>8号楼-商6</v>
      </c>
      <c r="B29" s="717">
        <f>Sheet1!E8</f>
        <v>195.21</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3124</v>
      </c>
      <c r="Q29" s="24">
        <f t="shared" si="19"/>
        <v>1</v>
      </c>
      <c r="R29" s="715">
        <f t="shared" ca="1" si="20"/>
        <v>29972</v>
      </c>
      <c r="S29" s="361">
        <f t="shared" ca="1" si="11"/>
        <v>585</v>
      </c>
      <c r="V29" s="799"/>
    </row>
    <row r="30" spans="1:45">
      <c r="A30" s="3020" t="str">
        <f>Sheet1!C9</f>
        <v>9号楼单体1-商1</v>
      </c>
      <c r="B30" s="717">
        <f>Sheet1!E9</f>
        <v>74.63</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3124</v>
      </c>
      <c r="Q30" s="24">
        <f t="shared" si="19"/>
        <v>1</v>
      </c>
      <c r="R30" s="715">
        <f t="shared" ca="1" si="20"/>
        <v>30272</v>
      </c>
      <c r="S30" s="361">
        <f t="shared" ca="1" si="11"/>
        <v>226</v>
      </c>
      <c r="V30" s="799"/>
    </row>
    <row r="31" spans="1:45">
      <c r="A31" s="3020" t="str">
        <f>Sheet1!C10</f>
        <v>9号楼单体1-商2</v>
      </c>
      <c r="B31" s="717">
        <f>Sheet1!E10</f>
        <v>74.63</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3124</v>
      </c>
      <c r="Q31" s="24">
        <f t="shared" si="19"/>
        <v>1</v>
      </c>
      <c r="R31" s="715">
        <f t="shared" ca="1" si="20"/>
        <v>30272</v>
      </c>
      <c r="S31" s="361">
        <f t="shared" ca="1" si="11"/>
        <v>226</v>
      </c>
      <c r="V31" s="799"/>
    </row>
    <row r="32" spans="1:45">
      <c r="A32" s="3020" t="str">
        <f>Sheet1!C11</f>
        <v>9号楼单体1-商3</v>
      </c>
      <c r="B32" s="717">
        <f>Sheet1!E11</f>
        <v>93.07</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3124</v>
      </c>
      <c r="Q32" s="24">
        <f t="shared" si="19"/>
        <v>1</v>
      </c>
      <c r="R32" s="715">
        <f t="shared" ca="1" si="20"/>
        <v>30272</v>
      </c>
      <c r="S32" s="361">
        <f t="shared" ca="1" si="11"/>
        <v>282</v>
      </c>
      <c r="V32" s="799"/>
    </row>
    <row r="33" spans="1:22">
      <c r="A33" s="3020" t="str">
        <f>Sheet1!C12</f>
        <v>9号楼单体1-商4</v>
      </c>
      <c r="B33" s="717">
        <f>Sheet1!E12</f>
        <v>93.07</v>
      </c>
      <c r="C33" s="24">
        <f t="shared" si="12"/>
        <v>1.01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3124</v>
      </c>
      <c r="Q33" s="24">
        <f t="shared" si="19"/>
        <v>1</v>
      </c>
      <c r="R33" s="715">
        <f t="shared" ca="1" si="20"/>
        <v>30272</v>
      </c>
      <c r="S33" s="361">
        <f t="shared" ca="1" si="11"/>
        <v>282</v>
      </c>
      <c r="V33" s="799"/>
    </row>
    <row r="34" spans="1:22">
      <c r="A34" s="3020" t="str">
        <f>Sheet1!C13</f>
        <v>9号楼单体2-商1</v>
      </c>
      <c r="B34" s="717">
        <f>Sheet1!E13</f>
        <v>74.63</v>
      </c>
      <c r="C34" s="24">
        <f t="shared" si="12"/>
        <v>1.01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3129</v>
      </c>
      <c r="Q34" s="24">
        <f t="shared" si="19"/>
        <v>0.7</v>
      </c>
      <c r="R34" s="715">
        <f t="shared" ca="1" si="20"/>
        <v>21190</v>
      </c>
      <c r="S34" s="361">
        <f t="shared" ca="1" si="11"/>
        <v>158</v>
      </c>
      <c r="V34" s="799"/>
    </row>
    <row r="35" spans="1:22">
      <c r="A35" s="3020" t="str">
        <f>Sheet1!C14</f>
        <v>9号楼单体2-商2</v>
      </c>
      <c r="B35" s="717">
        <f>Sheet1!E14</f>
        <v>74.63</v>
      </c>
      <c r="C35" s="24">
        <f t="shared" si="12"/>
        <v>1.01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3129</v>
      </c>
      <c r="Q35" s="24">
        <f t="shared" si="19"/>
        <v>0.7</v>
      </c>
      <c r="R35" s="715">
        <f t="shared" ca="1" si="20"/>
        <v>21190</v>
      </c>
      <c r="S35" s="361">
        <f t="shared" ca="1" si="11"/>
        <v>158</v>
      </c>
      <c r="V35" s="799"/>
    </row>
    <row r="36" spans="1:22">
      <c r="A36" s="3020" t="str">
        <f>Sheet1!C15</f>
        <v>9号楼单体2-商3</v>
      </c>
      <c r="B36" s="717">
        <f>Sheet1!E15</f>
        <v>93.07</v>
      </c>
      <c r="C36" s="24">
        <f t="shared" si="12"/>
        <v>1.01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3129</v>
      </c>
      <c r="Q36" s="24">
        <f t="shared" si="19"/>
        <v>0.7</v>
      </c>
      <c r="R36" s="715">
        <f t="shared" ca="1" si="20"/>
        <v>21190</v>
      </c>
      <c r="S36" s="361">
        <f t="shared" ca="1" si="11"/>
        <v>197</v>
      </c>
      <c r="V36" s="799"/>
    </row>
    <row r="37" spans="1:22">
      <c r="A37" s="3020" t="str">
        <f>Sheet1!C16</f>
        <v>9号楼单体2-商4</v>
      </c>
      <c r="B37" s="717">
        <f>Sheet1!E16</f>
        <v>93.07</v>
      </c>
      <c r="C37" s="24">
        <f t="shared" si="12"/>
        <v>1.01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3129</v>
      </c>
      <c r="Q37" s="24">
        <f t="shared" si="19"/>
        <v>0.7</v>
      </c>
      <c r="R37" s="715">
        <f t="shared" ca="1" si="20"/>
        <v>21190</v>
      </c>
      <c r="S37" s="361">
        <f t="shared" ca="1" si="11"/>
        <v>197</v>
      </c>
      <c r="V37" s="799"/>
    </row>
    <row r="38" spans="1:22">
      <c r="A38" s="3020" t="str">
        <f>Sheet1!C17</f>
        <v>9号楼单体3-商1</v>
      </c>
      <c r="B38" s="717">
        <f>Sheet1!E17</f>
        <v>74.63</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3130</v>
      </c>
      <c r="Q38" s="24">
        <f t="shared" si="19"/>
        <v>0.6</v>
      </c>
      <c r="R38" s="715">
        <f t="shared" ca="1" si="20"/>
        <v>18163</v>
      </c>
      <c r="S38" s="361">
        <f t="shared" ca="1" si="11"/>
        <v>136</v>
      </c>
      <c r="V38" s="799"/>
    </row>
    <row r="39" spans="1:22">
      <c r="A39" s="3020" t="str">
        <f>Sheet1!C18</f>
        <v>9号楼单体3-商2</v>
      </c>
      <c r="B39" s="717">
        <f>Sheet1!E18</f>
        <v>74.63</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3130</v>
      </c>
      <c r="Q39" s="24">
        <f t="shared" si="19"/>
        <v>0.6</v>
      </c>
      <c r="R39" s="715">
        <f t="shared" ca="1" si="20"/>
        <v>18163</v>
      </c>
      <c r="S39" s="361">
        <f t="shared" ca="1" si="11"/>
        <v>136</v>
      </c>
      <c r="V39" s="799"/>
    </row>
    <row r="40" spans="1:22">
      <c r="A40" s="3020" t="str">
        <f>Sheet1!C19</f>
        <v>9号楼单体3-商3</v>
      </c>
      <c r="B40" s="717">
        <f>Sheet1!E19</f>
        <v>93.07</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3130</v>
      </c>
      <c r="Q40" s="24">
        <f t="shared" si="19"/>
        <v>0.6</v>
      </c>
      <c r="R40" s="715">
        <f t="shared" ca="1" si="20"/>
        <v>18163</v>
      </c>
      <c r="S40" s="361">
        <f t="shared" ca="1" si="11"/>
        <v>169</v>
      </c>
      <c r="V40" s="799"/>
    </row>
    <row r="41" spans="1:22">
      <c r="A41" s="3020" t="str">
        <f>Sheet1!C20</f>
        <v>9号楼单体3-商4</v>
      </c>
      <c r="B41" s="717">
        <f>Sheet1!E20</f>
        <v>93.07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3130</v>
      </c>
      <c r="Q41" s="24">
        <f t="shared" si="19"/>
        <v>0.6</v>
      </c>
      <c r="R41" s="715">
        <f t="shared" ca="1" si="20"/>
        <v>18163</v>
      </c>
      <c r="S41" s="361">
        <f t="shared" ca="1" si="11"/>
        <v>169</v>
      </c>
      <c r="V41" s="799"/>
    </row>
    <row r="42" spans="1:22">
      <c r="A42" s="3020" t="str">
        <f>Sheet1!C21</f>
        <v>9号楼1-商10</v>
      </c>
      <c r="B42" s="717">
        <f>Sheet1!E21</f>
        <v>162.27000000000001</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3124</v>
      </c>
      <c r="Q42" s="24">
        <f t="shared" si="19"/>
        <v>1</v>
      </c>
      <c r="R42" s="715">
        <f t="shared" ca="1" si="20"/>
        <v>29972</v>
      </c>
      <c r="S42" s="361">
        <f t="shared" ca="1" si="11"/>
        <v>486</v>
      </c>
      <c r="V42" s="799"/>
    </row>
    <row r="43" spans="1:22">
      <c r="A43" s="3020" t="str">
        <f>Sheet1!C22</f>
        <v>9号楼2-商7</v>
      </c>
      <c r="B43" s="717">
        <f>Sheet1!E22</f>
        <v>76.989999999999995</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3129</v>
      </c>
      <c r="Q43" s="24">
        <f t="shared" si="19"/>
        <v>0.7</v>
      </c>
      <c r="R43" s="715">
        <f t="shared" ca="1" si="20"/>
        <v>21190</v>
      </c>
      <c r="S43" s="361">
        <f t="shared" ca="1" si="11"/>
        <v>163</v>
      </c>
      <c r="V43" s="799"/>
    </row>
    <row r="44" spans="1:22">
      <c r="A44" s="3020" t="str">
        <f>Sheet1!C23</f>
        <v>9号楼2-商8</v>
      </c>
      <c r="B44" s="717">
        <f>Sheet1!E23</f>
        <v>97.66</v>
      </c>
      <c r="C44" s="24">
        <f t="shared" si="12"/>
        <v>1.01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3129</v>
      </c>
      <c r="Q44" s="24">
        <f t="shared" si="19"/>
        <v>0.7</v>
      </c>
      <c r="R44" s="715">
        <f t="shared" ca="1" si="20"/>
        <v>21190</v>
      </c>
      <c r="S44" s="361">
        <f t="shared" ca="1" si="11"/>
        <v>207</v>
      </c>
      <c r="V44" s="799"/>
    </row>
    <row r="45" spans="1:22">
      <c r="A45" s="3020" t="str">
        <f>Sheet1!C24</f>
        <v>9号楼2-商10</v>
      </c>
      <c r="B45" s="717">
        <f>Sheet1!E24</f>
        <v>162.27000000000001</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3129</v>
      </c>
      <c r="Q45" s="24">
        <f t="shared" si="19"/>
        <v>0.7</v>
      </c>
      <c r="R45" s="715">
        <f t="shared" ca="1" si="20"/>
        <v>20980</v>
      </c>
      <c r="S45" s="361">
        <f t="shared" ca="1" si="11"/>
        <v>340</v>
      </c>
      <c r="V45" s="799"/>
    </row>
    <row r="46" spans="1:22">
      <c r="A46" s="3020" t="str">
        <f>Sheet1!C25</f>
        <v>9号楼2-商14</v>
      </c>
      <c r="B46" s="717">
        <f>Sheet1!E25</f>
        <v>53.17</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3129</v>
      </c>
      <c r="Q46" s="24">
        <f t="shared" si="19"/>
        <v>0.7</v>
      </c>
      <c r="R46" s="715">
        <f t="shared" ca="1" si="20"/>
        <v>21190</v>
      </c>
      <c r="S46" s="361">
        <f t="shared" ca="1" si="11"/>
        <v>113</v>
      </c>
      <c r="V46" s="799"/>
    </row>
    <row r="47" spans="1:22">
      <c r="A47" s="3020" t="str">
        <f>Sheet1!C26</f>
        <v>9-1号楼1-商1</v>
      </c>
      <c r="B47" s="717">
        <f>Sheet1!E26</f>
        <v>113.39</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3124</v>
      </c>
      <c r="Q47" s="24">
        <f t="shared" si="19"/>
        <v>1</v>
      </c>
      <c r="R47" s="715">
        <f t="shared" ca="1" si="20"/>
        <v>29972</v>
      </c>
      <c r="S47" s="361">
        <f t="shared" ca="1" si="11"/>
        <v>340</v>
      </c>
      <c r="V47" s="799"/>
    </row>
    <row r="48" spans="1:22">
      <c r="A48" s="3020" t="str">
        <f>Sheet1!C27</f>
        <v>9-1号楼1-商2</v>
      </c>
      <c r="B48" s="717">
        <f>Sheet1!E27</f>
        <v>52.91</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3124</v>
      </c>
      <c r="Q48" s="24">
        <f t="shared" si="19"/>
        <v>1</v>
      </c>
      <c r="R48" s="715">
        <f t="shared" ca="1" si="20"/>
        <v>30272</v>
      </c>
      <c r="S48" s="361">
        <f t="shared" ca="1" si="11"/>
        <v>160</v>
      </c>
      <c r="V48" s="799"/>
    </row>
    <row r="49" spans="1:22">
      <c r="A49" s="3020" t="str">
        <f>Sheet1!C28</f>
        <v>9-1号楼1-商3</v>
      </c>
      <c r="B49" s="717">
        <f>Sheet1!E28</f>
        <v>75.59</v>
      </c>
      <c r="C49" s="24">
        <f t="shared" si="12"/>
        <v>1.01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3124</v>
      </c>
      <c r="Q49" s="24">
        <f t="shared" si="19"/>
        <v>1</v>
      </c>
      <c r="R49" s="715">
        <f t="shared" ca="1" si="20"/>
        <v>30272</v>
      </c>
      <c r="S49" s="361">
        <f t="shared" ca="1" si="11"/>
        <v>229</v>
      </c>
      <c r="V49" s="799"/>
    </row>
    <row r="50" spans="1:22">
      <c r="A50" s="3020" t="str">
        <f>Sheet1!C29</f>
        <v>9-1号楼1-商4</v>
      </c>
      <c r="B50" s="717">
        <f>Sheet1!E29</f>
        <v>119.07</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3124</v>
      </c>
      <c r="Q50" s="24">
        <f t="shared" si="19"/>
        <v>1</v>
      </c>
      <c r="R50" s="715">
        <f t="shared" ca="1" si="20"/>
        <v>29972</v>
      </c>
      <c r="S50" s="361">
        <f t="shared" ca="1" si="11"/>
        <v>357</v>
      </c>
      <c r="V50" s="799"/>
    </row>
    <row r="51" spans="1:22">
      <c r="A51" s="3020" t="str">
        <f>Sheet1!C30</f>
        <v>9-1号楼1-商5</v>
      </c>
      <c r="B51" s="717">
        <f>Sheet1!E30</f>
        <v>124.87</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3124</v>
      </c>
      <c r="Q51" s="24">
        <f t="shared" si="19"/>
        <v>1</v>
      </c>
      <c r="R51" s="715">
        <f t="shared" ca="1" si="20"/>
        <v>29972</v>
      </c>
      <c r="S51" s="361">
        <f t="shared" ca="1" si="11"/>
        <v>374</v>
      </c>
      <c r="V51" s="799"/>
    </row>
    <row r="52" spans="1:22">
      <c r="A52" s="3020" t="str">
        <f>Sheet1!C31</f>
        <v>9-1号楼2-商1</v>
      </c>
      <c r="B52" s="717">
        <f>Sheet1!E31</f>
        <v>113.39</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3129</v>
      </c>
      <c r="Q52" s="24">
        <f t="shared" si="19"/>
        <v>0.7</v>
      </c>
      <c r="R52" s="715">
        <f t="shared" ca="1" si="20"/>
        <v>20980</v>
      </c>
      <c r="S52" s="361">
        <f t="shared" ca="1" si="11"/>
        <v>238</v>
      </c>
      <c r="V52" s="799"/>
    </row>
    <row r="53" spans="1:22">
      <c r="A53" s="3020" t="str">
        <f>Sheet1!C32</f>
        <v>9-1号楼2-商2</v>
      </c>
      <c r="B53" s="717">
        <f>Sheet1!E32</f>
        <v>52.91</v>
      </c>
      <c r="C53" s="24">
        <f t="shared" si="12"/>
        <v>1.01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3129</v>
      </c>
      <c r="Q53" s="24">
        <f t="shared" si="19"/>
        <v>0.7</v>
      </c>
      <c r="R53" s="715">
        <f t="shared" ca="1" si="20"/>
        <v>21190</v>
      </c>
      <c r="S53" s="361">
        <f t="shared" ca="1" si="11"/>
        <v>112</v>
      </c>
      <c r="V53" s="799"/>
    </row>
    <row r="54" spans="1:22">
      <c r="A54" s="3020" t="str">
        <f>Sheet1!C33</f>
        <v>9-1号楼2-商3</v>
      </c>
      <c r="B54" s="717">
        <f>Sheet1!E33</f>
        <v>75.59</v>
      </c>
      <c r="C54" s="24">
        <f t="shared" si="12"/>
        <v>1.01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3129</v>
      </c>
      <c r="Q54" s="24">
        <f t="shared" si="19"/>
        <v>0.7</v>
      </c>
      <c r="R54" s="715">
        <f t="shared" ca="1" si="20"/>
        <v>21190</v>
      </c>
      <c r="S54" s="361">
        <f t="shared" ca="1" si="11"/>
        <v>160</v>
      </c>
      <c r="V54" s="799"/>
    </row>
    <row r="55" spans="1:22">
      <c r="A55" s="3020" t="str">
        <f>Sheet1!C34</f>
        <v>9-1号楼2-商4</v>
      </c>
      <c r="B55" s="717">
        <f>Sheet1!E34</f>
        <v>119.07</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3129</v>
      </c>
      <c r="Q55" s="24">
        <f t="shared" si="19"/>
        <v>0.7</v>
      </c>
      <c r="R55" s="715">
        <f t="shared" ca="1" si="20"/>
        <v>20980</v>
      </c>
      <c r="S55" s="361">
        <f t="shared" ref="S55:S77" ca="1" si="21">ROUND(R55*B55/10000,0)</f>
        <v>250</v>
      </c>
      <c r="V55" s="799"/>
    </row>
    <row r="56" spans="1:22">
      <c r="A56" s="3020" t="str">
        <f>Sheet1!C35</f>
        <v>9-1号楼2-商5</v>
      </c>
      <c r="B56" s="717">
        <f>Sheet1!E35</f>
        <v>124.83</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3129</v>
      </c>
      <c r="Q56" s="24">
        <f t="shared" si="19"/>
        <v>0.7</v>
      </c>
      <c r="R56" s="715">
        <f t="shared" ca="1" si="20"/>
        <v>20980</v>
      </c>
      <c r="S56" s="361">
        <f t="shared" ca="1" si="21"/>
        <v>262</v>
      </c>
      <c r="V56" s="799"/>
    </row>
    <row r="57" spans="1:22">
      <c r="A57" s="3020" t="str">
        <f>Sheet1!C36</f>
        <v>9-1号楼3-商1</v>
      </c>
      <c r="B57" s="717">
        <f>Sheet1!E36</f>
        <v>113.39</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3130</v>
      </c>
      <c r="Q57" s="24">
        <f t="shared" si="19"/>
        <v>0.6</v>
      </c>
      <c r="R57" s="715">
        <f t="shared" ca="1" si="20"/>
        <v>17983</v>
      </c>
      <c r="S57" s="361">
        <f t="shared" ca="1" si="21"/>
        <v>204</v>
      </c>
      <c r="V57" s="799"/>
    </row>
    <row r="58" spans="1:22">
      <c r="A58" s="3020" t="str">
        <f>Sheet1!C37</f>
        <v>9-1号楼3-商2</v>
      </c>
      <c r="B58" s="717">
        <f>Sheet1!E37</f>
        <v>52.91</v>
      </c>
      <c r="C58" s="24">
        <f t="shared" si="12"/>
        <v>1.01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3130</v>
      </c>
      <c r="Q58" s="24">
        <f t="shared" si="19"/>
        <v>0.6</v>
      </c>
      <c r="R58" s="715">
        <f t="shared" ca="1" si="20"/>
        <v>18163</v>
      </c>
      <c r="S58" s="361">
        <f t="shared" ca="1" si="21"/>
        <v>96</v>
      </c>
      <c r="V58" s="799"/>
    </row>
    <row r="59" spans="1:22">
      <c r="A59" s="3020" t="str">
        <f>Sheet1!C38</f>
        <v>9-1号楼3-商3</v>
      </c>
      <c r="B59" s="717">
        <f>Sheet1!E38</f>
        <v>75.59</v>
      </c>
      <c r="C59" s="24">
        <f t="shared" si="12"/>
        <v>1.01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3130</v>
      </c>
      <c r="Q59" s="24">
        <f t="shared" si="19"/>
        <v>0.6</v>
      </c>
      <c r="R59" s="715">
        <f t="shared" ca="1" si="20"/>
        <v>18163</v>
      </c>
      <c r="S59" s="361">
        <f t="shared" ca="1" si="21"/>
        <v>137</v>
      </c>
      <c r="V59" s="799"/>
    </row>
    <row r="60" spans="1:22">
      <c r="A60" s="3020" t="str">
        <f>Sheet1!C39</f>
        <v>9-1号楼3-商4</v>
      </c>
      <c r="B60" s="717">
        <f>Sheet1!E39</f>
        <v>119.07</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3130</v>
      </c>
      <c r="Q60" s="24">
        <f t="shared" si="19"/>
        <v>0.6</v>
      </c>
      <c r="R60" s="715">
        <f t="shared" ca="1" si="20"/>
        <v>17983</v>
      </c>
      <c r="S60" s="361">
        <f t="shared" ca="1" si="21"/>
        <v>214</v>
      </c>
      <c r="V60" s="799"/>
    </row>
    <row r="61" spans="1:22">
      <c r="A61" s="3020" t="str">
        <f>Sheet1!C40</f>
        <v>9-1号楼3-商5</v>
      </c>
      <c r="B61" s="717">
        <f>Sheet1!E40</f>
        <v>124.87</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3130</v>
      </c>
      <c r="Q61" s="24">
        <f t="shared" si="19"/>
        <v>0.6</v>
      </c>
      <c r="R61" s="715">
        <f t="shared" ca="1" si="20"/>
        <v>17983</v>
      </c>
      <c r="S61" s="361">
        <f t="shared" ca="1" si="21"/>
        <v>225</v>
      </c>
      <c r="V61" s="799"/>
    </row>
    <row r="62" spans="1:22">
      <c r="A62" s="3020" t="str">
        <f>Sheet1!C41</f>
        <v>9-1号楼3-商6</v>
      </c>
      <c r="B62" s="717">
        <f>Sheet1!E41</f>
        <v>66.489999999999995</v>
      </c>
      <c r="C62" s="24">
        <f t="shared" si="12"/>
        <v>1.01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3130</v>
      </c>
      <c r="Q62" s="24">
        <f t="shared" si="19"/>
        <v>0.6</v>
      </c>
      <c r="R62" s="715">
        <f t="shared" ca="1" si="20"/>
        <v>18163</v>
      </c>
      <c r="S62" s="361">
        <f t="shared" ca="1" si="21"/>
        <v>121</v>
      </c>
      <c r="V62" s="799"/>
    </row>
    <row r="63" spans="1:22">
      <c r="A63" s="3020" t="str">
        <f>Sheet1!C42</f>
        <v>9-1号楼3-商7</v>
      </c>
      <c r="B63" s="717">
        <f>Sheet1!E42</f>
        <v>66.45</v>
      </c>
      <c r="C63" s="24">
        <f t="shared" si="12"/>
        <v>1.01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3130</v>
      </c>
      <c r="Q63" s="24">
        <f t="shared" si="19"/>
        <v>0.6</v>
      </c>
      <c r="R63" s="715">
        <f t="shared" ca="1" si="20"/>
        <v>18163</v>
      </c>
      <c r="S63" s="361">
        <f t="shared" ca="1" si="21"/>
        <v>121</v>
      </c>
      <c r="V63" s="799"/>
    </row>
    <row r="64" spans="1:22">
      <c r="A64" s="3020" t="str">
        <f>Sheet1!C43</f>
        <v>9-4号楼1-商2</v>
      </c>
      <c r="B64" s="717">
        <f>Sheet1!E43</f>
        <v>56.15</v>
      </c>
      <c r="C64" s="24">
        <f t="shared" si="12"/>
        <v>1.01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3124</v>
      </c>
      <c r="Q64" s="24">
        <f t="shared" si="19"/>
        <v>1</v>
      </c>
      <c r="R64" s="715">
        <f t="shared" ca="1" si="20"/>
        <v>30272</v>
      </c>
      <c r="S64" s="361">
        <f t="shared" ca="1" si="21"/>
        <v>170</v>
      </c>
      <c r="V64" s="799"/>
    </row>
    <row r="65" spans="1:22">
      <c r="A65" s="3020"/>
      <c r="B65" s="717"/>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3124</v>
      </c>
      <c r="Q65" s="24">
        <f t="shared" si="19"/>
        <v>1</v>
      </c>
      <c r="R65" s="715">
        <f t="shared" si="20"/>
        <v>0</v>
      </c>
      <c r="S65" s="361">
        <f t="shared" si="21"/>
        <v>0</v>
      </c>
      <c r="V65" s="799"/>
    </row>
    <row r="66" spans="1:22">
      <c r="A66" s="3020"/>
      <c r="B66" s="717"/>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3124</v>
      </c>
      <c r="Q66" s="24">
        <f t="shared" si="19"/>
        <v>1</v>
      </c>
      <c r="R66" s="715">
        <f t="shared" si="20"/>
        <v>0</v>
      </c>
      <c r="S66" s="361">
        <f t="shared" si="21"/>
        <v>0</v>
      </c>
      <c r="V66" s="799"/>
    </row>
    <row r="67" spans="1:22">
      <c r="A67" s="3020"/>
      <c r="B67" s="717"/>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3124</v>
      </c>
      <c r="Q67" s="24">
        <f t="shared" si="19"/>
        <v>1</v>
      </c>
      <c r="R67" s="715">
        <f t="shared" si="20"/>
        <v>0</v>
      </c>
      <c r="S67" s="361">
        <f t="shared" si="21"/>
        <v>0</v>
      </c>
      <c r="V67" s="799"/>
    </row>
    <row r="68" spans="1:22">
      <c r="A68" s="3020"/>
      <c r="B68" s="717"/>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3124</v>
      </c>
      <c r="Q68" s="24">
        <f t="shared" si="19"/>
        <v>1</v>
      </c>
      <c r="R68" s="715">
        <f t="shared" si="20"/>
        <v>0</v>
      </c>
      <c r="S68" s="361">
        <f t="shared" si="21"/>
        <v>0</v>
      </c>
      <c r="V68" s="799"/>
    </row>
    <row r="69" spans="1:22">
      <c r="A69" s="3020"/>
      <c r="B69" s="717"/>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3124</v>
      </c>
      <c r="Q69" s="24">
        <f t="shared" si="19"/>
        <v>1</v>
      </c>
      <c r="R69" s="715">
        <f t="shared" si="20"/>
        <v>0</v>
      </c>
      <c r="S69" s="361">
        <f t="shared" si="21"/>
        <v>0</v>
      </c>
      <c r="V69" s="799"/>
    </row>
    <row r="70" spans="1:22">
      <c r="A70" s="3020"/>
      <c r="B70" s="717"/>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3124</v>
      </c>
      <c r="Q70" s="24">
        <f t="shared" si="19"/>
        <v>1</v>
      </c>
      <c r="R70" s="715">
        <f t="shared" si="20"/>
        <v>0</v>
      </c>
      <c r="S70" s="361">
        <f t="shared" si="21"/>
        <v>0</v>
      </c>
      <c r="V70" s="799"/>
    </row>
    <row r="71" spans="1:22">
      <c r="A71" s="3020"/>
      <c r="B71" s="717"/>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3124</v>
      </c>
      <c r="Q71" s="24">
        <f t="shared" si="19"/>
        <v>1</v>
      </c>
      <c r="R71" s="715">
        <f t="shared" si="20"/>
        <v>0</v>
      </c>
      <c r="S71" s="361">
        <f t="shared" si="21"/>
        <v>0</v>
      </c>
      <c r="V71" s="799"/>
    </row>
    <row r="72" spans="1:22">
      <c r="A72" s="3020"/>
      <c r="B72" s="717"/>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3124</v>
      </c>
      <c r="Q72" s="24">
        <f t="shared" si="19"/>
        <v>1</v>
      </c>
      <c r="R72" s="715">
        <f t="shared" si="20"/>
        <v>0</v>
      </c>
      <c r="S72" s="361">
        <f t="shared" si="21"/>
        <v>0</v>
      </c>
      <c r="V72" s="799"/>
    </row>
    <row r="73" spans="1:22">
      <c r="A73" s="3020"/>
      <c r="B73" s="717"/>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3124</v>
      </c>
      <c r="Q73" s="24">
        <f t="shared" si="19"/>
        <v>1</v>
      </c>
      <c r="R73" s="715">
        <f t="shared" si="20"/>
        <v>0</v>
      </c>
      <c r="S73" s="361">
        <f t="shared" si="21"/>
        <v>0</v>
      </c>
      <c r="V73" s="799"/>
    </row>
    <row r="74" spans="1:22">
      <c r="A74" s="3020"/>
      <c r="B74" s="717"/>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3124</v>
      </c>
      <c r="Q74" s="24">
        <f t="shared" si="19"/>
        <v>1</v>
      </c>
      <c r="R74" s="715">
        <f t="shared" si="20"/>
        <v>0</v>
      </c>
      <c r="S74" s="361">
        <f t="shared" si="21"/>
        <v>0</v>
      </c>
      <c r="V74" s="799"/>
    </row>
    <row r="75" spans="1:22">
      <c r="A75" s="3020"/>
      <c r="B75" s="717"/>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3124</v>
      </c>
      <c r="Q75" s="24">
        <f t="shared" si="19"/>
        <v>1</v>
      </c>
      <c r="R75" s="715">
        <f t="shared" si="20"/>
        <v>0</v>
      </c>
      <c r="S75" s="361">
        <f t="shared" si="21"/>
        <v>0</v>
      </c>
      <c r="V75" s="799"/>
    </row>
    <row r="76" spans="1:22">
      <c r="A76" s="3020"/>
      <c r="B76" s="717"/>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3124</v>
      </c>
      <c r="Q76" s="24">
        <f t="shared" si="19"/>
        <v>1</v>
      </c>
      <c r="R76" s="715">
        <f t="shared" si="20"/>
        <v>0</v>
      </c>
      <c r="S76" s="361">
        <f t="shared" si="21"/>
        <v>0</v>
      </c>
      <c r="V76" s="799"/>
    </row>
    <row r="77" spans="1:22">
      <c r="A77" s="3020"/>
      <c r="B77" s="717"/>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3124</v>
      </c>
      <c r="Q77" s="24">
        <f t="shared" si="19"/>
        <v>1</v>
      </c>
      <c r="R77" s="715">
        <f t="shared" si="20"/>
        <v>0</v>
      </c>
      <c r="S77" s="361">
        <f t="shared" si="21"/>
        <v>0</v>
      </c>
      <c r="V77" s="799"/>
    </row>
    <row r="78" spans="1:22">
      <c r="A78" s="3020"/>
      <c r="B78" s="717"/>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3124</v>
      </c>
      <c r="Q78" s="24">
        <f t="shared" si="19"/>
        <v>1</v>
      </c>
      <c r="R78" s="715">
        <f t="shared" si="20"/>
        <v>0</v>
      </c>
      <c r="S78" s="361">
        <f t="shared" ref="S78:S122" si="22">ROUND(R78*B78/10000,0)</f>
        <v>0</v>
      </c>
      <c r="V78" s="799"/>
    </row>
    <row r="79" spans="1:22">
      <c r="A79" s="3020"/>
      <c r="B79" s="717"/>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3124</v>
      </c>
      <c r="Q79" s="24">
        <f t="shared" si="19"/>
        <v>1</v>
      </c>
      <c r="R79" s="715">
        <f t="shared" si="20"/>
        <v>0</v>
      </c>
      <c r="S79" s="361">
        <f t="shared" si="22"/>
        <v>0</v>
      </c>
      <c r="V79" s="799"/>
    </row>
    <row r="80" spans="1:22">
      <c r="A80" s="3020"/>
      <c r="B80" s="717"/>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3124</v>
      </c>
      <c r="Q80" s="24">
        <f t="shared" si="19"/>
        <v>1</v>
      </c>
      <c r="R80" s="715">
        <f t="shared" si="20"/>
        <v>0</v>
      </c>
      <c r="S80" s="361">
        <f t="shared" si="22"/>
        <v>0</v>
      </c>
      <c r="V80" s="799"/>
    </row>
    <row r="81" spans="1:22">
      <c r="A81" s="3020"/>
      <c r="B81" s="717"/>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3124</v>
      </c>
      <c r="Q81" s="24">
        <f t="shared" si="19"/>
        <v>1</v>
      </c>
      <c r="R81" s="715">
        <f t="shared" si="20"/>
        <v>0</v>
      </c>
      <c r="S81" s="361">
        <f t="shared" si="22"/>
        <v>0</v>
      </c>
      <c r="V81" s="799"/>
    </row>
    <row r="82" spans="1:22">
      <c r="A82" s="3020"/>
      <c r="B82" s="717"/>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3124</v>
      </c>
      <c r="Q82" s="24">
        <f t="shared" si="19"/>
        <v>1</v>
      </c>
      <c r="R82" s="715">
        <f t="shared" si="20"/>
        <v>0</v>
      </c>
      <c r="S82" s="361">
        <f t="shared" si="22"/>
        <v>0</v>
      </c>
      <c r="V82" s="799"/>
    </row>
    <row r="83" spans="1:22">
      <c r="A83" s="3020"/>
      <c r="B83" s="717"/>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3124</v>
      </c>
      <c r="Q83" s="24">
        <f t="shared" si="19"/>
        <v>1</v>
      </c>
      <c r="R83" s="715">
        <f t="shared" si="20"/>
        <v>0</v>
      </c>
      <c r="S83" s="361">
        <f t="shared" si="22"/>
        <v>0</v>
      </c>
      <c r="V83" s="799"/>
    </row>
    <row r="84" spans="1:22">
      <c r="A84" s="3020"/>
      <c r="B84" s="717"/>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3124</v>
      </c>
      <c r="Q84" s="24">
        <f t="shared" si="19"/>
        <v>1</v>
      </c>
      <c r="R84" s="715">
        <f t="shared" si="20"/>
        <v>0</v>
      </c>
      <c r="S84" s="361">
        <f t="shared" si="22"/>
        <v>0</v>
      </c>
      <c r="V84" s="799"/>
    </row>
    <row r="85" spans="1:22">
      <c r="A85" s="3020"/>
      <c r="B85" s="717"/>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3228</v>
      </c>
      <c r="Q85" s="24">
        <f t="shared" si="19"/>
        <v>0.85</v>
      </c>
      <c r="R85" s="715">
        <f t="shared" si="20"/>
        <v>0</v>
      </c>
      <c r="S85" s="361">
        <f t="shared" si="22"/>
        <v>0</v>
      </c>
      <c r="V85" s="799"/>
    </row>
    <row r="86" spans="1:22">
      <c r="A86" s="3020"/>
      <c r="B86" s="717"/>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3124</v>
      </c>
      <c r="Q86" s="24">
        <f t="shared" si="19"/>
        <v>1</v>
      </c>
      <c r="R86" s="715">
        <f t="shared" si="20"/>
        <v>0</v>
      </c>
      <c r="S86" s="361">
        <f t="shared" si="22"/>
        <v>0</v>
      </c>
      <c r="V86" s="799"/>
    </row>
    <row r="87" spans="1:22">
      <c r="A87" s="3020"/>
      <c r="B87" s="717"/>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3124</v>
      </c>
      <c r="Q87" s="24">
        <f t="shared" si="19"/>
        <v>1</v>
      </c>
      <c r="R87" s="715">
        <f t="shared" si="20"/>
        <v>0</v>
      </c>
      <c r="S87" s="361">
        <f t="shared" si="22"/>
        <v>0</v>
      </c>
      <c r="V87" s="799"/>
    </row>
    <row r="88" spans="1:22">
      <c r="A88" s="3020"/>
      <c r="B88" s="717"/>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3228</v>
      </c>
      <c r="Q88" s="24">
        <f t="shared" si="19"/>
        <v>0.85</v>
      </c>
      <c r="R88" s="715">
        <f t="shared" si="20"/>
        <v>0</v>
      </c>
      <c r="S88" s="361">
        <f t="shared" si="22"/>
        <v>0</v>
      </c>
      <c r="V88" s="799"/>
    </row>
    <row r="89" spans="1:22">
      <c r="A89" s="3020"/>
      <c r="B89" s="717"/>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3228</v>
      </c>
      <c r="Q89" s="24">
        <f t="shared" si="19"/>
        <v>0.85</v>
      </c>
      <c r="R89" s="715">
        <f t="shared" si="20"/>
        <v>0</v>
      </c>
      <c r="S89" s="361">
        <f t="shared" si="22"/>
        <v>0</v>
      </c>
      <c r="V89" s="799"/>
    </row>
    <row r="90" spans="1:22">
      <c r="A90" s="3020"/>
      <c r="B90" s="717"/>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3228</v>
      </c>
      <c r="Q90" s="24">
        <f t="shared" ref="Q90:Q153" si="30">(SUMIF($17:$17,P90,$18:$18)-SUMIF($17:$17,$P$24,$18:$18)+100)/100</f>
        <v>0.85</v>
      </c>
      <c r="R90" s="715">
        <f t="shared" ref="R90:R153" si="31">IF(B90="",0,ROUND($R$24*C90*E90*G90*I90*K90*M90*O90*Q90,0))</f>
        <v>0</v>
      </c>
      <c r="S90" s="361">
        <f t="shared" si="22"/>
        <v>0</v>
      </c>
      <c r="V90" s="799"/>
    </row>
    <row r="91" spans="1:22">
      <c r="A91" s="3020"/>
      <c r="B91" s="717"/>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3124</v>
      </c>
      <c r="Q91" s="24">
        <f t="shared" si="30"/>
        <v>1</v>
      </c>
      <c r="R91" s="715">
        <f t="shared" si="31"/>
        <v>0</v>
      </c>
      <c r="S91" s="361">
        <f t="shared" si="22"/>
        <v>0</v>
      </c>
      <c r="V91" s="799"/>
    </row>
    <row r="92" spans="1:22">
      <c r="A92" s="3020"/>
      <c r="B92" s="717"/>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3124</v>
      </c>
      <c r="Q92" s="24">
        <f t="shared" si="30"/>
        <v>1</v>
      </c>
      <c r="R92" s="715">
        <f t="shared" si="31"/>
        <v>0</v>
      </c>
      <c r="S92" s="361">
        <f t="shared" si="22"/>
        <v>0</v>
      </c>
      <c r="V92" s="799"/>
    </row>
    <row r="93" spans="1:22">
      <c r="A93" s="3020"/>
      <c r="B93" s="717"/>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3124</v>
      </c>
      <c r="Q93" s="24">
        <f t="shared" si="30"/>
        <v>1</v>
      </c>
      <c r="R93" s="715">
        <f t="shared" si="31"/>
        <v>0</v>
      </c>
      <c r="S93" s="361">
        <f t="shared" si="22"/>
        <v>0</v>
      </c>
      <c r="V93" s="799"/>
    </row>
    <row r="94" spans="1:22">
      <c r="A94" s="3020"/>
      <c r="B94" s="717"/>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3124</v>
      </c>
      <c r="Q94" s="24">
        <f t="shared" si="30"/>
        <v>1</v>
      </c>
      <c r="R94" s="715">
        <f t="shared" si="31"/>
        <v>0</v>
      </c>
      <c r="S94" s="361">
        <f t="shared" si="22"/>
        <v>0</v>
      </c>
      <c r="V94" s="799"/>
    </row>
    <row r="95" spans="1:22">
      <c r="A95" s="3020"/>
      <c r="B95" s="717"/>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3124</v>
      </c>
      <c r="Q95" s="24">
        <f t="shared" si="30"/>
        <v>1</v>
      </c>
      <c r="R95" s="715">
        <f t="shared" si="31"/>
        <v>0</v>
      </c>
      <c r="S95" s="361">
        <f t="shared" si="22"/>
        <v>0</v>
      </c>
      <c r="V95" s="799"/>
    </row>
    <row r="96" spans="1:22">
      <c r="A96" s="3020"/>
      <c r="B96" s="717"/>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3124</v>
      </c>
      <c r="Q96" s="24">
        <f t="shared" si="30"/>
        <v>1</v>
      </c>
      <c r="R96" s="715">
        <f t="shared" si="31"/>
        <v>0</v>
      </c>
      <c r="S96" s="361">
        <f t="shared" si="22"/>
        <v>0</v>
      </c>
      <c r="V96" s="799"/>
    </row>
    <row r="97" spans="1:22">
      <c r="A97" s="3020"/>
      <c r="B97" s="717"/>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3124</v>
      </c>
      <c r="Q97" s="24">
        <f t="shared" si="30"/>
        <v>1</v>
      </c>
      <c r="R97" s="715">
        <f t="shared" si="31"/>
        <v>0</v>
      </c>
      <c r="S97" s="361">
        <f t="shared" si="22"/>
        <v>0</v>
      </c>
      <c r="V97" s="799"/>
    </row>
    <row r="98" spans="1:22">
      <c r="A98" s="3020"/>
      <c r="B98" s="717"/>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3124</v>
      </c>
      <c r="Q98" s="24">
        <f t="shared" si="30"/>
        <v>1</v>
      </c>
      <c r="R98" s="715">
        <f t="shared" si="31"/>
        <v>0</v>
      </c>
      <c r="S98" s="361">
        <f t="shared" si="22"/>
        <v>0</v>
      </c>
      <c r="V98" s="799"/>
    </row>
    <row r="99" spans="1:22">
      <c r="A99" s="3020"/>
      <c r="B99" s="717"/>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3124</v>
      </c>
      <c r="Q99" s="24">
        <f t="shared" si="30"/>
        <v>1</v>
      </c>
      <c r="R99" s="715">
        <f t="shared" si="31"/>
        <v>0</v>
      </c>
      <c r="S99" s="361">
        <f t="shared" si="22"/>
        <v>0</v>
      </c>
      <c r="V99" s="799"/>
    </row>
    <row r="100" spans="1:22">
      <c r="A100" s="3020"/>
      <c r="B100" s="717"/>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3124</v>
      </c>
      <c r="Q100" s="24">
        <f t="shared" si="30"/>
        <v>1</v>
      </c>
      <c r="R100" s="715">
        <f t="shared" si="31"/>
        <v>0</v>
      </c>
      <c r="S100" s="361">
        <f t="shared" si="22"/>
        <v>0</v>
      </c>
      <c r="V100" s="799"/>
    </row>
    <row r="101" spans="1:22">
      <c r="A101" s="3020"/>
      <c r="B101" s="717"/>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3124</v>
      </c>
      <c r="Q101" s="24">
        <f t="shared" si="30"/>
        <v>1</v>
      </c>
      <c r="R101" s="715">
        <f t="shared" si="31"/>
        <v>0</v>
      </c>
      <c r="S101" s="361">
        <f t="shared" si="22"/>
        <v>0</v>
      </c>
      <c r="V101" s="799"/>
    </row>
    <row r="102" spans="1:22">
      <c r="A102" s="3020"/>
      <c r="B102" s="717"/>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3124</v>
      </c>
      <c r="Q102" s="24">
        <f t="shared" si="30"/>
        <v>1</v>
      </c>
      <c r="R102" s="715">
        <f t="shared" si="31"/>
        <v>0</v>
      </c>
      <c r="S102" s="361">
        <f t="shared" si="22"/>
        <v>0</v>
      </c>
      <c r="V102" s="799"/>
    </row>
    <row r="103" spans="1:22">
      <c r="A103" s="3020"/>
      <c r="B103" s="717"/>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3124</v>
      </c>
      <c r="Q103" s="24">
        <f t="shared" si="30"/>
        <v>1</v>
      </c>
      <c r="R103" s="715">
        <f t="shared" si="31"/>
        <v>0</v>
      </c>
      <c r="S103" s="361">
        <f t="shared" si="22"/>
        <v>0</v>
      </c>
      <c r="V103" s="799"/>
    </row>
    <row r="104" spans="1:22">
      <c r="A104" s="3020"/>
      <c r="B104" s="717"/>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3124</v>
      </c>
      <c r="Q104" s="24">
        <f t="shared" si="30"/>
        <v>1</v>
      </c>
      <c r="R104" s="715">
        <f t="shared" si="31"/>
        <v>0</v>
      </c>
      <c r="S104" s="361">
        <f t="shared" si="22"/>
        <v>0</v>
      </c>
      <c r="V104" s="799"/>
    </row>
    <row r="105" spans="1:22">
      <c r="A105" s="3020"/>
      <c r="B105" s="717"/>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3124</v>
      </c>
      <c r="Q105" s="24">
        <f t="shared" si="30"/>
        <v>1</v>
      </c>
      <c r="R105" s="715">
        <f t="shared" si="31"/>
        <v>0</v>
      </c>
      <c r="S105" s="361">
        <f t="shared" si="22"/>
        <v>0</v>
      </c>
      <c r="V105" s="799"/>
    </row>
    <row r="106" spans="1:22">
      <c r="A106" s="3020"/>
      <c r="B106" s="717"/>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3124</v>
      </c>
      <c r="Q106" s="24">
        <f t="shared" si="30"/>
        <v>1</v>
      </c>
      <c r="R106" s="715">
        <f t="shared" si="31"/>
        <v>0</v>
      </c>
      <c r="S106" s="361">
        <f t="shared" si="22"/>
        <v>0</v>
      </c>
      <c r="V106" s="799"/>
    </row>
    <row r="107" spans="1:22">
      <c r="A107" s="3020"/>
      <c r="B107" s="717"/>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3124</v>
      </c>
      <c r="Q107" s="24">
        <f t="shared" si="30"/>
        <v>1</v>
      </c>
      <c r="R107" s="715">
        <f t="shared" si="31"/>
        <v>0</v>
      </c>
      <c r="S107" s="361">
        <f t="shared" si="22"/>
        <v>0</v>
      </c>
      <c r="V107" s="799"/>
    </row>
    <row r="108" spans="1:22">
      <c r="A108" s="3020"/>
      <c r="B108" s="717"/>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3124</v>
      </c>
      <c r="Q108" s="24">
        <f t="shared" si="30"/>
        <v>1</v>
      </c>
      <c r="R108" s="715">
        <f t="shared" si="31"/>
        <v>0</v>
      </c>
      <c r="S108" s="361">
        <f t="shared" si="22"/>
        <v>0</v>
      </c>
      <c r="V108" s="799"/>
    </row>
    <row r="109" spans="1:22">
      <c r="A109" s="3020"/>
      <c r="B109" s="717"/>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3124</v>
      </c>
      <c r="Q109" s="24">
        <f t="shared" si="30"/>
        <v>1</v>
      </c>
      <c r="R109" s="715">
        <f t="shared" si="31"/>
        <v>0</v>
      </c>
      <c r="S109" s="361">
        <f t="shared" si="22"/>
        <v>0</v>
      </c>
      <c r="V109" s="799"/>
    </row>
    <row r="110" spans="1:22">
      <c r="A110" s="3020"/>
      <c r="B110" s="717"/>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3124</v>
      </c>
      <c r="Q110" s="24">
        <f t="shared" si="30"/>
        <v>1</v>
      </c>
      <c r="R110" s="715">
        <f t="shared" si="31"/>
        <v>0</v>
      </c>
      <c r="S110" s="361">
        <f t="shared" si="22"/>
        <v>0</v>
      </c>
      <c r="V110" s="799"/>
    </row>
    <row r="111" spans="1:22">
      <c r="A111" s="3020"/>
      <c r="B111" s="717"/>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3124</v>
      </c>
      <c r="Q111" s="24">
        <f t="shared" si="30"/>
        <v>1</v>
      </c>
      <c r="R111" s="715">
        <f t="shared" si="31"/>
        <v>0</v>
      </c>
      <c r="S111" s="361">
        <f t="shared" si="22"/>
        <v>0</v>
      </c>
      <c r="V111" s="799"/>
    </row>
    <row r="112" spans="1:22">
      <c r="A112" s="3020"/>
      <c r="B112" s="717"/>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3124</v>
      </c>
      <c r="Q112" s="24">
        <f t="shared" si="30"/>
        <v>1</v>
      </c>
      <c r="R112" s="715">
        <f t="shared" si="31"/>
        <v>0</v>
      </c>
      <c r="S112" s="361">
        <f t="shared" si="22"/>
        <v>0</v>
      </c>
      <c r="V112" s="799"/>
    </row>
    <row r="113" spans="1:22">
      <c r="A113" s="3020"/>
      <c r="B113" s="717"/>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3124</v>
      </c>
      <c r="Q113" s="24">
        <f t="shared" si="30"/>
        <v>1</v>
      </c>
      <c r="R113" s="715">
        <f t="shared" si="31"/>
        <v>0</v>
      </c>
      <c r="S113" s="361">
        <f t="shared" si="22"/>
        <v>0</v>
      </c>
      <c r="V113" s="799"/>
    </row>
    <row r="114" spans="1:22">
      <c r="A114" s="3020"/>
      <c r="B114" s="717"/>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3124</v>
      </c>
      <c r="Q114" s="24">
        <f t="shared" si="30"/>
        <v>1</v>
      </c>
      <c r="R114" s="715">
        <f t="shared" si="31"/>
        <v>0</v>
      </c>
      <c r="S114" s="361">
        <f t="shared" si="22"/>
        <v>0</v>
      </c>
      <c r="V114" s="799"/>
    </row>
    <row r="115" spans="1:22">
      <c r="A115" s="3020"/>
      <c r="B115" s="717"/>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3124</v>
      </c>
      <c r="Q115" s="24">
        <f t="shared" si="30"/>
        <v>1</v>
      </c>
      <c r="R115" s="715">
        <f t="shared" si="31"/>
        <v>0</v>
      </c>
      <c r="S115" s="361">
        <f t="shared" si="22"/>
        <v>0</v>
      </c>
      <c r="V115" s="799"/>
    </row>
    <row r="116" spans="1:22">
      <c r="A116" s="3020"/>
      <c r="B116" s="717"/>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3124</v>
      </c>
      <c r="Q116" s="24">
        <f t="shared" si="30"/>
        <v>1</v>
      </c>
      <c r="R116" s="715">
        <f t="shared" si="31"/>
        <v>0</v>
      </c>
      <c r="S116" s="361">
        <f t="shared" si="22"/>
        <v>0</v>
      </c>
      <c r="V116" s="799"/>
    </row>
    <row r="117" spans="1:22">
      <c r="A117" s="3020"/>
      <c r="B117" s="717"/>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3124</v>
      </c>
      <c r="Q117" s="24">
        <f t="shared" si="30"/>
        <v>1</v>
      </c>
      <c r="R117" s="715">
        <f t="shared" si="31"/>
        <v>0</v>
      </c>
      <c r="S117" s="361">
        <f t="shared" si="22"/>
        <v>0</v>
      </c>
      <c r="V117" s="799"/>
    </row>
    <row r="118" spans="1:22">
      <c r="A118" s="3020"/>
      <c r="B118" s="717"/>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3124</v>
      </c>
      <c r="Q118" s="24">
        <f t="shared" si="30"/>
        <v>1</v>
      </c>
      <c r="R118" s="715">
        <f t="shared" si="31"/>
        <v>0</v>
      </c>
      <c r="S118" s="361">
        <f t="shared" si="22"/>
        <v>0</v>
      </c>
      <c r="V118" s="799"/>
    </row>
    <row r="119" spans="1:22">
      <c r="A119" s="3020"/>
      <c r="B119" s="717"/>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3124</v>
      </c>
      <c r="Q119" s="24">
        <f t="shared" si="30"/>
        <v>1</v>
      </c>
      <c r="R119" s="715">
        <f t="shared" si="31"/>
        <v>0</v>
      </c>
      <c r="S119" s="361">
        <f t="shared" si="22"/>
        <v>0</v>
      </c>
      <c r="V119" s="799"/>
    </row>
    <row r="120" spans="1:22">
      <c r="A120" s="3020"/>
      <c r="B120" s="717"/>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3124</v>
      </c>
      <c r="Q120" s="24">
        <f t="shared" si="30"/>
        <v>1</v>
      </c>
      <c r="R120" s="715">
        <f t="shared" si="31"/>
        <v>0</v>
      </c>
      <c r="S120" s="361">
        <f t="shared" si="22"/>
        <v>0</v>
      </c>
      <c r="V120" s="799"/>
    </row>
    <row r="121" spans="1:22">
      <c r="A121" s="3020"/>
      <c r="B121" s="717"/>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3124</v>
      </c>
      <c r="Q121" s="24">
        <f t="shared" si="30"/>
        <v>1</v>
      </c>
      <c r="R121" s="715">
        <f t="shared" si="31"/>
        <v>0</v>
      </c>
      <c r="S121" s="361">
        <f t="shared" si="22"/>
        <v>0</v>
      </c>
      <c r="V121" s="799"/>
    </row>
    <row r="122" spans="1:22">
      <c r="A122" s="3020"/>
      <c r="B122" s="717"/>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3124</v>
      </c>
      <c r="Q122" s="24">
        <f t="shared" si="30"/>
        <v>1</v>
      </c>
      <c r="R122" s="715">
        <f t="shared" si="31"/>
        <v>0</v>
      </c>
      <c r="S122" s="361">
        <f t="shared" si="22"/>
        <v>0</v>
      </c>
      <c r="V122" s="799"/>
    </row>
    <row r="123" spans="1:22">
      <c r="A123" s="3020"/>
      <c r="B123" s="717"/>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3129</v>
      </c>
      <c r="Q123" s="24">
        <f t="shared" si="30"/>
        <v>0.7</v>
      </c>
      <c r="R123" s="715">
        <f t="shared" si="31"/>
        <v>0</v>
      </c>
      <c r="S123" s="361">
        <f t="shared" ref="S123:S186" si="32">ROUND(R123*B123/10000,0)</f>
        <v>0</v>
      </c>
      <c r="V123" s="799"/>
    </row>
    <row r="124" spans="1:22">
      <c r="A124" s="3020"/>
      <c r="B124" s="717"/>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3129</v>
      </c>
      <c r="Q124" s="24">
        <f t="shared" si="30"/>
        <v>0.7</v>
      </c>
      <c r="R124" s="715">
        <f t="shared" si="31"/>
        <v>0</v>
      </c>
      <c r="S124" s="361">
        <f t="shared" si="32"/>
        <v>0</v>
      </c>
      <c r="V124" s="799"/>
    </row>
    <row r="125" spans="1:22">
      <c r="A125" s="3020"/>
      <c r="B125" s="717"/>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3129</v>
      </c>
      <c r="Q125" s="24">
        <f t="shared" si="30"/>
        <v>0.7</v>
      </c>
      <c r="R125" s="715">
        <f t="shared" si="31"/>
        <v>0</v>
      </c>
      <c r="S125" s="361">
        <f t="shared" si="32"/>
        <v>0</v>
      </c>
      <c r="V125" s="799"/>
    </row>
    <row r="126" spans="1:22">
      <c r="A126" s="3020"/>
      <c r="B126" s="717"/>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3129</v>
      </c>
      <c r="Q126" s="24">
        <f t="shared" si="30"/>
        <v>0.7</v>
      </c>
      <c r="R126" s="715">
        <f t="shared" si="31"/>
        <v>0</v>
      </c>
      <c r="S126" s="361">
        <f t="shared" si="32"/>
        <v>0</v>
      </c>
      <c r="V126" s="799"/>
    </row>
    <row r="127" spans="1:22">
      <c r="A127" s="3020"/>
      <c r="B127" s="717"/>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3129</v>
      </c>
      <c r="Q127" s="24">
        <f t="shared" si="30"/>
        <v>0.7</v>
      </c>
      <c r="R127" s="715">
        <f t="shared" si="31"/>
        <v>0</v>
      </c>
      <c r="S127" s="361">
        <f t="shared" si="32"/>
        <v>0</v>
      </c>
      <c r="V127" s="799"/>
    </row>
    <row r="128" spans="1:22">
      <c r="A128" s="3020"/>
      <c r="B128" s="717"/>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3129</v>
      </c>
      <c r="Q128" s="24">
        <f t="shared" si="30"/>
        <v>0.7</v>
      </c>
      <c r="R128" s="715">
        <f t="shared" si="31"/>
        <v>0</v>
      </c>
      <c r="S128" s="361">
        <f t="shared" si="32"/>
        <v>0</v>
      </c>
      <c r="V128" s="799"/>
    </row>
    <row r="129" spans="1:22">
      <c r="A129" s="3020"/>
      <c r="B129" s="717"/>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3129</v>
      </c>
      <c r="Q129" s="24">
        <f t="shared" si="30"/>
        <v>0.7</v>
      </c>
      <c r="R129" s="715">
        <f t="shared" si="31"/>
        <v>0</v>
      </c>
      <c r="S129" s="361">
        <f t="shared" si="32"/>
        <v>0</v>
      </c>
      <c r="V129" s="799"/>
    </row>
    <row r="130" spans="1:22">
      <c r="A130" s="3020"/>
      <c r="B130" s="717"/>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3129</v>
      </c>
      <c r="Q130" s="24">
        <f t="shared" si="30"/>
        <v>0.7</v>
      </c>
      <c r="R130" s="715">
        <f t="shared" si="31"/>
        <v>0</v>
      </c>
      <c r="S130" s="361">
        <f t="shared" si="32"/>
        <v>0</v>
      </c>
      <c r="V130" s="799"/>
    </row>
    <row r="131" spans="1:22">
      <c r="A131" s="3020"/>
      <c r="B131" s="717"/>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3129</v>
      </c>
      <c r="Q131" s="24">
        <f t="shared" si="30"/>
        <v>0.7</v>
      </c>
      <c r="R131" s="715">
        <f t="shared" si="31"/>
        <v>0</v>
      </c>
      <c r="S131" s="361">
        <f t="shared" si="32"/>
        <v>0</v>
      </c>
      <c r="V131" s="799"/>
    </row>
    <row r="132" spans="1:22">
      <c r="A132" s="3020"/>
      <c r="B132" s="717"/>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t="s">
        <v>3129</v>
      </c>
      <c r="Q132" s="24">
        <f t="shared" si="30"/>
        <v>0.7</v>
      </c>
      <c r="R132" s="715">
        <f t="shared" si="31"/>
        <v>0</v>
      </c>
      <c r="S132" s="361">
        <f t="shared" si="32"/>
        <v>0</v>
      </c>
      <c r="V132" s="799"/>
    </row>
    <row r="133" spans="1:22">
      <c r="A133" s="3020"/>
      <c r="B133" s="717"/>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t="s">
        <v>3129</v>
      </c>
      <c r="Q133" s="24">
        <f t="shared" si="30"/>
        <v>0.7</v>
      </c>
      <c r="R133" s="715">
        <f t="shared" si="31"/>
        <v>0</v>
      </c>
      <c r="S133" s="361">
        <f t="shared" si="32"/>
        <v>0</v>
      </c>
      <c r="V133" s="799"/>
    </row>
    <row r="134" spans="1:22">
      <c r="A134" s="3020"/>
      <c r="B134" s="717"/>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t="s">
        <v>3129</v>
      </c>
      <c r="Q134" s="24">
        <f t="shared" si="30"/>
        <v>0.7</v>
      </c>
      <c r="R134" s="715">
        <f t="shared" si="31"/>
        <v>0</v>
      </c>
      <c r="S134" s="361">
        <f t="shared" si="32"/>
        <v>0</v>
      </c>
      <c r="V134" s="799"/>
    </row>
    <row r="135" spans="1:22">
      <c r="A135" s="3020"/>
      <c r="B135" s="717"/>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t="s">
        <v>3129</v>
      </c>
      <c r="Q135" s="24">
        <f t="shared" si="30"/>
        <v>0.7</v>
      </c>
      <c r="R135" s="715">
        <f t="shared" si="31"/>
        <v>0</v>
      </c>
      <c r="S135" s="361">
        <f t="shared" si="32"/>
        <v>0</v>
      </c>
      <c r="V135" s="799"/>
    </row>
    <row r="136" spans="1:22">
      <c r="A136" s="3020"/>
      <c r="B136" s="717"/>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t="s">
        <v>3129</v>
      </c>
      <c r="Q136" s="24">
        <f t="shared" si="30"/>
        <v>0.7</v>
      </c>
      <c r="R136" s="715">
        <f t="shared" si="31"/>
        <v>0</v>
      </c>
      <c r="S136" s="361">
        <f t="shared" si="32"/>
        <v>0</v>
      </c>
      <c r="V136" s="799"/>
    </row>
    <row r="137" spans="1:22">
      <c r="A137" s="3020"/>
      <c r="B137" s="717"/>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t="s">
        <v>3129</v>
      </c>
      <c r="Q137" s="24">
        <f t="shared" si="30"/>
        <v>0.7</v>
      </c>
      <c r="R137" s="715">
        <f t="shared" si="31"/>
        <v>0</v>
      </c>
      <c r="S137" s="361">
        <f t="shared" si="32"/>
        <v>0</v>
      </c>
      <c r="V137" s="799"/>
    </row>
    <row r="138" spans="1:22">
      <c r="A138" s="3020"/>
      <c r="B138" s="717"/>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t="s">
        <v>3129</v>
      </c>
      <c r="Q138" s="24">
        <f t="shared" si="30"/>
        <v>0.7</v>
      </c>
      <c r="R138" s="715">
        <f t="shared" si="31"/>
        <v>0</v>
      </c>
      <c r="S138" s="361">
        <f t="shared" si="32"/>
        <v>0</v>
      </c>
      <c r="V138" s="799"/>
    </row>
    <row r="139" spans="1:22">
      <c r="A139" s="3020"/>
      <c r="B139" s="717"/>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t="s">
        <v>3129</v>
      </c>
      <c r="Q139" s="24">
        <f t="shared" si="30"/>
        <v>0.7</v>
      </c>
      <c r="R139" s="715">
        <f t="shared" si="31"/>
        <v>0</v>
      </c>
      <c r="S139" s="361">
        <f t="shared" si="32"/>
        <v>0</v>
      </c>
      <c r="V139" s="799"/>
    </row>
    <row r="140" spans="1:22">
      <c r="A140" s="3020"/>
      <c r="B140" s="717"/>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t="s">
        <v>3129</v>
      </c>
      <c r="Q140" s="24">
        <f t="shared" si="30"/>
        <v>0.7</v>
      </c>
      <c r="R140" s="715">
        <f t="shared" si="31"/>
        <v>0</v>
      </c>
      <c r="S140" s="361">
        <f t="shared" si="32"/>
        <v>0</v>
      </c>
      <c r="V140" s="799"/>
    </row>
    <row r="141" spans="1:22">
      <c r="A141" s="3020"/>
      <c r="B141" s="717"/>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t="s">
        <v>3129</v>
      </c>
      <c r="Q141" s="24">
        <f t="shared" si="30"/>
        <v>0.7</v>
      </c>
      <c r="R141" s="715">
        <f t="shared" si="31"/>
        <v>0</v>
      </c>
      <c r="S141" s="361">
        <f t="shared" si="32"/>
        <v>0</v>
      </c>
      <c r="V141" s="799"/>
    </row>
    <row r="142" spans="1:22">
      <c r="A142" s="3020"/>
      <c r="B142" s="717"/>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t="s">
        <v>3129</v>
      </c>
      <c r="Q142" s="24">
        <f t="shared" si="30"/>
        <v>0.7</v>
      </c>
      <c r="R142" s="715">
        <f t="shared" si="31"/>
        <v>0</v>
      </c>
      <c r="S142" s="361">
        <f t="shared" si="32"/>
        <v>0</v>
      </c>
      <c r="V142" s="799"/>
    </row>
    <row r="143" spans="1:22">
      <c r="A143" s="3020"/>
      <c r="B143" s="717"/>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t="s">
        <v>3129</v>
      </c>
      <c r="Q143" s="24">
        <f t="shared" si="30"/>
        <v>0.7</v>
      </c>
      <c r="R143" s="715">
        <f t="shared" si="31"/>
        <v>0</v>
      </c>
      <c r="S143" s="361">
        <f t="shared" si="32"/>
        <v>0</v>
      </c>
      <c r="V143" s="799"/>
    </row>
    <row r="144" spans="1:22">
      <c r="A144" s="3020"/>
      <c r="B144" s="717"/>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t="s">
        <v>3129</v>
      </c>
      <c r="Q144" s="24">
        <f t="shared" si="30"/>
        <v>0.7</v>
      </c>
      <c r="R144" s="715">
        <f t="shared" si="31"/>
        <v>0</v>
      </c>
      <c r="S144" s="361">
        <f t="shared" si="32"/>
        <v>0</v>
      </c>
    </row>
    <row r="145" spans="1:19">
      <c r="A145" s="3020"/>
      <c r="B145" s="717"/>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t="s">
        <v>3129</v>
      </c>
      <c r="Q145" s="24">
        <f t="shared" si="30"/>
        <v>0.7</v>
      </c>
      <c r="R145" s="715">
        <f t="shared" si="31"/>
        <v>0</v>
      </c>
      <c r="S145" s="361">
        <f t="shared" si="32"/>
        <v>0</v>
      </c>
    </row>
    <row r="146" spans="1:19">
      <c r="A146" s="3020"/>
      <c r="B146" s="717"/>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t="s">
        <v>3129</v>
      </c>
      <c r="Q146" s="24">
        <f t="shared" si="30"/>
        <v>0.7</v>
      </c>
      <c r="R146" s="715">
        <f t="shared" si="31"/>
        <v>0</v>
      </c>
      <c r="S146" s="361">
        <f t="shared" si="32"/>
        <v>0</v>
      </c>
    </row>
    <row r="147" spans="1:19">
      <c r="A147" s="3020"/>
      <c r="B147" s="717"/>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t="s">
        <v>3129</v>
      </c>
      <c r="Q147" s="24">
        <f t="shared" si="30"/>
        <v>0.7</v>
      </c>
      <c r="R147" s="715">
        <f t="shared" si="31"/>
        <v>0</v>
      </c>
      <c r="S147" s="361">
        <f t="shared" si="32"/>
        <v>0</v>
      </c>
    </row>
    <row r="148" spans="1:19">
      <c r="A148" s="3020"/>
      <c r="B148" s="717"/>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t="s">
        <v>3129</v>
      </c>
      <c r="Q148" s="24">
        <f t="shared" si="30"/>
        <v>0.7</v>
      </c>
      <c r="R148" s="715">
        <f t="shared" si="31"/>
        <v>0</v>
      </c>
      <c r="S148" s="361">
        <f t="shared" si="32"/>
        <v>0</v>
      </c>
    </row>
    <row r="149" spans="1:19">
      <c r="A149" s="3020"/>
      <c r="B149" s="717"/>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t="s">
        <v>3129</v>
      </c>
      <c r="Q149" s="24">
        <f t="shared" si="30"/>
        <v>0.7</v>
      </c>
      <c r="R149" s="715">
        <f t="shared" si="31"/>
        <v>0</v>
      </c>
      <c r="S149" s="361">
        <f t="shared" si="32"/>
        <v>0</v>
      </c>
    </row>
    <row r="150" spans="1:19">
      <c r="A150" s="3020"/>
      <c r="B150" s="717"/>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t="s">
        <v>3129</v>
      </c>
      <c r="Q150" s="24">
        <f t="shared" si="30"/>
        <v>0.7</v>
      </c>
      <c r="R150" s="715">
        <f t="shared" si="31"/>
        <v>0</v>
      </c>
      <c r="S150" s="361">
        <f t="shared" si="32"/>
        <v>0</v>
      </c>
    </row>
    <row r="151" spans="1:19">
      <c r="A151" s="3020"/>
      <c r="B151" s="717"/>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t="s">
        <v>3129</v>
      </c>
      <c r="Q151" s="24">
        <f t="shared" si="30"/>
        <v>0.7</v>
      </c>
      <c r="R151" s="715">
        <f t="shared" si="31"/>
        <v>0</v>
      </c>
      <c r="S151" s="361">
        <f t="shared" si="32"/>
        <v>0</v>
      </c>
    </row>
    <row r="152" spans="1:19">
      <c r="A152" s="3020"/>
      <c r="B152" s="717"/>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t="s">
        <v>3129</v>
      </c>
      <c r="Q152" s="24">
        <f t="shared" si="30"/>
        <v>0.7</v>
      </c>
      <c r="R152" s="715">
        <f t="shared" si="31"/>
        <v>0</v>
      </c>
      <c r="S152" s="361">
        <f t="shared" si="32"/>
        <v>0</v>
      </c>
    </row>
    <row r="153" spans="1:19">
      <c r="A153" s="3020"/>
      <c r="B153" s="717"/>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t="s">
        <v>3129</v>
      </c>
      <c r="Q153" s="24">
        <f t="shared" si="30"/>
        <v>0.7</v>
      </c>
      <c r="R153" s="715">
        <f t="shared" si="31"/>
        <v>0</v>
      </c>
      <c r="S153" s="361">
        <f t="shared" si="32"/>
        <v>0</v>
      </c>
    </row>
    <row r="154" spans="1:19">
      <c r="A154" s="3020"/>
      <c r="B154" s="717"/>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t="s">
        <v>3129</v>
      </c>
      <c r="Q154" s="24">
        <f t="shared" ref="Q154:Q217" si="40">(SUMIF($17:$17,P154,$18:$18)-SUMIF($17:$17,$P$24,$18:$18)+100)/100</f>
        <v>0.7</v>
      </c>
      <c r="R154" s="715">
        <f t="shared" ref="R154:R217" si="41">IF(B154="",0,ROUND($R$24*C154*E154*G154*I154*K154*M154*O154*Q154,0))</f>
        <v>0</v>
      </c>
      <c r="S154" s="361">
        <f t="shared" si="32"/>
        <v>0</v>
      </c>
    </row>
    <row r="155" spans="1:19">
      <c r="A155" s="3020"/>
      <c r="B155" s="717"/>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t="s">
        <v>3130</v>
      </c>
      <c r="Q155" s="24">
        <f t="shared" si="40"/>
        <v>0.6</v>
      </c>
      <c r="R155" s="715">
        <f t="shared" si="41"/>
        <v>0</v>
      </c>
      <c r="S155" s="361">
        <f t="shared" si="32"/>
        <v>0</v>
      </c>
    </row>
    <row r="156" spans="1:19">
      <c r="A156" s="3020"/>
      <c r="B156" s="717"/>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t="s">
        <v>3130</v>
      </c>
      <c r="Q156" s="24">
        <f t="shared" si="40"/>
        <v>0.6</v>
      </c>
      <c r="R156" s="715">
        <f t="shared" si="41"/>
        <v>0</v>
      </c>
      <c r="S156" s="361">
        <f t="shared" si="32"/>
        <v>0</v>
      </c>
    </row>
    <row r="157" spans="1:19">
      <c r="A157" s="3020"/>
      <c r="B157" s="717"/>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t="s">
        <v>3130</v>
      </c>
      <c r="Q157" s="24">
        <f t="shared" si="40"/>
        <v>0.6</v>
      </c>
      <c r="R157" s="715">
        <f t="shared" si="41"/>
        <v>0</v>
      </c>
      <c r="S157" s="361">
        <f t="shared" si="32"/>
        <v>0</v>
      </c>
    </row>
    <row r="158" spans="1:19">
      <c r="A158" s="3020"/>
      <c r="B158" s="717"/>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t="s">
        <v>3130</v>
      </c>
      <c r="Q158" s="24">
        <f t="shared" si="40"/>
        <v>0.6</v>
      </c>
      <c r="R158" s="715">
        <f t="shared" si="41"/>
        <v>0</v>
      </c>
      <c r="S158" s="361">
        <f t="shared" si="32"/>
        <v>0</v>
      </c>
    </row>
    <row r="159" spans="1:19">
      <c r="A159" s="3020"/>
      <c r="B159" s="717"/>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t="s">
        <v>3130</v>
      </c>
      <c r="Q159" s="24">
        <f t="shared" si="40"/>
        <v>0.6</v>
      </c>
      <c r="R159" s="715">
        <f t="shared" si="41"/>
        <v>0</v>
      </c>
      <c r="S159" s="361">
        <f t="shared" si="32"/>
        <v>0</v>
      </c>
    </row>
    <row r="160" spans="1:19">
      <c r="A160" s="3020"/>
      <c r="B160" s="717"/>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t="s">
        <v>3130</v>
      </c>
      <c r="Q160" s="24">
        <f t="shared" si="40"/>
        <v>0.6</v>
      </c>
      <c r="R160" s="715">
        <f t="shared" si="41"/>
        <v>0</v>
      </c>
      <c r="S160" s="361">
        <f t="shared" si="32"/>
        <v>0</v>
      </c>
    </row>
    <row r="161" spans="1:19">
      <c r="A161" s="3020"/>
      <c r="B161" s="717"/>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t="s">
        <v>3130</v>
      </c>
      <c r="Q161" s="24">
        <f t="shared" si="40"/>
        <v>0.6</v>
      </c>
      <c r="R161" s="715">
        <f t="shared" si="41"/>
        <v>0</v>
      </c>
      <c r="S161" s="361">
        <f t="shared" si="32"/>
        <v>0</v>
      </c>
    </row>
    <row r="162" spans="1:19">
      <c r="A162" s="3020"/>
      <c r="B162" s="717"/>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t="s">
        <v>3130</v>
      </c>
      <c r="Q162" s="24">
        <f t="shared" si="40"/>
        <v>0.6</v>
      </c>
      <c r="R162" s="715">
        <f t="shared" si="41"/>
        <v>0</v>
      </c>
      <c r="S162" s="361">
        <f t="shared" si="32"/>
        <v>0</v>
      </c>
    </row>
    <row r="163" spans="1:19">
      <c r="A163" s="3020"/>
      <c r="B163" s="717"/>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t="s">
        <v>3130</v>
      </c>
      <c r="Q163" s="24">
        <f t="shared" si="40"/>
        <v>0.6</v>
      </c>
      <c r="R163" s="715">
        <f t="shared" si="41"/>
        <v>0</v>
      </c>
      <c r="S163" s="361">
        <f t="shared" si="32"/>
        <v>0</v>
      </c>
    </row>
    <row r="164" spans="1:19">
      <c r="A164" s="3020"/>
      <c r="B164" s="717"/>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t="s">
        <v>3130</v>
      </c>
      <c r="Q164" s="24">
        <f t="shared" si="40"/>
        <v>0.6</v>
      </c>
      <c r="R164" s="715">
        <f t="shared" si="41"/>
        <v>0</v>
      </c>
      <c r="S164" s="361">
        <f t="shared" si="32"/>
        <v>0</v>
      </c>
    </row>
    <row r="165" spans="1:19">
      <c r="A165" s="3020"/>
      <c r="B165" s="717"/>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t="s">
        <v>3130</v>
      </c>
      <c r="Q165" s="24">
        <f t="shared" si="40"/>
        <v>0.6</v>
      </c>
      <c r="R165" s="715">
        <f t="shared" si="41"/>
        <v>0</v>
      </c>
      <c r="S165" s="361">
        <f t="shared" si="32"/>
        <v>0</v>
      </c>
    </row>
    <row r="166" spans="1:19">
      <c r="A166" s="3020"/>
      <c r="B166" s="717"/>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t="s">
        <v>3130</v>
      </c>
      <c r="Q166" s="24">
        <f t="shared" si="40"/>
        <v>0.6</v>
      </c>
      <c r="R166" s="715">
        <f t="shared" si="41"/>
        <v>0</v>
      </c>
      <c r="S166" s="361">
        <f t="shared" si="32"/>
        <v>0</v>
      </c>
    </row>
    <row r="167" spans="1:19">
      <c r="A167" s="3020"/>
      <c r="B167" s="717"/>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t="s">
        <v>3124</v>
      </c>
      <c r="Q167" s="24">
        <f t="shared" si="40"/>
        <v>1</v>
      </c>
      <c r="R167" s="715">
        <f t="shared" si="41"/>
        <v>0</v>
      </c>
      <c r="S167" s="361">
        <f t="shared" si="32"/>
        <v>0</v>
      </c>
    </row>
    <row r="168" spans="1:19">
      <c r="A168" s="3020"/>
      <c r="B168" s="717"/>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t="s">
        <v>3124</v>
      </c>
      <c r="Q168" s="24">
        <f t="shared" si="40"/>
        <v>1</v>
      </c>
      <c r="R168" s="715">
        <f t="shared" si="41"/>
        <v>0</v>
      </c>
      <c r="S168" s="361">
        <f t="shared" si="32"/>
        <v>0</v>
      </c>
    </row>
    <row r="169" spans="1:19">
      <c r="A169" s="3020"/>
      <c r="B169" s="717"/>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t="s">
        <v>3124</v>
      </c>
      <c r="Q169" s="24">
        <f t="shared" si="40"/>
        <v>1</v>
      </c>
      <c r="R169" s="715">
        <f t="shared" si="41"/>
        <v>0</v>
      </c>
      <c r="S169" s="361">
        <f t="shared" si="32"/>
        <v>0</v>
      </c>
    </row>
    <row r="170" spans="1:19">
      <c r="A170" s="3020"/>
      <c r="B170" s="717"/>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t="s">
        <v>3124</v>
      </c>
      <c r="Q170" s="24">
        <f t="shared" si="40"/>
        <v>1</v>
      </c>
      <c r="R170" s="715">
        <f t="shared" si="41"/>
        <v>0</v>
      </c>
      <c r="S170" s="361">
        <f t="shared" si="32"/>
        <v>0</v>
      </c>
    </row>
    <row r="171" spans="1:19">
      <c r="A171" s="3020"/>
      <c r="B171" s="717"/>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t="s">
        <v>3124</v>
      </c>
      <c r="Q171" s="24">
        <f t="shared" si="40"/>
        <v>1</v>
      </c>
      <c r="R171" s="715">
        <f t="shared" si="41"/>
        <v>0</v>
      </c>
      <c r="S171" s="361">
        <f t="shared" si="32"/>
        <v>0</v>
      </c>
    </row>
    <row r="172" spans="1:19">
      <c r="A172" s="3020"/>
      <c r="B172" s="717"/>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t="s">
        <v>3124</v>
      </c>
      <c r="Q172" s="24">
        <f t="shared" si="40"/>
        <v>1</v>
      </c>
      <c r="R172" s="715">
        <f t="shared" si="41"/>
        <v>0</v>
      </c>
      <c r="S172" s="361">
        <f t="shared" si="32"/>
        <v>0</v>
      </c>
    </row>
    <row r="173" spans="1:19">
      <c r="A173" s="3020"/>
      <c r="B173" s="717"/>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t="s">
        <v>3124</v>
      </c>
      <c r="Q173" s="24">
        <f t="shared" si="40"/>
        <v>1</v>
      </c>
      <c r="R173" s="715">
        <f t="shared" si="41"/>
        <v>0</v>
      </c>
      <c r="S173" s="361">
        <f t="shared" si="32"/>
        <v>0</v>
      </c>
    </row>
    <row r="174" spans="1:19">
      <c r="A174" s="3020"/>
      <c r="B174" s="717"/>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t="s">
        <v>3124</v>
      </c>
      <c r="Q174" s="24">
        <f t="shared" si="40"/>
        <v>1</v>
      </c>
      <c r="R174" s="715">
        <f t="shared" si="41"/>
        <v>0</v>
      </c>
      <c r="S174" s="361">
        <f t="shared" si="32"/>
        <v>0</v>
      </c>
    </row>
    <row r="175" spans="1:19">
      <c r="A175" s="3020">
        <f>Sheet1!C54</f>
        <v>0</v>
      </c>
      <c r="B175" s="717">
        <f>Sheet1!E53</f>
        <v>0</v>
      </c>
      <c r="C175" s="24">
        <f t="shared" si="33"/>
        <v>1.01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t="s">
        <v>3124</v>
      </c>
      <c r="Q175" s="24">
        <f t="shared" si="40"/>
        <v>1</v>
      </c>
      <c r="R175" s="715">
        <f t="shared" ca="1" si="41"/>
        <v>30272</v>
      </c>
      <c r="S175" s="361">
        <f t="shared" ca="1" si="32"/>
        <v>0</v>
      </c>
    </row>
    <row r="176" spans="1:19">
      <c r="A176" s="3020">
        <f>Sheet1!C55</f>
        <v>0</v>
      </c>
      <c r="B176" s="717">
        <f>Sheet1!E54</f>
        <v>0</v>
      </c>
      <c r="C176" s="24">
        <f t="shared" si="33"/>
        <v>1.01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t="s">
        <v>3124</v>
      </c>
      <c r="Q176" s="24">
        <f t="shared" si="40"/>
        <v>1</v>
      </c>
      <c r="R176" s="715">
        <f t="shared" ca="1" si="41"/>
        <v>30272</v>
      </c>
      <c r="S176" s="361">
        <f t="shared" ca="1" si="32"/>
        <v>0</v>
      </c>
    </row>
    <row r="177" spans="1:19">
      <c r="A177" s="3020">
        <f>Sheet1!C56</f>
        <v>0</v>
      </c>
      <c r="B177" s="717">
        <f>Sheet1!E55</f>
        <v>0</v>
      </c>
      <c r="C177" s="24">
        <f t="shared" si="33"/>
        <v>1.01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t="s">
        <v>3124</v>
      </c>
      <c r="Q177" s="24">
        <f t="shared" si="40"/>
        <v>1</v>
      </c>
      <c r="R177" s="715">
        <f t="shared" ca="1" si="41"/>
        <v>30272</v>
      </c>
      <c r="S177" s="361">
        <f t="shared" ca="1" si="32"/>
        <v>0</v>
      </c>
    </row>
    <row r="178" spans="1:19">
      <c r="A178" s="3020">
        <f>Sheet1!C57</f>
        <v>0</v>
      </c>
      <c r="B178" s="717">
        <f>Sheet1!E56</f>
        <v>0</v>
      </c>
      <c r="C178" s="24">
        <f t="shared" si="33"/>
        <v>1.01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t="s">
        <v>3124</v>
      </c>
      <c r="Q178" s="24">
        <f t="shared" si="40"/>
        <v>1</v>
      </c>
      <c r="R178" s="715">
        <f t="shared" ca="1" si="41"/>
        <v>30272</v>
      </c>
      <c r="S178" s="361">
        <f t="shared" ca="1" si="32"/>
        <v>0</v>
      </c>
    </row>
    <row r="179" spans="1:19">
      <c r="A179" s="3020">
        <f>Sheet1!C58</f>
        <v>0</v>
      </c>
      <c r="B179" s="717">
        <f>Sheet1!E57</f>
        <v>0</v>
      </c>
      <c r="C179" s="24">
        <f t="shared" si="33"/>
        <v>1.01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t="s">
        <v>3124</v>
      </c>
      <c r="Q179" s="24">
        <f t="shared" si="40"/>
        <v>1</v>
      </c>
      <c r="R179" s="715">
        <f t="shared" ca="1" si="41"/>
        <v>30272</v>
      </c>
      <c r="S179" s="361">
        <f t="shared" ca="1" si="32"/>
        <v>0</v>
      </c>
    </row>
    <row r="180" spans="1:19">
      <c r="A180" s="3020">
        <f>Sheet1!C59</f>
        <v>0</v>
      </c>
      <c r="B180" s="717">
        <f>Sheet1!E58</f>
        <v>0</v>
      </c>
      <c r="C180" s="24">
        <f t="shared" si="33"/>
        <v>1.01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t="s">
        <v>3124</v>
      </c>
      <c r="Q180" s="24">
        <f t="shared" si="40"/>
        <v>1</v>
      </c>
      <c r="R180" s="715">
        <f t="shared" ca="1" si="41"/>
        <v>30272</v>
      </c>
      <c r="S180" s="361">
        <f t="shared" ca="1" si="32"/>
        <v>0</v>
      </c>
    </row>
    <row r="181" spans="1:19">
      <c r="A181" s="3020">
        <f>Sheet1!C60</f>
        <v>0</v>
      </c>
      <c r="B181" s="717">
        <f>Sheet1!E59</f>
        <v>0</v>
      </c>
      <c r="C181" s="24">
        <f t="shared" si="33"/>
        <v>1.01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t="s">
        <v>3124</v>
      </c>
      <c r="Q181" s="24">
        <f t="shared" si="40"/>
        <v>1</v>
      </c>
      <c r="R181" s="715">
        <f t="shared" ca="1" si="41"/>
        <v>30272</v>
      </c>
      <c r="S181" s="361">
        <f t="shared" ca="1" si="32"/>
        <v>0</v>
      </c>
    </row>
    <row r="182" spans="1:19">
      <c r="A182" s="3020">
        <f>Sheet1!C61</f>
        <v>0</v>
      </c>
      <c r="B182" s="717">
        <f>Sheet1!E60</f>
        <v>0</v>
      </c>
      <c r="C182" s="24">
        <f t="shared" si="33"/>
        <v>1.01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t="s">
        <v>3124</v>
      </c>
      <c r="Q182" s="24">
        <f t="shared" si="40"/>
        <v>1</v>
      </c>
      <c r="R182" s="715">
        <f t="shared" ca="1" si="41"/>
        <v>30272</v>
      </c>
      <c r="S182" s="361">
        <f t="shared" ca="1" si="32"/>
        <v>0</v>
      </c>
    </row>
    <row r="183" spans="1:19">
      <c r="A183" s="3020">
        <f>Sheet1!C62</f>
        <v>0</v>
      </c>
      <c r="B183" s="717">
        <f>Sheet1!E61</f>
        <v>0</v>
      </c>
      <c r="C183" s="24">
        <f t="shared" si="33"/>
        <v>1.01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t="s">
        <v>3124</v>
      </c>
      <c r="Q183" s="24">
        <f t="shared" si="40"/>
        <v>1</v>
      </c>
      <c r="R183" s="715">
        <f t="shared" ca="1" si="41"/>
        <v>30272</v>
      </c>
      <c r="S183" s="361">
        <f t="shared" ca="1" si="32"/>
        <v>0</v>
      </c>
    </row>
    <row r="184" spans="1:19">
      <c r="A184" s="3020">
        <f>Sheet1!C63</f>
        <v>0</v>
      </c>
      <c r="B184" s="717">
        <f>Sheet1!E62</f>
        <v>0</v>
      </c>
      <c r="C184" s="24">
        <f t="shared" si="33"/>
        <v>1.01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t="s">
        <v>3124</v>
      </c>
      <c r="Q184" s="24">
        <f t="shared" si="40"/>
        <v>1</v>
      </c>
      <c r="R184" s="715">
        <f t="shared" ca="1" si="41"/>
        <v>30272</v>
      </c>
      <c r="S184" s="361">
        <f t="shared" ca="1" si="32"/>
        <v>0</v>
      </c>
    </row>
    <row r="185" spans="1:19">
      <c r="A185" s="3020">
        <f>Sheet1!C64</f>
        <v>0</v>
      </c>
      <c r="B185" s="717">
        <f>Sheet1!E63</f>
        <v>0</v>
      </c>
      <c r="C185" s="24">
        <f t="shared" si="33"/>
        <v>1.01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t="s">
        <v>3124</v>
      </c>
      <c r="Q185" s="24">
        <f t="shared" si="40"/>
        <v>1</v>
      </c>
      <c r="R185" s="715">
        <f t="shared" ca="1" si="41"/>
        <v>30272</v>
      </c>
      <c r="S185" s="361">
        <f t="shared" ca="1" si="32"/>
        <v>0</v>
      </c>
    </row>
    <row r="186" spans="1:19">
      <c r="A186" s="3020">
        <f>Sheet1!C65</f>
        <v>0</v>
      </c>
      <c r="B186" s="717">
        <f>Sheet1!E64</f>
        <v>0</v>
      </c>
      <c r="C186" s="24">
        <f t="shared" si="33"/>
        <v>1.01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t="s">
        <v>3124</v>
      </c>
      <c r="Q186" s="24">
        <f t="shared" si="40"/>
        <v>1</v>
      </c>
      <c r="R186" s="715">
        <f t="shared" ca="1" si="41"/>
        <v>30272</v>
      </c>
      <c r="S186" s="361">
        <f t="shared" ca="1" si="32"/>
        <v>0</v>
      </c>
    </row>
    <row r="187" spans="1:19">
      <c r="A187" s="3020">
        <f>Sheet1!C66</f>
        <v>0</v>
      </c>
      <c r="B187" s="717">
        <f>Sheet1!E65</f>
        <v>0</v>
      </c>
      <c r="C187" s="24">
        <f t="shared" si="33"/>
        <v>1.01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t="s">
        <v>3124</v>
      </c>
      <c r="Q187" s="24">
        <f t="shared" si="40"/>
        <v>1</v>
      </c>
      <c r="R187" s="715">
        <f t="shared" ca="1" si="41"/>
        <v>30272</v>
      </c>
      <c r="S187" s="361">
        <f t="shared" ref="S187:S222" ca="1" si="42">ROUND(R187*B187/10000,0)</f>
        <v>0</v>
      </c>
    </row>
    <row r="188" spans="1:19">
      <c r="A188" s="3020">
        <f>Sheet1!C67</f>
        <v>0</v>
      </c>
      <c r="B188" s="717">
        <f>Sheet1!E66</f>
        <v>0</v>
      </c>
      <c r="C188" s="24">
        <f t="shared" si="33"/>
        <v>1.01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t="s">
        <v>3124</v>
      </c>
      <c r="Q188" s="24">
        <f t="shared" si="40"/>
        <v>1</v>
      </c>
      <c r="R188" s="715">
        <f t="shared" ca="1" si="41"/>
        <v>30272</v>
      </c>
      <c r="S188" s="361">
        <f t="shared" ca="1" si="42"/>
        <v>0</v>
      </c>
    </row>
    <row r="189" spans="1:19">
      <c r="A189" s="3020">
        <f>Sheet1!C68</f>
        <v>0</v>
      </c>
      <c r="B189" s="717">
        <f>Sheet1!E67</f>
        <v>0</v>
      </c>
      <c r="C189" s="24">
        <f t="shared" si="33"/>
        <v>1.01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t="s">
        <v>3124</v>
      </c>
      <c r="Q189" s="24">
        <f t="shared" si="40"/>
        <v>1</v>
      </c>
      <c r="R189" s="715">
        <f t="shared" ca="1" si="41"/>
        <v>30272</v>
      </c>
      <c r="S189" s="361">
        <f t="shared" ca="1" si="42"/>
        <v>0</v>
      </c>
    </row>
    <row r="190" spans="1:19">
      <c r="A190" s="3020">
        <f>Sheet1!C69</f>
        <v>0</v>
      </c>
      <c r="B190" s="717">
        <f>Sheet1!E68</f>
        <v>0</v>
      </c>
      <c r="C190" s="24">
        <f t="shared" si="33"/>
        <v>1.01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t="s">
        <v>3124</v>
      </c>
      <c r="Q190" s="24">
        <f t="shared" si="40"/>
        <v>1</v>
      </c>
      <c r="R190" s="715">
        <f t="shared" ca="1" si="41"/>
        <v>30272</v>
      </c>
      <c r="S190" s="361">
        <f t="shared" ca="1" si="42"/>
        <v>0</v>
      </c>
    </row>
    <row r="191" spans="1:19">
      <c r="A191" s="3020">
        <f>Sheet1!C70</f>
        <v>0</v>
      </c>
      <c r="B191" s="717">
        <f>Sheet1!E69</f>
        <v>0</v>
      </c>
      <c r="C191" s="24">
        <f t="shared" si="33"/>
        <v>1.01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t="s">
        <v>3124</v>
      </c>
      <c r="Q191" s="24">
        <f t="shared" si="40"/>
        <v>1</v>
      </c>
      <c r="R191" s="715">
        <f t="shared" ca="1" si="41"/>
        <v>30272</v>
      </c>
      <c r="S191" s="361">
        <f t="shared" ca="1" si="42"/>
        <v>0</v>
      </c>
    </row>
    <row r="192" spans="1:19">
      <c r="A192" s="3020">
        <f>Sheet1!C71</f>
        <v>0</v>
      </c>
      <c r="B192" s="717">
        <f>Sheet1!E70</f>
        <v>0</v>
      </c>
      <c r="C192" s="24">
        <f t="shared" si="33"/>
        <v>1.01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t="s">
        <v>3124</v>
      </c>
      <c r="Q192" s="24">
        <f t="shared" si="40"/>
        <v>1</v>
      </c>
      <c r="R192" s="715">
        <f t="shared" ca="1" si="41"/>
        <v>30272</v>
      </c>
      <c r="S192" s="361">
        <f t="shared" ca="1" si="42"/>
        <v>0</v>
      </c>
    </row>
    <row r="193" spans="1:19">
      <c r="A193" s="3020">
        <f>Sheet1!C72</f>
        <v>0</v>
      </c>
      <c r="B193" s="717">
        <f>Sheet1!E71</f>
        <v>0</v>
      </c>
      <c r="C193" s="24">
        <f t="shared" si="33"/>
        <v>1.01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t="s">
        <v>3124</v>
      </c>
      <c r="Q193" s="24">
        <f t="shared" si="40"/>
        <v>1</v>
      </c>
      <c r="R193" s="715">
        <f t="shared" ca="1" si="41"/>
        <v>30272</v>
      </c>
      <c r="S193" s="361">
        <f t="shared" ca="1" si="42"/>
        <v>0</v>
      </c>
    </row>
    <row r="194" spans="1:19">
      <c r="A194" s="3020">
        <f>Sheet1!C73</f>
        <v>0</v>
      </c>
      <c r="B194" s="717">
        <f>Sheet1!E72</f>
        <v>0</v>
      </c>
      <c r="C194" s="24">
        <f t="shared" si="33"/>
        <v>1.01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t="s">
        <v>3124</v>
      </c>
      <c r="Q194" s="24">
        <f t="shared" si="40"/>
        <v>1</v>
      </c>
      <c r="R194" s="715">
        <f t="shared" ca="1" si="41"/>
        <v>30272</v>
      </c>
      <c r="S194" s="361">
        <f t="shared" ca="1" si="42"/>
        <v>0</v>
      </c>
    </row>
    <row r="195" spans="1:19">
      <c r="A195" s="3020">
        <f>Sheet1!C74</f>
        <v>0</v>
      </c>
      <c r="B195" s="717">
        <f>Sheet1!E73</f>
        <v>0</v>
      </c>
      <c r="C195" s="24">
        <f t="shared" si="33"/>
        <v>1.01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t="s">
        <v>3124</v>
      </c>
      <c r="Q195" s="24">
        <f t="shared" si="40"/>
        <v>1</v>
      </c>
      <c r="R195" s="715">
        <f t="shared" ca="1" si="41"/>
        <v>30272</v>
      </c>
      <c r="S195" s="361">
        <f t="shared" ca="1" si="42"/>
        <v>0</v>
      </c>
    </row>
    <row r="196" spans="1:19">
      <c r="A196" s="3020">
        <f>Sheet1!C75</f>
        <v>0</v>
      </c>
      <c r="B196" s="717">
        <f>Sheet1!E74</f>
        <v>0</v>
      </c>
      <c r="C196" s="24">
        <f t="shared" si="33"/>
        <v>1.01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t="s">
        <v>3124</v>
      </c>
      <c r="Q196" s="24">
        <f t="shared" si="40"/>
        <v>1</v>
      </c>
      <c r="R196" s="715">
        <f t="shared" ca="1" si="41"/>
        <v>30272</v>
      </c>
      <c r="S196" s="361">
        <f t="shared" ca="1" si="42"/>
        <v>0</v>
      </c>
    </row>
    <row r="197" spans="1:19">
      <c r="A197" s="3020">
        <f>Sheet1!C76</f>
        <v>0</v>
      </c>
      <c r="B197" s="717">
        <f>Sheet1!E75</f>
        <v>0</v>
      </c>
      <c r="C197" s="24">
        <f t="shared" si="33"/>
        <v>1.01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t="s">
        <v>3124</v>
      </c>
      <c r="Q197" s="24">
        <f t="shared" si="40"/>
        <v>1</v>
      </c>
      <c r="R197" s="715">
        <f t="shared" ca="1" si="41"/>
        <v>30272</v>
      </c>
      <c r="S197" s="361">
        <f t="shared" ca="1" si="42"/>
        <v>0</v>
      </c>
    </row>
    <row r="198" spans="1:19">
      <c r="A198" s="3020">
        <f>Sheet1!C77</f>
        <v>0</v>
      </c>
      <c r="B198" s="717">
        <f>Sheet1!E76</f>
        <v>0</v>
      </c>
      <c r="C198" s="24">
        <f t="shared" si="33"/>
        <v>1.01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t="s">
        <v>3124</v>
      </c>
      <c r="Q198" s="24">
        <f t="shared" si="40"/>
        <v>1</v>
      </c>
      <c r="R198" s="715">
        <f t="shared" ca="1" si="41"/>
        <v>30272</v>
      </c>
      <c r="S198" s="361">
        <f t="shared" ca="1" si="42"/>
        <v>0</v>
      </c>
    </row>
    <row r="199" spans="1:19">
      <c r="A199" s="3020">
        <f>Sheet1!C78</f>
        <v>0</v>
      </c>
      <c r="B199" s="717">
        <f>Sheet1!E77</f>
        <v>0</v>
      </c>
      <c r="C199" s="24">
        <f t="shared" si="33"/>
        <v>1.01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t="s">
        <v>3124</v>
      </c>
      <c r="Q199" s="24">
        <f t="shared" si="40"/>
        <v>1</v>
      </c>
      <c r="R199" s="715">
        <f t="shared" ca="1" si="41"/>
        <v>30272</v>
      </c>
      <c r="S199" s="361">
        <f t="shared" ca="1" si="42"/>
        <v>0</v>
      </c>
    </row>
    <row r="200" spans="1:19">
      <c r="A200" s="3020">
        <f>Sheet1!C79</f>
        <v>0</v>
      </c>
      <c r="B200" s="717">
        <f>Sheet1!E78</f>
        <v>0</v>
      </c>
      <c r="C200" s="24">
        <f t="shared" si="33"/>
        <v>1.01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t="s">
        <v>3124</v>
      </c>
      <c r="Q200" s="24">
        <f t="shared" si="40"/>
        <v>1</v>
      </c>
      <c r="R200" s="715">
        <f t="shared" ca="1" si="41"/>
        <v>30272</v>
      </c>
      <c r="S200" s="361">
        <f t="shared" ca="1" si="42"/>
        <v>0</v>
      </c>
    </row>
    <row r="201" spans="1:19">
      <c r="A201" s="3020">
        <f>Sheet1!C80</f>
        <v>0</v>
      </c>
      <c r="B201" s="717">
        <f>Sheet1!E79</f>
        <v>0</v>
      </c>
      <c r="C201" s="24">
        <f t="shared" si="33"/>
        <v>1.01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t="s">
        <v>3124</v>
      </c>
      <c r="Q201" s="24">
        <f t="shared" si="40"/>
        <v>1</v>
      </c>
      <c r="R201" s="715">
        <f t="shared" ca="1" si="41"/>
        <v>30272</v>
      </c>
      <c r="S201" s="361">
        <f t="shared" ca="1" si="42"/>
        <v>0</v>
      </c>
    </row>
    <row r="202" spans="1:19">
      <c r="A202" s="3020">
        <f>Sheet1!C81</f>
        <v>0</v>
      </c>
      <c r="B202" s="717">
        <f>Sheet1!E80</f>
        <v>0</v>
      </c>
      <c r="C202" s="24">
        <f t="shared" si="33"/>
        <v>1.01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t="s">
        <v>3124</v>
      </c>
      <c r="Q202" s="24">
        <f t="shared" si="40"/>
        <v>1</v>
      </c>
      <c r="R202" s="715">
        <f t="shared" ca="1" si="41"/>
        <v>30272</v>
      </c>
      <c r="S202" s="361">
        <f t="shared" ca="1" si="42"/>
        <v>0</v>
      </c>
    </row>
    <row r="203" spans="1:19">
      <c r="A203" s="3020">
        <f>Sheet1!C82</f>
        <v>0</v>
      </c>
      <c r="B203" s="717">
        <f>Sheet1!E81</f>
        <v>0</v>
      </c>
      <c r="C203" s="24">
        <f t="shared" si="33"/>
        <v>1.01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t="s">
        <v>3124</v>
      </c>
      <c r="Q203" s="24">
        <f t="shared" si="40"/>
        <v>1</v>
      </c>
      <c r="R203" s="715">
        <f t="shared" ca="1" si="41"/>
        <v>30272</v>
      </c>
      <c r="S203" s="361">
        <f t="shared" ca="1" si="42"/>
        <v>0</v>
      </c>
    </row>
    <row r="204" spans="1:19">
      <c r="A204" s="3020">
        <f>Sheet1!C83</f>
        <v>0</v>
      </c>
      <c r="B204" s="717">
        <f>Sheet1!E82</f>
        <v>0</v>
      </c>
      <c r="C204" s="24">
        <f t="shared" si="33"/>
        <v>1.01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t="s">
        <v>3124</v>
      </c>
      <c r="Q204" s="24">
        <f t="shared" si="40"/>
        <v>1</v>
      </c>
      <c r="R204" s="715">
        <f t="shared" ca="1" si="41"/>
        <v>30272</v>
      </c>
      <c r="S204" s="361">
        <f t="shared" ca="1" si="42"/>
        <v>0</v>
      </c>
    </row>
    <row r="205" spans="1:19">
      <c r="A205" s="3020">
        <f>Sheet1!C84</f>
        <v>0</v>
      </c>
      <c r="B205" s="717">
        <f>Sheet1!E83</f>
        <v>0</v>
      </c>
      <c r="C205" s="24">
        <f t="shared" si="33"/>
        <v>1.01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t="s">
        <v>3124</v>
      </c>
      <c r="Q205" s="24">
        <f t="shared" si="40"/>
        <v>1</v>
      </c>
      <c r="R205" s="715">
        <f t="shared" ca="1" si="41"/>
        <v>30272</v>
      </c>
      <c r="S205" s="361">
        <f t="shared" ca="1" si="42"/>
        <v>0</v>
      </c>
    </row>
    <row r="206" spans="1:19">
      <c r="A206" s="3020">
        <f>Sheet1!C85</f>
        <v>0</v>
      </c>
      <c r="B206" s="717">
        <f>Sheet1!E84</f>
        <v>0</v>
      </c>
      <c r="C206" s="24">
        <f t="shared" si="33"/>
        <v>1.01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t="s">
        <v>3124</v>
      </c>
      <c r="Q206" s="24">
        <f t="shared" si="40"/>
        <v>1</v>
      </c>
      <c r="R206" s="715">
        <f t="shared" ca="1" si="41"/>
        <v>30272</v>
      </c>
      <c r="S206" s="361">
        <f t="shared" ca="1" si="42"/>
        <v>0</v>
      </c>
    </row>
    <row r="207" spans="1:19">
      <c r="A207" s="3020">
        <f>Sheet1!C86</f>
        <v>0</v>
      </c>
      <c r="B207" s="717">
        <f>Sheet1!E85</f>
        <v>0</v>
      </c>
      <c r="C207" s="24">
        <f t="shared" si="33"/>
        <v>1.01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t="s">
        <v>3124</v>
      </c>
      <c r="Q207" s="24">
        <f t="shared" si="40"/>
        <v>1</v>
      </c>
      <c r="R207" s="715">
        <f t="shared" ca="1" si="41"/>
        <v>30272</v>
      </c>
      <c r="S207" s="361">
        <f t="shared" ca="1" si="42"/>
        <v>0</v>
      </c>
    </row>
    <row r="208" spans="1:19">
      <c r="A208" s="3020">
        <f>Sheet1!C87</f>
        <v>0</v>
      </c>
      <c r="B208" s="717">
        <f>Sheet1!E86</f>
        <v>0</v>
      </c>
      <c r="C208" s="24">
        <f t="shared" si="33"/>
        <v>1.01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t="s">
        <v>3124</v>
      </c>
      <c r="Q208" s="24">
        <f t="shared" si="40"/>
        <v>1</v>
      </c>
      <c r="R208" s="715">
        <f t="shared" ca="1" si="41"/>
        <v>30272</v>
      </c>
      <c r="S208" s="361">
        <f t="shared" ca="1" si="42"/>
        <v>0</v>
      </c>
    </row>
    <row r="209" spans="1:19">
      <c r="A209" s="3020">
        <f>Sheet1!C88</f>
        <v>0</v>
      </c>
      <c r="B209" s="717">
        <f>Sheet1!E87</f>
        <v>0</v>
      </c>
      <c r="C209" s="24">
        <f t="shared" si="33"/>
        <v>1.01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t="s">
        <v>3124</v>
      </c>
      <c r="Q209" s="24">
        <f t="shared" si="40"/>
        <v>1</v>
      </c>
      <c r="R209" s="715">
        <f t="shared" ca="1" si="41"/>
        <v>30272</v>
      </c>
      <c r="S209" s="361">
        <f t="shared" ca="1" si="42"/>
        <v>0</v>
      </c>
    </row>
    <row r="210" spans="1:19">
      <c r="A210" s="3020">
        <f>Sheet1!C89</f>
        <v>0</v>
      </c>
      <c r="B210" s="717">
        <f>Sheet1!E88</f>
        <v>0</v>
      </c>
      <c r="C210" s="24">
        <f t="shared" si="33"/>
        <v>1.01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t="s">
        <v>3124</v>
      </c>
      <c r="Q210" s="24">
        <f t="shared" si="40"/>
        <v>1</v>
      </c>
      <c r="R210" s="715">
        <f t="shared" ca="1" si="41"/>
        <v>30272</v>
      </c>
      <c r="S210" s="361">
        <f t="shared" ca="1" si="42"/>
        <v>0</v>
      </c>
    </row>
    <row r="211" spans="1:19">
      <c r="A211" s="3020">
        <f>Sheet1!C90</f>
        <v>0</v>
      </c>
      <c r="B211" s="717">
        <f>Sheet1!E89</f>
        <v>0</v>
      </c>
      <c r="C211" s="24">
        <f t="shared" si="33"/>
        <v>1.01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t="s">
        <v>3124</v>
      </c>
      <c r="Q211" s="24">
        <f t="shared" si="40"/>
        <v>1</v>
      </c>
      <c r="R211" s="715">
        <f t="shared" ca="1" si="41"/>
        <v>30272</v>
      </c>
      <c r="S211" s="361">
        <f t="shared" ca="1" si="42"/>
        <v>0</v>
      </c>
    </row>
    <row r="212" spans="1:19">
      <c r="A212" s="3020">
        <f>Sheet1!C91</f>
        <v>0</v>
      </c>
      <c r="B212" s="717">
        <f>Sheet1!E90</f>
        <v>0</v>
      </c>
      <c r="C212" s="24">
        <f t="shared" si="33"/>
        <v>1.01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t="s">
        <v>3124</v>
      </c>
      <c r="Q212" s="24">
        <f t="shared" si="40"/>
        <v>1</v>
      </c>
      <c r="R212" s="715">
        <f t="shared" ca="1" si="41"/>
        <v>30272</v>
      </c>
      <c r="S212" s="361">
        <f t="shared" ca="1" si="42"/>
        <v>0</v>
      </c>
    </row>
    <row r="213" spans="1:19">
      <c r="A213" s="3020">
        <f>Sheet1!C92</f>
        <v>0</v>
      </c>
      <c r="B213" s="717">
        <f>Sheet1!E91</f>
        <v>0</v>
      </c>
      <c r="C213" s="24">
        <f t="shared" si="33"/>
        <v>1.01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t="s">
        <v>3124</v>
      </c>
      <c r="Q213" s="24">
        <f t="shared" si="40"/>
        <v>1</v>
      </c>
      <c r="R213" s="715">
        <f t="shared" ca="1" si="41"/>
        <v>30272</v>
      </c>
      <c r="S213" s="361">
        <f t="shared" ca="1" si="42"/>
        <v>0</v>
      </c>
    </row>
    <row r="214" spans="1:19">
      <c r="A214" s="3020">
        <f>Sheet1!C93</f>
        <v>0</v>
      </c>
      <c r="B214" s="717">
        <f>Sheet1!E92</f>
        <v>0</v>
      </c>
      <c r="C214" s="24">
        <f t="shared" si="33"/>
        <v>1.01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t="s">
        <v>3124</v>
      </c>
      <c r="Q214" s="24">
        <f t="shared" si="40"/>
        <v>1</v>
      </c>
      <c r="R214" s="715">
        <f t="shared" ca="1" si="41"/>
        <v>30272</v>
      </c>
      <c r="S214" s="361">
        <f t="shared" ca="1" si="42"/>
        <v>0</v>
      </c>
    </row>
    <row r="215" spans="1:19">
      <c r="A215" s="3020">
        <f>Sheet1!C94</f>
        <v>0</v>
      </c>
      <c r="B215" s="717">
        <f>Sheet1!E93</f>
        <v>0</v>
      </c>
      <c r="C215" s="24">
        <f t="shared" si="33"/>
        <v>1.01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t="s">
        <v>3124</v>
      </c>
      <c r="Q215" s="24">
        <f t="shared" si="40"/>
        <v>1</v>
      </c>
      <c r="R215" s="715">
        <f t="shared" ca="1" si="41"/>
        <v>30272</v>
      </c>
      <c r="S215" s="361">
        <f t="shared" ca="1" si="42"/>
        <v>0</v>
      </c>
    </row>
    <row r="216" spans="1:19">
      <c r="A216" s="3020">
        <f>Sheet1!C95</f>
        <v>0</v>
      </c>
      <c r="B216" s="717">
        <f>Sheet1!E94</f>
        <v>0</v>
      </c>
      <c r="C216" s="24">
        <f t="shared" si="33"/>
        <v>1.01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t="s">
        <v>3124</v>
      </c>
      <c r="Q216" s="24">
        <f t="shared" si="40"/>
        <v>1</v>
      </c>
      <c r="R216" s="715">
        <f t="shared" ca="1" si="41"/>
        <v>30272</v>
      </c>
      <c r="S216" s="361">
        <f t="shared" ca="1" si="42"/>
        <v>0</v>
      </c>
    </row>
    <row r="217" spans="1:19">
      <c r="A217" s="3008">
        <f>Sheet1!C95</f>
        <v>0</v>
      </c>
      <c r="B217" s="717">
        <f>Sheet1!E95</f>
        <v>0</v>
      </c>
      <c r="C217" s="24">
        <f t="shared" si="33"/>
        <v>1.01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t="s">
        <v>3124</v>
      </c>
      <c r="Q217" s="24">
        <f t="shared" si="40"/>
        <v>1</v>
      </c>
      <c r="R217" s="715">
        <f t="shared" ca="1" si="41"/>
        <v>30272</v>
      </c>
      <c r="S217" s="361">
        <f t="shared" ca="1" si="42"/>
        <v>0</v>
      </c>
    </row>
    <row r="218" spans="1:19">
      <c r="A218" s="3008">
        <f>Sheet1!C96</f>
        <v>0</v>
      </c>
      <c r="B218" s="717">
        <f>Sheet1!E96</f>
        <v>0</v>
      </c>
      <c r="C218" s="24">
        <f t="shared" ref="C218:C281" si="43">IF(B218="",1,(LOOKUP(B218,$3:$3,$4:$4)-LOOKUP($B$24,$3:$3,$4:$4)+100)/100)</f>
        <v>1.01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t="s">
        <v>3124</v>
      </c>
      <c r="Q218" s="24">
        <f t="shared" ref="Q218:Q281" si="50">(SUMIF($17:$17,P218,$18:$18)-SUMIF($17:$17,$P$24,$18:$18)+100)/100</f>
        <v>1</v>
      </c>
      <c r="R218" s="715">
        <f t="shared" ref="R218:R281" ca="1" si="51">IF(B218="",0,ROUND($R$24*C218*E218*G218*I218*K218*M218*O218*Q218,0))</f>
        <v>30272</v>
      </c>
      <c r="S218" s="361">
        <f t="shared" ca="1" si="42"/>
        <v>0</v>
      </c>
    </row>
    <row r="219" spans="1:19">
      <c r="A219" s="3008">
        <f>Sheet1!C97</f>
        <v>0</v>
      </c>
      <c r="B219" s="717">
        <f>Sheet1!E97</f>
        <v>0</v>
      </c>
      <c r="C219" s="24">
        <f t="shared" si="43"/>
        <v>1.01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t="s">
        <v>3124</v>
      </c>
      <c r="Q219" s="24">
        <f t="shared" si="50"/>
        <v>1</v>
      </c>
      <c r="R219" s="715">
        <f t="shared" ca="1" si="51"/>
        <v>30272</v>
      </c>
      <c r="S219" s="361">
        <f t="shared" ca="1" si="42"/>
        <v>0</v>
      </c>
    </row>
    <row r="220" spans="1:19">
      <c r="A220" s="3008">
        <f>Sheet1!C98</f>
        <v>0</v>
      </c>
      <c r="B220" s="717">
        <f>Sheet1!E98</f>
        <v>0</v>
      </c>
      <c r="C220" s="24">
        <f t="shared" si="43"/>
        <v>1.01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t="s">
        <v>3124</v>
      </c>
      <c r="Q220" s="24">
        <f t="shared" si="50"/>
        <v>1</v>
      </c>
      <c r="R220" s="715">
        <f t="shared" ca="1" si="51"/>
        <v>30272</v>
      </c>
      <c r="S220" s="361">
        <f t="shared" ca="1" si="42"/>
        <v>0</v>
      </c>
    </row>
    <row r="221" spans="1:19">
      <c r="A221" s="3008">
        <f>Sheet1!C99</f>
        <v>0</v>
      </c>
      <c r="B221" s="717">
        <f>Sheet1!E99</f>
        <v>0</v>
      </c>
      <c r="C221" s="24">
        <f t="shared" si="43"/>
        <v>1.01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t="s">
        <v>3124</v>
      </c>
      <c r="Q221" s="24">
        <f t="shared" si="50"/>
        <v>1</v>
      </c>
      <c r="R221" s="715">
        <f t="shared" ca="1" si="51"/>
        <v>30272</v>
      </c>
      <c r="S221" s="361">
        <f t="shared" ca="1" si="42"/>
        <v>0</v>
      </c>
    </row>
    <row r="222" spans="1:19">
      <c r="A222" s="3008">
        <f>Sheet1!C100</f>
        <v>0</v>
      </c>
      <c r="B222" s="717">
        <f>Sheet1!E100</f>
        <v>0</v>
      </c>
      <c r="C222" s="24">
        <f t="shared" si="43"/>
        <v>1.01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t="s">
        <v>3124</v>
      </c>
      <c r="Q222" s="24">
        <f t="shared" si="50"/>
        <v>1</v>
      </c>
      <c r="R222" s="715">
        <f t="shared" ca="1" si="51"/>
        <v>30272</v>
      </c>
      <c r="S222" s="361">
        <f t="shared" ca="1" si="42"/>
        <v>0</v>
      </c>
    </row>
    <row r="223" spans="1:19">
      <c r="A223" s="3008">
        <f>Sheet1!C101</f>
        <v>0</v>
      </c>
      <c r="B223" s="717">
        <f>Sheet1!E101</f>
        <v>0</v>
      </c>
      <c r="C223" s="24">
        <f t="shared" si="43"/>
        <v>1.01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t="s">
        <v>3124</v>
      </c>
      <c r="Q223" s="24">
        <f t="shared" si="50"/>
        <v>1</v>
      </c>
      <c r="R223" s="715">
        <f t="shared" ca="1" si="51"/>
        <v>30272</v>
      </c>
      <c r="S223" s="361">
        <f t="shared" ref="S223:S286" ca="1" si="52">ROUND(R223*B223/10000,0)</f>
        <v>0</v>
      </c>
    </row>
    <row r="224" spans="1:19">
      <c r="A224" s="3008">
        <f>Sheet1!C102</f>
        <v>0</v>
      </c>
      <c r="B224" s="717">
        <f>Sheet1!E102</f>
        <v>0</v>
      </c>
      <c r="C224" s="24">
        <f t="shared" si="43"/>
        <v>1.01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t="s">
        <v>3124</v>
      </c>
      <c r="Q224" s="24">
        <f t="shared" si="50"/>
        <v>1</v>
      </c>
      <c r="R224" s="715">
        <f t="shared" ca="1" si="51"/>
        <v>30272</v>
      </c>
      <c r="S224" s="361">
        <f t="shared" ca="1" si="52"/>
        <v>0</v>
      </c>
    </row>
    <row r="225" spans="1:19">
      <c r="A225" s="3008">
        <f>Sheet1!C103</f>
        <v>0</v>
      </c>
      <c r="B225" s="717">
        <f>Sheet1!E103</f>
        <v>0</v>
      </c>
      <c r="C225" s="24">
        <f t="shared" si="43"/>
        <v>1.01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t="s">
        <v>3124</v>
      </c>
      <c r="Q225" s="24">
        <f t="shared" si="50"/>
        <v>1</v>
      </c>
      <c r="R225" s="715">
        <f t="shared" ca="1" si="51"/>
        <v>30272</v>
      </c>
      <c r="S225" s="361">
        <f t="shared" ca="1" si="52"/>
        <v>0</v>
      </c>
    </row>
    <row r="226" spans="1:19">
      <c r="A226" s="3008">
        <f>Sheet1!C104</f>
        <v>0</v>
      </c>
      <c r="B226" s="717">
        <f>Sheet1!E104</f>
        <v>0</v>
      </c>
      <c r="C226" s="24">
        <f t="shared" si="43"/>
        <v>1.01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t="s">
        <v>3124</v>
      </c>
      <c r="Q226" s="24">
        <f t="shared" si="50"/>
        <v>1</v>
      </c>
      <c r="R226" s="715">
        <f t="shared" ca="1" si="51"/>
        <v>30272</v>
      </c>
      <c r="S226" s="361">
        <f t="shared" ca="1" si="52"/>
        <v>0</v>
      </c>
    </row>
    <row r="227" spans="1:19">
      <c r="A227" s="3008">
        <f>Sheet1!C105</f>
        <v>0</v>
      </c>
      <c r="B227" s="717">
        <f>Sheet1!E105</f>
        <v>0</v>
      </c>
      <c r="C227" s="24">
        <f t="shared" si="43"/>
        <v>1.01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t="s">
        <v>3124</v>
      </c>
      <c r="Q227" s="24">
        <f t="shared" si="50"/>
        <v>1</v>
      </c>
      <c r="R227" s="715">
        <f t="shared" ca="1" si="51"/>
        <v>30272</v>
      </c>
      <c r="S227" s="361">
        <f t="shared" ca="1" si="52"/>
        <v>0</v>
      </c>
    </row>
    <row r="228" spans="1:19">
      <c r="A228" s="3008">
        <f>Sheet1!C106</f>
        <v>0</v>
      </c>
      <c r="B228" s="717">
        <f>Sheet1!E106</f>
        <v>0</v>
      </c>
      <c r="C228" s="24">
        <f t="shared" si="43"/>
        <v>1.01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t="s">
        <v>3124</v>
      </c>
      <c r="Q228" s="24">
        <f t="shared" si="50"/>
        <v>1</v>
      </c>
      <c r="R228" s="715">
        <f t="shared" ca="1" si="51"/>
        <v>30272</v>
      </c>
      <c r="S228" s="361">
        <f t="shared" ca="1" si="52"/>
        <v>0</v>
      </c>
    </row>
    <row r="229" spans="1:19">
      <c r="A229" s="3008">
        <f>Sheet1!C107</f>
        <v>0</v>
      </c>
      <c r="B229" s="717">
        <f>Sheet1!E107</f>
        <v>0</v>
      </c>
      <c r="C229" s="24">
        <f t="shared" si="43"/>
        <v>1.01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t="s">
        <v>3124</v>
      </c>
      <c r="Q229" s="24">
        <f t="shared" si="50"/>
        <v>1</v>
      </c>
      <c r="R229" s="715">
        <f t="shared" ca="1" si="51"/>
        <v>30272</v>
      </c>
      <c r="S229" s="361">
        <f t="shared" ca="1" si="52"/>
        <v>0</v>
      </c>
    </row>
    <row r="230" spans="1:19">
      <c r="A230" s="3008">
        <f>Sheet1!C108</f>
        <v>0</v>
      </c>
      <c r="B230" s="717">
        <f>Sheet1!E108</f>
        <v>0</v>
      </c>
      <c r="C230" s="24">
        <f t="shared" si="43"/>
        <v>1.01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t="s">
        <v>3124</v>
      </c>
      <c r="Q230" s="24">
        <f t="shared" si="50"/>
        <v>1</v>
      </c>
      <c r="R230" s="715">
        <f t="shared" ca="1" si="51"/>
        <v>30272</v>
      </c>
      <c r="S230" s="361">
        <f t="shared" ca="1" si="52"/>
        <v>0</v>
      </c>
    </row>
    <row r="231" spans="1:19">
      <c r="A231" s="3008">
        <f>Sheet1!C109</f>
        <v>0</v>
      </c>
      <c r="B231" s="717">
        <f>Sheet1!E109</f>
        <v>0</v>
      </c>
      <c r="C231" s="24">
        <f t="shared" si="43"/>
        <v>1.01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t="s">
        <v>3124</v>
      </c>
      <c r="Q231" s="24">
        <f t="shared" si="50"/>
        <v>1</v>
      </c>
      <c r="R231" s="715">
        <f t="shared" ca="1" si="51"/>
        <v>30272</v>
      </c>
      <c r="S231" s="361">
        <f t="shared" ca="1" si="52"/>
        <v>0</v>
      </c>
    </row>
    <row r="232" spans="1:19">
      <c r="A232" s="3008">
        <f>Sheet1!C110</f>
        <v>0</v>
      </c>
      <c r="B232" s="717">
        <f>Sheet1!E110</f>
        <v>0</v>
      </c>
      <c r="C232" s="24">
        <f t="shared" si="43"/>
        <v>1.01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t="s">
        <v>3124</v>
      </c>
      <c r="Q232" s="24">
        <f t="shared" si="50"/>
        <v>1</v>
      </c>
      <c r="R232" s="715">
        <f t="shared" ca="1" si="51"/>
        <v>30272</v>
      </c>
      <c r="S232" s="361">
        <f t="shared" ca="1" si="52"/>
        <v>0</v>
      </c>
    </row>
    <row r="233" spans="1:19">
      <c r="A233" s="3008">
        <f>Sheet1!C111</f>
        <v>0</v>
      </c>
      <c r="B233" s="717">
        <f>Sheet1!E111</f>
        <v>0</v>
      </c>
      <c r="C233" s="24">
        <f t="shared" si="43"/>
        <v>1.01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t="s">
        <v>3124</v>
      </c>
      <c r="Q233" s="24">
        <f t="shared" si="50"/>
        <v>1</v>
      </c>
      <c r="R233" s="715">
        <f t="shared" ca="1" si="51"/>
        <v>30272</v>
      </c>
      <c r="S233" s="361">
        <f t="shared" ca="1" si="52"/>
        <v>0</v>
      </c>
    </row>
    <row r="234" spans="1:19">
      <c r="A234" s="3008">
        <f>Sheet1!C112</f>
        <v>0</v>
      </c>
      <c r="B234" s="717">
        <f>Sheet1!E112</f>
        <v>0</v>
      </c>
      <c r="C234" s="24">
        <f t="shared" si="43"/>
        <v>1.01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t="s">
        <v>3124</v>
      </c>
      <c r="Q234" s="24">
        <f t="shared" si="50"/>
        <v>1</v>
      </c>
      <c r="R234" s="715">
        <f t="shared" ca="1" si="51"/>
        <v>30272</v>
      </c>
      <c r="S234" s="361">
        <f t="shared" ca="1" si="52"/>
        <v>0</v>
      </c>
    </row>
    <row r="235" spans="1:19">
      <c r="A235" s="3008">
        <f>Sheet1!C113</f>
        <v>0</v>
      </c>
      <c r="B235" s="717">
        <f>Sheet1!E113</f>
        <v>0</v>
      </c>
      <c r="C235" s="24">
        <f t="shared" si="43"/>
        <v>1.01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t="s">
        <v>3124</v>
      </c>
      <c r="Q235" s="24">
        <f t="shared" si="50"/>
        <v>1</v>
      </c>
      <c r="R235" s="715">
        <f t="shared" ca="1" si="51"/>
        <v>30272</v>
      </c>
      <c r="S235" s="361">
        <f t="shared" ca="1" si="52"/>
        <v>0</v>
      </c>
    </row>
    <row r="236" spans="1:19">
      <c r="A236" s="3008">
        <f>Sheet1!C114</f>
        <v>0</v>
      </c>
      <c r="B236" s="717">
        <f>Sheet1!E114</f>
        <v>0</v>
      </c>
      <c r="C236" s="24">
        <f t="shared" si="43"/>
        <v>1.01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t="s">
        <v>3124</v>
      </c>
      <c r="Q236" s="24">
        <f t="shared" si="50"/>
        <v>1</v>
      </c>
      <c r="R236" s="715">
        <f t="shared" ca="1" si="51"/>
        <v>30272</v>
      </c>
      <c r="S236" s="361">
        <f t="shared" ca="1" si="52"/>
        <v>0</v>
      </c>
    </row>
    <row r="237" spans="1:19">
      <c r="A237" s="3008">
        <f>Sheet1!C115</f>
        <v>0</v>
      </c>
      <c r="B237" s="717">
        <f>Sheet1!E115</f>
        <v>0</v>
      </c>
      <c r="C237" s="24">
        <f t="shared" si="43"/>
        <v>1.01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t="s">
        <v>3124</v>
      </c>
      <c r="Q237" s="24">
        <f t="shared" si="50"/>
        <v>1</v>
      </c>
      <c r="R237" s="715">
        <f t="shared" ca="1" si="51"/>
        <v>30272</v>
      </c>
      <c r="S237" s="361">
        <f t="shared" ca="1" si="52"/>
        <v>0</v>
      </c>
    </row>
    <row r="238" spans="1:19">
      <c r="A238" s="3008">
        <f>Sheet1!C116</f>
        <v>0</v>
      </c>
      <c r="B238" s="717">
        <f>Sheet1!E116</f>
        <v>0</v>
      </c>
      <c r="C238" s="24">
        <f t="shared" si="43"/>
        <v>1.01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t="s">
        <v>3124</v>
      </c>
      <c r="Q238" s="24">
        <f t="shared" si="50"/>
        <v>1</v>
      </c>
      <c r="R238" s="715">
        <f t="shared" ca="1" si="51"/>
        <v>30272</v>
      </c>
      <c r="S238" s="361">
        <f t="shared" ca="1" si="52"/>
        <v>0</v>
      </c>
    </row>
    <row r="239" spans="1:19">
      <c r="A239" s="3008">
        <f>Sheet1!C117</f>
        <v>0</v>
      </c>
      <c r="B239" s="717">
        <f>Sheet1!E117</f>
        <v>0</v>
      </c>
      <c r="C239" s="24">
        <f t="shared" si="43"/>
        <v>1.01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t="s">
        <v>3124</v>
      </c>
      <c r="Q239" s="24">
        <f t="shared" si="50"/>
        <v>1</v>
      </c>
      <c r="R239" s="715">
        <f t="shared" ca="1" si="51"/>
        <v>30272</v>
      </c>
      <c r="S239" s="361">
        <f t="shared" ca="1" si="52"/>
        <v>0</v>
      </c>
    </row>
    <row r="240" spans="1:19">
      <c r="A240" s="3008">
        <f>Sheet1!C118</f>
        <v>0</v>
      </c>
      <c r="B240" s="717">
        <f>Sheet1!E118</f>
        <v>0</v>
      </c>
      <c r="C240" s="24">
        <f t="shared" si="43"/>
        <v>1.01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t="s">
        <v>3124</v>
      </c>
      <c r="Q240" s="24">
        <f t="shared" si="50"/>
        <v>1</v>
      </c>
      <c r="R240" s="715">
        <f t="shared" ca="1" si="51"/>
        <v>30272</v>
      </c>
      <c r="S240" s="361">
        <f t="shared" ca="1" si="52"/>
        <v>0</v>
      </c>
    </row>
    <row r="241" spans="1:19">
      <c r="A241" s="3008">
        <f>Sheet1!C119</f>
        <v>0</v>
      </c>
      <c r="B241" s="717">
        <f>Sheet1!E119</f>
        <v>0</v>
      </c>
      <c r="C241" s="24">
        <f t="shared" si="43"/>
        <v>1.01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t="s">
        <v>3124</v>
      </c>
      <c r="Q241" s="24">
        <f t="shared" si="50"/>
        <v>1</v>
      </c>
      <c r="R241" s="715">
        <f t="shared" ca="1" si="51"/>
        <v>30272</v>
      </c>
      <c r="S241" s="361">
        <f t="shared" ca="1" si="52"/>
        <v>0</v>
      </c>
    </row>
    <row r="242" spans="1:19">
      <c r="A242" s="3008">
        <f>Sheet1!C120</f>
        <v>0</v>
      </c>
      <c r="B242" s="717">
        <f>Sheet1!E120</f>
        <v>0</v>
      </c>
      <c r="C242" s="24">
        <f t="shared" si="43"/>
        <v>1.01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t="s">
        <v>3124</v>
      </c>
      <c r="Q242" s="24">
        <f t="shared" si="50"/>
        <v>1</v>
      </c>
      <c r="R242" s="715">
        <f t="shared" ca="1" si="51"/>
        <v>30272</v>
      </c>
      <c r="S242" s="361">
        <f t="shared" ca="1" si="52"/>
        <v>0</v>
      </c>
    </row>
    <row r="243" spans="1:19">
      <c r="A243" s="3008">
        <f>Sheet1!C121</f>
        <v>0</v>
      </c>
      <c r="B243" s="717">
        <f>Sheet1!E121</f>
        <v>0</v>
      </c>
      <c r="C243" s="24">
        <f t="shared" si="43"/>
        <v>1.01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t="s">
        <v>3124</v>
      </c>
      <c r="Q243" s="24">
        <f t="shared" si="50"/>
        <v>1</v>
      </c>
      <c r="R243" s="715">
        <f t="shared" ca="1" si="51"/>
        <v>30272</v>
      </c>
      <c r="S243" s="361">
        <f t="shared" ca="1" si="52"/>
        <v>0</v>
      </c>
    </row>
    <row r="244" spans="1:19">
      <c r="A244" s="3008">
        <f>Sheet1!C122</f>
        <v>0</v>
      </c>
      <c r="B244" s="717">
        <f>Sheet1!E122</f>
        <v>0</v>
      </c>
      <c r="C244" s="24">
        <f t="shared" si="43"/>
        <v>1.01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t="s">
        <v>3124</v>
      </c>
      <c r="Q244" s="24">
        <f t="shared" si="50"/>
        <v>1</v>
      </c>
      <c r="R244" s="715">
        <f t="shared" ca="1" si="51"/>
        <v>30272</v>
      </c>
      <c r="S244" s="361">
        <f t="shared" ca="1" si="52"/>
        <v>0</v>
      </c>
    </row>
    <row r="245" spans="1:19">
      <c r="A245" s="3008">
        <f>Sheet1!C123</f>
        <v>0</v>
      </c>
      <c r="B245" s="717">
        <f>Sheet1!E123</f>
        <v>0</v>
      </c>
      <c r="C245" s="24">
        <f t="shared" si="43"/>
        <v>1.01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t="s">
        <v>3124</v>
      </c>
      <c r="Q245" s="24">
        <f t="shared" si="50"/>
        <v>1</v>
      </c>
      <c r="R245" s="715">
        <f t="shared" ca="1" si="51"/>
        <v>30272</v>
      </c>
      <c r="S245" s="361">
        <f t="shared" ca="1" si="52"/>
        <v>0</v>
      </c>
    </row>
    <row r="246" spans="1:19">
      <c r="A246" s="3008">
        <f>Sheet1!C124</f>
        <v>0</v>
      </c>
      <c r="B246" s="717">
        <f>Sheet1!E124</f>
        <v>0</v>
      </c>
      <c r="C246" s="24">
        <f t="shared" si="43"/>
        <v>1.01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t="s">
        <v>3124</v>
      </c>
      <c r="Q246" s="24">
        <f t="shared" si="50"/>
        <v>1</v>
      </c>
      <c r="R246" s="715">
        <f t="shared" ca="1" si="51"/>
        <v>30272</v>
      </c>
      <c r="S246" s="361">
        <f t="shared" ca="1" si="52"/>
        <v>0</v>
      </c>
    </row>
    <row r="247" spans="1:19">
      <c r="A247" s="3008">
        <f>Sheet1!C125</f>
        <v>0</v>
      </c>
      <c r="B247" s="717">
        <f>Sheet1!E125</f>
        <v>0</v>
      </c>
      <c r="C247" s="24">
        <f t="shared" si="43"/>
        <v>1.01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t="s">
        <v>3124</v>
      </c>
      <c r="Q247" s="24">
        <f t="shared" si="50"/>
        <v>1</v>
      </c>
      <c r="R247" s="715">
        <f t="shared" ca="1" si="51"/>
        <v>30272</v>
      </c>
      <c r="S247" s="361">
        <f t="shared" ca="1" si="52"/>
        <v>0</v>
      </c>
    </row>
    <row r="248" spans="1:19">
      <c r="A248" s="3008">
        <f>Sheet1!C126</f>
        <v>0</v>
      </c>
      <c r="B248" s="717">
        <f>Sheet1!E126</f>
        <v>0</v>
      </c>
      <c r="C248" s="24">
        <f t="shared" si="43"/>
        <v>1.01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t="s">
        <v>3124</v>
      </c>
      <c r="Q248" s="24">
        <f t="shared" si="50"/>
        <v>1</v>
      </c>
      <c r="R248" s="715">
        <f t="shared" ca="1" si="51"/>
        <v>30272</v>
      </c>
      <c r="S248" s="361">
        <f t="shared" ca="1" si="52"/>
        <v>0</v>
      </c>
    </row>
    <row r="249" spans="1:19">
      <c r="A249" s="3008">
        <f>Sheet1!C127</f>
        <v>0</v>
      </c>
      <c r="B249" s="717">
        <f>Sheet1!E127</f>
        <v>0</v>
      </c>
      <c r="C249" s="24">
        <f t="shared" si="43"/>
        <v>1.01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t="s">
        <v>3124</v>
      </c>
      <c r="Q249" s="24">
        <f t="shared" si="50"/>
        <v>1</v>
      </c>
      <c r="R249" s="715">
        <f t="shared" ca="1" si="51"/>
        <v>30272</v>
      </c>
      <c r="S249" s="361">
        <f t="shared" ca="1" si="52"/>
        <v>0</v>
      </c>
    </row>
    <row r="250" spans="1:19">
      <c r="A250" s="3008">
        <f>Sheet1!C128</f>
        <v>0</v>
      </c>
      <c r="B250" s="717">
        <f>Sheet1!E128</f>
        <v>0</v>
      </c>
      <c r="C250" s="24">
        <f t="shared" si="43"/>
        <v>1.01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t="s">
        <v>3124</v>
      </c>
      <c r="Q250" s="24">
        <f t="shared" si="50"/>
        <v>1</v>
      </c>
      <c r="R250" s="715">
        <f t="shared" ca="1" si="51"/>
        <v>30272</v>
      </c>
      <c r="S250" s="361">
        <f t="shared" ca="1" si="52"/>
        <v>0</v>
      </c>
    </row>
    <row r="251" spans="1:19">
      <c r="A251" s="3008">
        <f>Sheet1!C129</f>
        <v>0</v>
      </c>
      <c r="B251" s="717">
        <f>Sheet1!E129</f>
        <v>0</v>
      </c>
      <c r="C251" s="24">
        <f t="shared" si="43"/>
        <v>1.01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t="s">
        <v>3124</v>
      </c>
      <c r="Q251" s="24">
        <f t="shared" si="50"/>
        <v>1</v>
      </c>
      <c r="R251" s="715">
        <f t="shared" ca="1" si="51"/>
        <v>30272</v>
      </c>
      <c r="S251" s="361">
        <f t="shared" ca="1" si="52"/>
        <v>0</v>
      </c>
    </row>
    <row r="252" spans="1:19">
      <c r="A252" s="3008">
        <f>Sheet1!C130</f>
        <v>0</v>
      </c>
      <c r="B252" s="717">
        <f>Sheet1!E130</f>
        <v>0</v>
      </c>
      <c r="C252" s="24">
        <f t="shared" si="43"/>
        <v>1.01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t="s">
        <v>3124</v>
      </c>
      <c r="Q252" s="24">
        <f t="shared" si="50"/>
        <v>1</v>
      </c>
      <c r="R252" s="715">
        <f t="shared" ca="1" si="51"/>
        <v>30272</v>
      </c>
      <c r="S252" s="361">
        <f t="shared" ca="1" si="52"/>
        <v>0</v>
      </c>
    </row>
    <row r="253" spans="1:19">
      <c r="A253" s="3008">
        <f>Sheet1!C131</f>
        <v>0</v>
      </c>
      <c r="B253" s="717">
        <f>Sheet1!E131</f>
        <v>0</v>
      </c>
      <c r="C253" s="24">
        <f t="shared" si="43"/>
        <v>1.01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t="s">
        <v>3124</v>
      </c>
      <c r="Q253" s="24">
        <f t="shared" si="50"/>
        <v>1</v>
      </c>
      <c r="R253" s="715">
        <f t="shared" ca="1" si="51"/>
        <v>30272</v>
      </c>
      <c r="S253" s="361">
        <f t="shared" ca="1" si="52"/>
        <v>0</v>
      </c>
    </row>
    <row r="254" spans="1:19">
      <c r="A254" s="3008">
        <f>Sheet1!C132</f>
        <v>0</v>
      </c>
      <c r="B254" s="717">
        <f>Sheet1!E132</f>
        <v>0</v>
      </c>
      <c r="C254" s="24">
        <f t="shared" si="43"/>
        <v>1.01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t="s">
        <v>3124</v>
      </c>
      <c r="Q254" s="24">
        <f t="shared" si="50"/>
        <v>1</v>
      </c>
      <c r="R254" s="715">
        <f t="shared" ca="1" si="51"/>
        <v>30272</v>
      </c>
      <c r="S254" s="361">
        <f t="shared" ca="1" si="52"/>
        <v>0</v>
      </c>
    </row>
    <row r="255" spans="1:19">
      <c r="A255" s="3008">
        <f>Sheet1!C133</f>
        <v>0</v>
      </c>
      <c r="B255" s="717">
        <f>Sheet1!E133</f>
        <v>0</v>
      </c>
      <c r="C255" s="24">
        <f t="shared" si="43"/>
        <v>1.01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t="s">
        <v>3124</v>
      </c>
      <c r="Q255" s="24">
        <f t="shared" si="50"/>
        <v>1</v>
      </c>
      <c r="R255" s="715">
        <f t="shared" ca="1" si="51"/>
        <v>30272</v>
      </c>
      <c r="S255" s="361">
        <f t="shared" ca="1" si="52"/>
        <v>0</v>
      </c>
    </row>
    <row r="256" spans="1:19">
      <c r="A256" s="3008">
        <f>Sheet1!C134</f>
        <v>0</v>
      </c>
      <c r="B256" s="717">
        <f>Sheet1!E134</f>
        <v>0</v>
      </c>
      <c r="C256" s="24">
        <f t="shared" si="43"/>
        <v>1.01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t="s">
        <v>3124</v>
      </c>
      <c r="Q256" s="24">
        <f t="shared" si="50"/>
        <v>1</v>
      </c>
      <c r="R256" s="715">
        <f t="shared" ca="1" si="51"/>
        <v>30272</v>
      </c>
      <c r="S256" s="361">
        <f t="shared" ca="1" si="52"/>
        <v>0</v>
      </c>
    </row>
    <row r="257" spans="1:19">
      <c r="A257" s="3008">
        <f>Sheet1!C135</f>
        <v>0</v>
      </c>
      <c r="B257" s="717">
        <f>Sheet1!E135</f>
        <v>0</v>
      </c>
      <c r="C257" s="24">
        <f t="shared" si="43"/>
        <v>1.01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t="s">
        <v>3124</v>
      </c>
      <c r="Q257" s="24">
        <f t="shared" si="50"/>
        <v>1</v>
      </c>
      <c r="R257" s="715">
        <f t="shared" ca="1" si="51"/>
        <v>30272</v>
      </c>
      <c r="S257" s="361">
        <f t="shared" ca="1" si="52"/>
        <v>0</v>
      </c>
    </row>
    <row r="258" spans="1:19">
      <c r="A258" s="3008">
        <f>Sheet1!C136</f>
        <v>0</v>
      </c>
      <c r="B258" s="717">
        <f>Sheet1!E136</f>
        <v>0</v>
      </c>
      <c r="C258" s="24">
        <f t="shared" si="43"/>
        <v>1.01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t="s">
        <v>3124</v>
      </c>
      <c r="Q258" s="24">
        <f t="shared" si="50"/>
        <v>1</v>
      </c>
      <c r="R258" s="715">
        <f t="shared" ca="1" si="51"/>
        <v>30272</v>
      </c>
      <c r="S258" s="361">
        <f t="shared" ca="1" si="52"/>
        <v>0</v>
      </c>
    </row>
    <row r="259" spans="1:19">
      <c r="A259" s="3008">
        <f>Sheet1!C137</f>
        <v>0</v>
      </c>
      <c r="B259" s="717">
        <f>Sheet1!E137</f>
        <v>0</v>
      </c>
      <c r="C259" s="24">
        <f t="shared" si="43"/>
        <v>1.01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t="s">
        <v>3124</v>
      </c>
      <c r="Q259" s="24">
        <f t="shared" si="50"/>
        <v>1</v>
      </c>
      <c r="R259" s="715">
        <f t="shared" ca="1" si="51"/>
        <v>30272</v>
      </c>
      <c r="S259" s="361">
        <f t="shared" ca="1" si="52"/>
        <v>0</v>
      </c>
    </row>
    <row r="260" spans="1:19">
      <c r="A260" s="3008">
        <f>Sheet1!C138</f>
        <v>0</v>
      </c>
      <c r="B260" s="717">
        <f>Sheet1!E138</f>
        <v>0</v>
      </c>
      <c r="C260" s="24">
        <f t="shared" si="43"/>
        <v>1.01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t="s">
        <v>3124</v>
      </c>
      <c r="Q260" s="24">
        <f t="shared" si="50"/>
        <v>1</v>
      </c>
      <c r="R260" s="715">
        <f t="shared" ca="1" si="51"/>
        <v>30272</v>
      </c>
      <c r="S260" s="361">
        <f t="shared" ca="1" si="52"/>
        <v>0</v>
      </c>
    </row>
    <row r="261" spans="1:19">
      <c r="A261" s="3008">
        <f>Sheet1!C139</f>
        <v>0</v>
      </c>
      <c r="B261" s="717">
        <f>Sheet1!E139</f>
        <v>0</v>
      </c>
      <c r="C261" s="24">
        <f t="shared" si="43"/>
        <v>1.01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t="s">
        <v>3124</v>
      </c>
      <c r="Q261" s="24">
        <f t="shared" si="50"/>
        <v>1</v>
      </c>
      <c r="R261" s="715">
        <f t="shared" ca="1" si="51"/>
        <v>30272</v>
      </c>
      <c r="S261" s="361">
        <f t="shared" ca="1" si="52"/>
        <v>0</v>
      </c>
    </row>
    <row r="262" spans="1:19">
      <c r="A262" s="3008">
        <f>Sheet1!C140</f>
        <v>0</v>
      </c>
      <c r="B262" s="717">
        <f>Sheet1!E140</f>
        <v>0</v>
      </c>
      <c r="C262" s="24">
        <f t="shared" si="43"/>
        <v>1.01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t="s">
        <v>3124</v>
      </c>
      <c r="Q262" s="24">
        <f t="shared" si="50"/>
        <v>1</v>
      </c>
      <c r="R262" s="715">
        <f t="shared" ca="1" si="51"/>
        <v>30272</v>
      </c>
      <c r="S262" s="361">
        <f t="shared" ca="1" si="52"/>
        <v>0</v>
      </c>
    </row>
    <row r="263" spans="1:19">
      <c r="A263" s="3008">
        <f>Sheet1!C141</f>
        <v>0</v>
      </c>
      <c r="B263" s="717">
        <f>Sheet1!E141</f>
        <v>0</v>
      </c>
      <c r="C263" s="24">
        <f t="shared" si="43"/>
        <v>1.01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t="s">
        <v>3124</v>
      </c>
      <c r="Q263" s="24">
        <f t="shared" si="50"/>
        <v>1</v>
      </c>
      <c r="R263" s="715">
        <f t="shared" ca="1" si="51"/>
        <v>30272</v>
      </c>
      <c r="S263" s="361">
        <f t="shared" ca="1" si="52"/>
        <v>0</v>
      </c>
    </row>
    <row r="264" spans="1:19">
      <c r="A264" s="3008">
        <f>Sheet1!C142</f>
        <v>0</v>
      </c>
      <c r="B264" s="717">
        <f>Sheet1!E142</f>
        <v>0</v>
      </c>
      <c r="C264" s="24">
        <f t="shared" si="43"/>
        <v>1.01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t="s">
        <v>3124</v>
      </c>
      <c r="Q264" s="24">
        <f t="shared" si="50"/>
        <v>1</v>
      </c>
      <c r="R264" s="715">
        <f t="shared" ca="1" si="51"/>
        <v>30272</v>
      </c>
      <c r="S264" s="361">
        <f t="shared" ca="1" si="52"/>
        <v>0</v>
      </c>
    </row>
    <row r="265" spans="1:19">
      <c r="A265" s="3008">
        <f>Sheet1!C143</f>
        <v>0</v>
      </c>
      <c r="B265" s="717">
        <f>Sheet1!E143</f>
        <v>0</v>
      </c>
      <c r="C265" s="24">
        <f t="shared" si="43"/>
        <v>1.01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t="s">
        <v>3124</v>
      </c>
      <c r="Q265" s="24">
        <f t="shared" si="50"/>
        <v>1</v>
      </c>
      <c r="R265" s="715">
        <f t="shared" ca="1" si="51"/>
        <v>30272</v>
      </c>
      <c r="S265" s="361">
        <f t="shared" ca="1" si="52"/>
        <v>0</v>
      </c>
    </row>
    <row r="266" spans="1:19">
      <c r="A266" s="3008">
        <f>Sheet1!C144</f>
        <v>0</v>
      </c>
      <c r="B266" s="717">
        <f>Sheet1!E144</f>
        <v>0</v>
      </c>
      <c r="C266" s="24">
        <f t="shared" si="43"/>
        <v>1.01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t="s">
        <v>3124</v>
      </c>
      <c r="Q266" s="24">
        <f t="shared" si="50"/>
        <v>1</v>
      </c>
      <c r="R266" s="715">
        <f t="shared" ca="1" si="51"/>
        <v>30272</v>
      </c>
      <c r="S266" s="361">
        <f t="shared" ca="1" si="52"/>
        <v>0</v>
      </c>
    </row>
    <row r="267" spans="1:19">
      <c r="A267" s="3008">
        <f>Sheet1!C145</f>
        <v>0</v>
      </c>
      <c r="B267" s="717">
        <f>Sheet1!E145</f>
        <v>0</v>
      </c>
      <c r="C267" s="24">
        <f t="shared" si="43"/>
        <v>1.01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t="s">
        <v>3124</v>
      </c>
      <c r="Q267" s="24">
        <f t="shared" si="50"/>
        <v>1</v>
      </c>
      <c r="R267" s="715">
        <f t="shared" ca="1" si="51"/>
        <v>30272</v>
      </c>
      <c r="S267" s="361">
        <f t="shared" ca="1" si="52"/>
        <v>0</v>
      </c>
    </row>
    <row r="268" spans="1:19">
      <c r="A268" s="3008">
        <f>Sheet1!C146</f>
        <v>0</v>
      </c>
      <c r="B268" s="717">
        <f>Sheet1!E146</f>
        <v>0</v>
      </c>
      <c r="C268" s="24">
        <f t="shared" si="43"/>
        <v>1.01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t="s">
        <v>3124</v>
      </c>
      <c r="Q268" s="24">
        <f t="shared" si="50"/>
        <v>1</v>
      </c>
      <c r="R268" s="715">
        <f t="shared" ca="1" si="51"/>
        <v>30272</v>
      </c>
      <c r="S268" s="361">
        <f t="shared" ca="1" si="52"/>
        <v>0</v>
      </c>
    </row>
    <row r="269" spans="1:19">
      <c r="A269" s="3008">
        <f>Sheet1!C147</f>
        <v>0</v>
      </c>
      <c r="B269" s="717">
        <f>Sheet1!E147</f>
        <v>0</v>
      </c>
      <c r="C269" s="24">
        <f t="shared" si="43"/>
        <v>1.01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t="s">
        <v>3124</v>
      </c>
      <c r="Q269" s="24">
        <f t="shared" si="50"/>
        <v>1</v>
      </c>
      <c r="R269" s="715">
        <f t="shared" ca="1" si="51"/>
        <v>30272</v>
      </c>
      <c r="S269" s="361">
        <f t="shared" ca="1" si="52"/>
        <v>0</v>
      </c>
    </row>
    <row r="270" spans="1:19">
      <c r="A270" s="3008">
        <f>Sheet1!C148</f>
        <v>0</v>
      </c>
      <c r="B270" s="717">
        <f>Sheet1!E148</f>
        <v>0</v>
      </c>
      <c r="C270" s="24">
        <f t="shared" si="43"/>
        <v>1.01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t="s">
        <v>3124</v>
      </c>
      <c r="Q270" s="24">
        <f t="shared" si="50"/>
        <v>1</v>
      </c>
      <c r="R270" s="715">
        <f t="shared" ca="1" si="51"/>
        <v>30272</v>
      </c>
      <c r="S270" s="361">
        <f t="shared" ca="1" si="52"/>
        <v>0</v>
      </c>
    </row>
    <row r="271" spans="1:19">
      <c r="A271" s="3008">
        <f>Sheet1!C149</f>
        <v>0</v>
      </c>
      <c r="B271" s="717">
        <f>Sheet1!E149</f>
        <v>0</v>
      </c>
      <c r="C271" s="24">
        <f t="shared" si="43"/>
        <v>1.01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t="s">
        <v>3124</v>
      </c>
      <c r="Q271" s="24">
        <f t="shared" si="50"/>
        <v>1</v>
      </c>
      <c r="R271" s="715">
        <f t="shared" ca="1" si="51"/>
        <v>30272</v>
      </c>
      <c r="S271" s="361">
        <f t="shared" ca="1" si="52"/>
        <v>0</v>
      </c>
    </row>
    <row r="272" spans="1:19">
      <c r="A272" s="3008">
        <f>Sheet1!C150</f>
        <v>0</v>
      </c>
      <c r="B272" s="717">
        <f>Sheet1!E150</f>
        <v>0</v>
      </c>
      <c r="C272" s="24">
        <f t="shared" si="43"/>
        <v>1.01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t="s">
        <v>3124</v>
      </c>
      <c r="Q272" s="24">
        <f t="shared" si="50"/>
        <v>1</v>
      </c>
      <c r="R272" s="715">
        <f t="shared" ca="1" si="51"/>
        <v>30272</v>
      </c>
      <c r="S272" s="361">
        <f t="shared" ca="1" si="52"/>
        <v>0</v>
      </c>
    </row>
    <row r="273" spans="1:19">
      <c r="A273" s="3008">
        <f>Sheet1!C151</f>
        <v>0</v>
      </c>
      <c r="B273" s="717">
        <f>Sheet1!E151</f>
        <v>0</v>
      </c>
      <c r="C273" s="24">
        <f t="shared" si="43"/>
        <v>1.01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t="s">
        <v>3124</v>
      </c>
      <c r="Q273" s="24">
        <f t="shared" si="50"/>
        <v>1</v>
      </c>
      <c r="R273" s="715">
        <f t="shared" ca="1" si="51"/>
        <v>30272</v>
      </c>
      <c r="S273" s="361">
        <f t="shared" ca="1" si="52"/>
        <v>0</v>
      </c>
    </row>
    <row r="274" spans="1:19">
      <c r="A274" s="3008">
        <f>Sheet1!C152</f>
        <v>0</v>
      </c>
      <c r="B274" s="717">
        <f>Sheet1!E152</f>
        <v>0</v>
      </c>
      <c r="C274" s="24">
        <f t="shared" si="43"/>
        <v>1.01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t="s">
        <v>3124</v>
      </c>
      <c r="Q274" s="24">
        <f t="shared" si="50"/>
        <v>1</v>
      </c>
      <c r="R274" s="715">
        <f t="shared" ca="1" si="51"/>
        <v>30272</v>
      </c>
      <c r="S274" s="361">
        <f t="shared" ca="1" si="52"/>
        <v>0</v>
      </c>
    </row>
    <row r="275" spans="1:19">
      <c r="A275" s="3008">
        <f>Sheet1!C153</f>
        <v>0</v>
      </c>
      <c r="B275" s="717">
        <f>Sheet1!E153</f>
        <v>0</v>
      </c>
      <c r="C275" s="24">
        <f t="shared" si="43"/>
        <v>1.01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t="s">
        <v>3124</v>
      </c>
      <c r="Q275" s="24">
        <f t="shared" si="50"/>
        <v>1</v>
      </c>
      <c r="R275" s="715">
        <f t="shared" ca="1" si="51"/>
        <v>30272</v>
      </c>
      <c r="S275" s="361">
        <f t="shared" ca="1" si="52"/>
        <v>0</v>
      </c>
    </row>
    <row r="276" spans="1:19">
      <c r="A276" s="3008">
        <f>Sheet1!C154</f>
        <v>0</v>
      </c>
      <c r="B276" s="717">
        <f>Sheet1!E154</f>
        <v>0</v>
      </c>
      <c r="C276" s="24">
        <f t="shared" si="43"/>
        <v>1.01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t="s">
        <v>3124</v>
      </c>
      <c r="Q276" s="24">
        <f t="shared" si="50"/>
        <v>1</v>
      </c>
      <c r="R276" s="715">
        <f t="shared" ca="1" si="51"/>
        <v>30272</v>
      </c>
      <c r="S276" s="361">
        <f t="shared" ca="1" si="52"/>
        <v>0</v>
      </c>
    </row>
    <row r="277" spans="1:19">
      <c r="A277" s="3008">
        <f>Sheet1!C155</f>
        <v>0</v>
      </c>
      <c r="B277" s="717">
        <f>Sheet1!E155</f>
        <v>0</v>
      </c>
      <c r="C277" s="24">
        <f t="shared" si="43"/>
        <v>1.01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t="s">
        <v>3124</v>
      </c>
      <c r="Q277" s="24">
        <f t="shared" si="50"/>
        <v>1</v>
      </c>
      <c r="R277" s="715">
        <f t="shared" ca="1" si="51"/>
        <v>30272</v>
      </c>
      <c r="S277" s="361">
        <f t="shared" ca="1" si="52"/>
        <v>0</v>
      </c>
    </row>
    <row r="278" spans="1:19">
      <c r="A278" s="3008">
        <f>Sheet1!C156</f>
        <v>0</v>
      </c>
      <c r="B278" s="717">
        <f>Sheet1!E156</f>
        <v>0</v>
      </c>
      <c r="C278" s="24">
        <f t="shared" si="43"/>
        <v>1.01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t="s">
        <v>3124</v>
      </c>
      <c r="Q278" s="24">
        <f t="shared" si="50"/>
        <v>1</v>
      </c>
      <c r="R278" s="715">
        <f t="shared" ca="1" si="51"/>
        <v>30272</v>
      </c>
      <c r="S278" s="361">
        <f t="shared" ca="1" si="52"/>
        <v>0</v>
      </c>
    </row>
    <row r="279" spans="1:19">
      <c r="A279" s="3008">
        <f>Sheet1!C157</f>
        <v>0</v>
      </c>
      <c r="B279" s="717">
        <f>Sheet1!E157</f>
        <v>0</v>
      </c>
      <c r="C279" s="24">
        <f t="shared" si="43"/>
        <v>1.01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t="s">
        <v>3124</v>
      </c>
      <c r="Q279" s="24">
        <f t="shared" si="50"/>
        <v>1</v>
      </c>
      <c r="R279" s="715">
        <f t="shared" ca="1" si="51"/>
        <v>30272</v>
      </c>
      <c r="S279" s="361">
        <f t="shared" ca="1" si="52"/>
        <v>0</v>
      </c>
    </row>
    <row r="280" spans="1:19">
      <c r="A280" s="3008">
        <f>Sheet1!C158</f>
        <v>0</v>
      </c>
      <c r="B280" s="717">
        <f>Sheet1!E158</f>
        <v>0</v>
      </c>
      <c r="C280" s="24">
        <f t="shared" si="43"/>
        <v>1.01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t="s">
        <v>3124</v>
      </c>
      <c r="Q280" s="24">
        <f t="shared" si="50"/>
        <v>1</v>
      </c>
      <c r="R280" s="715">
        <f t="shared" ca="1" si="51"/>
        <v>30272</v>
      </c>
      <c r="S280" s="361">
        <f t="shared" ca="1" si="52"/>
        <v>0</v>
      </c>
    </row>
    <row r="281" spans="1:19">
      <c r="A281" s="3008">
        <f>Sheet1!C159</f>
        <v>0</v>
      </c>
      <c r="B281" s="717">
        <f>Sheet1!E159</f>
        <v>0</v>
      </c>
      <c r="C281" s="24">
        <f t="shared" si="43"/>
        <v>1.01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t="s">
        <v>3124</v>
      </c>
      <c r="Q281" s="24">
        <f t="shared" si="50"/>
        <v>1</v>
      </c>
      <c r="R281" s="715">
        <f t="shared" ca="1" si="51"/>
        <v>30272</v>
      </c>
      <c r="S281" s="361">
        <f t="shared" ca="1" si="52"/>
        <v>0</v>
      </c>
    </row>
    <row r="282" spans="1:19">
      <c r="A282" s="3008">
        <f>Sheet1!C160</f>
        <v>0</v>
      </c>
      <c r="B282" s="717">
        <f>Sheet1!E160</f>
        <v>0</v>
      </c>
      <c r="C282" s="24">
        <f t="shared" ref="C282:C345" si="53">IF(B282="",1,(LOOKUP(B282,$3:$3,$4:$4)-LOOKUP($B$24,$3:$3,$4:$4)+100)/100)</f>
        <v>1.01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t="s">
        <v>3124</v>
      </c>
      <c r="Q282" s="24">
        <f t="shared" ref="Q282:Q345" si="60">(SUMIF($17:$17,P282,$18:$18)-SUMIF($17:$17,$P$24,$18:$18)+100)/100</f>
        <v>1</v>
      </c>
      <c r="R282" s="715">
        <f t="shared" ref="R282:R345" ca="1" si="61">IF(B282="",0,ROUND($R$24*C282*E282*G282*I282*K282*M282*O282*Q282,0))</f>
        <v>30272</v>
      </c>
      <c r="S282" s="361">
        <f t="shared" ca="1" si="52"/>
        <v>0</v>
      </c>
    </row>
    <row r="283" spans="1:19">
      <c r="A283" s="3008">
        <f>Sheet1!C161</f>
        <v>0</v>
      </c>
      <c r="B283" s="717">
        <f>Sheet1!E161</f>
        <v>0</v>
      </c>
      <c r="C283" s="24">
        <f t="shared" si="53"/>
        <v>1.01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t="s">
        <v>3124</v>
      </c>
      <c r="Q283" s="24">
        <f t="shared" si="60"/>
        <v>1</v>
      </c>
      <c r="R283" s="715">
        <f t="shared" ca="1" si="61"/>
        <v>30272</v>
      </c>
      <c r="S283" s="361">
        <f t="shared" ca="1" si="52"/>
        <v>0</v>
      </c>
    </row>
    <row r="284" spans="1:19">
      <c r="A284" s="3008">
        <f>Sheet1!C162</f>
        <v>0</v>
      </c>
      <c r="B284" s="717">
        <f>Sheet1!E162</f>
        <v>0</v>
      </c>
      <c r="C284" s="24">
        <f t="shared" si="53"/>
        <v>1.01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t="s">
        <v>3124</v>
      </c>
      <c r="Q284" s="24">
        <f t="shared" si="60"/>
        <v>1</v>
      </c>
      <c r="R284" s="715">
        <f t="shared" ca="1" si="61"/>
        <v>30272</v>
      </c>
      <c r="S284" s="361">
        <f t="shared" ca="1" si="52"/>
        <v>0</v>
      </c>
    </row>
    <row r="285" spans="1:19">
      <c r="A285" s="3008">
        <f>Sheet1!C163</f>
        <v>0</v>
      </c>
      <c r="B285" s="717">
        <f>Sheet1!E163</f>
        <v>0</v>
      </c>
      <c r="C285" s="24">
        <f t="shared" si="53"/>
        <v>1.01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t="s">
        <v>3124</v>
      </c>
      <c r="Q285" s="24">
        <f t="shared" si="60"/>
        <v>1</v>
      </c>
      <c r="R285" s="715">
        <f t="shared" ca="1" si="61"/>
        <v>30272</v>
      </c>
      <c r="S285" s="361">
        <f t="shared" ca="1" si="52"/>
        <v>0</v>
      </c>
    </row>
    <row r="286" spans="1:19">
      <c r="A286" s="3008">
        <f>Sheet1!C164</f>
        <v>0</v>
      </c>
      <c r="B286" s="717">
        <f>Sheet1!E164</f>
        <v>0</v>
      </c>
      <c r="C286" s="24">
        <f t="shared" si="53"/>
        <v>1.01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t="s">
        <v>3124</v>
      </c>
      <c r="Q286" s="24">
        <f t="shared" si="60"/>
        <v>1</v>
      </c>
      <c r="R286" s="715">
        <f t="shared" ca="1" si="61"/>
        <v>30272</v>
      </c>
      <c r="S286" s="361">
        <f t="shared" ca="1" si="52"/>
        <v>0</v>
      </c>
    </row>
    <row r="287" spans="1:19">
      <c r="A287" s="3008">
        <f>Sheet1!C165</f>
        <v>0</v>
      </c>
      <c r="B287" s="717">
        <f>Sheet1!E165</f>
        <v>0</v>
      </c>
      <c r="C287" s="24">
        <f t="shared" si="53"/>
        <v>1.01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t="s">
        <v>3124</v>
      </c>
      <c r="Q287" s="24">
        <f t="shared" si="60"/>
        <v>1</v>
      </c>
      <c r="R287" s="715">
        <f t="shared" ca="1" si="61"/>
        <v>30272</v>
      </c>
      <c r="S287" s="361">
        <f t="shared" ref="S287:S320" ca="1" si="62">ROUND(R287*B287/10000,0)</f>
        <v>0</v>
      </c>
    </row>
    <row r="288" spans="1:19">
      <c r="A288" s="3008">
        <f>Sheet1!C166</f>
        <v>0</v>
      </c>
      <c r="B288" s="717">
        <f>Sheet1!E166</f>
        <v>0</v>
      </c>
      <c r="C288" s="24">
        <f t="shared" si="53"/>
        <v>1.01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t="s">
        <v>3124</v>
      </c>
      <c r="Q288" s="24">
        <f t="shared" si="60"/>
        <v>1</v>
      </c>
      <c r="R288" s="715">
        <f t="shared" ca="1" si="61"/>
        <v>30272</v>
      </c>
      <c r="S288" s="361">
        <f t="shared" ca="1" si="62"/>
        <v>0</v>
      </c>
    </row>
    <row r="289" spans="1:19">
      <c r="A289" s="3008">
        <f>Sheet1!C167</f>
        <v>0</v>
      </c>
      <c r="B289" s="717">
        <f>Sheet1!E167</f>
        <v>0</v>
      </c>
      <c r="C289" s="24">
        <f t="shared" si="53"/>
        <v>1.01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t="s">
        <v>3124</v>
      </c>
      <c r="Q289" s="24">
        <f t="shared" si="60"/>
        <v>1</v>
      </c>
      <c r="R289" s="715">
        <f t="shared" ca="1" si="61"/>
        <v>30272</v>
      </c>
      <c r="S289" s="361">
        <f t="shared" ca="1" si="62"/>
        <v>0</v>
      </c>
    </row>
    <row r="290" spans="1:19">
      <c r="A290" s="3008">
        <f>Sheet1!C168</f>
        <v>0</v>
      </c>
      <c r="B290" s="717">
        <f>Sheet1!E168</f>
        <v>0</v>
      </c>
      <c r="C290" s="24">
        <f t="shared" si="53"/>
        <v>1.01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t="s">
        <v>3124</v>
      </c>
      <c r="Q290" s="24">
        <f t="shared" si="60"/>
        <v>1</v>
      </c>
      <c r="R290" s="715">
        <f t="shared" ca="1" si="61"/>
        <v>30272</v>
      </c>
      <c r="S290" s="361">
        <f t="shared" ca="1" si="62"/>
        <v>0</v>
      </c>
    </row>
    <row r="291" spans="1:19">
      <c r="A291" s="3008">
        <f>Sheet1!C169</f>
        <v>0</v>
      </c>
      <c r="B291" s="717">
        <f>Sheet1!E169</f>
        <v>0</v>
      </c>
      <c r="C291" s="24">
        <f t="shared" si="53"/>
        <v>1.01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t="s">
        <v>3124</v>
      </c>
      <c r="Q291" s="24">
        <f t="shared" si="60"/>
        <v>1</v>
      </c>
      <c r="R291" s="715">
        <f t="shared" ca="1" si="61"/>
        <v>30272</v>
      </c>
      <c r="S291" s="361">
        <f t="shared" ca="1" si="62"/>
        <v>0</v>
      </c>
    </row>
    <row r="292" spans="1:19">
      <c r="A292" s="3008">
        <f>Sheet1!C170</f>
        <v>0</v>
      </c>
      <c r="B292" s="717">
        <f>Sheet1!E170</f>
        <v>0</v>
      </c>
      <c r="C292" s="24">
        <f t="shared" si="53"/>
        <v>1.01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t="s">
        <v>3124</v>
      </c>
      <c r="Q292" s="24">
        <f t="shared" si="60"/>
        <v>1</v>
      </c>
      <c r="R292" s="715">
        <f t="shared" ca="1" si="61"/>
        <v>30272</v>
      </c>
      <c r="S292" s="361">
        <f t="shared" ca="1" si="62"/>
        <v>0</v>
      </c>
    </row>
    <row r="293" spans="1:19">
      <c r="A293" s="3008">
        <f>Sheet1!C171</f>
        <v>0</v>
      </c>
      <c r="B293" s="717">
        <f>Sheet1!E171</f>
        <v>0</v>
      </c>
      <c r="C293" s="24">
        <f t="shared" si="53"/>
        <v>1.01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t="s">
        <v>3124</v>
      </c>
      <c r="Q293" s="24">
        <f t="shared" si="60"/>
        <v>1</v>
      </c>
      <c r="R293" s="715">
        <f t="shared" ca="1" si="61"/>
        <v>30272</v>
      </c>
      <c r="S293" s="361">
        <f t="shared" ca="1" si="62"/>
        <v>0</v>
      </c>
    </row>
    <row r="294" spans="1:19">
      <c r="A294" s="3008">
        <f>Sheet1!C172</f>
        <v>0</v>
      </c>
      <c r="B294" s="717">
        <f>Sheet1!E172</f>
        <v>0</v>
      </c>
      <c r="C294" s="24">
        <f t="shared" si="53"/>
        <v>1.01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t="s">
        <v>3124</v>
      </c>
      <c r="Q294" s="24">
        <f t="shared" si="60"/>
        <v>1</v>
      </c>
      <c r="R294" s="715">
        <f t="shared" ca="1" si="61"/>
        <v>30272</v>
      </c>
      <c r="S294" s="361">
        <f t="shared" ca="1" si="62"/>
        <v>0</v>
      </c>
    </row>
    <row r="295" spans="1:19">
      <c r="A295" s="3008">
        <f>Sheet1!C173</f>
        <v>0</v>
      </c>
      <c r="B295" s="717">
        <f>Sheet1!E173</f>
        <v>0</v>
      </c>
      <c r="C295" s="24">
        <f t="shared" si="53"/>
        <v>1.01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t="s">
        <v>3124</v>
      </c>
      <c r="Q295" s="24">
        <f t="shared" si="60"/>
        <v>1</v>
      </c>
      <c r="R295" s="715">
        <f t="shared" ca="1" si="61"/>
        <v>30272</v>
      </c>
      <c r="S295" s="361">
        <f t="shared" ca="1" si="62"/>
        <v>0</v>
      </c>
    </row>
    <row r="296" spans="1:19">
      <c r="A296" s="3008">
        <f>Sheet1!C174</f>
        <v>0</v>
      </c>
      <c r="B296" s="717">
        <f>Sheet1!E174</f>
        <v>0</v>
      </c>
      <c r="C296" s="24">
        <f t="shared" si="53"/>
        <v>1.01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t="s">
        <v>3124</v>
      </c>
      <c r="Q296" s="24">
        <f t="shared" si="60"/>
        <v>1</v>
      </c>
      <c r="R296" s="715">
        <f t="shared" ca="1" si="61"/>
        <v>30272</v>
      </c>
      <c r="S296" s="361">
        <f t="shared" ca="1" si="62"/>
        <v>0</v>
      </c>
    </row>
    <row r="297" spans="1:19">
      <c r="A297" s="3008">
        <f>Sheet1!C175</f>
        <v>0</v>
      </c>
      <c r="B297" s="717">
        <f>Sheet1!E175</f>
        <v>0</v>
      </c>
      <c r="C297" s="24">
        <f t="shared" si="53"/>
        <v>1.01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t="s">
        <v>3124</v>
      </c>
      <c r="Q297" s="24">
        <f t="shared" si="60"/>
        <v>1</v>
      </c>
      <c r="R297" s="715">
        <f t="shared" ca="1" si="61"/>
        <v>30272</v>
      </c>
      <c r="S297" s="361">
        <f t="shared" ca="1" si="62"/>
        <v>0</v>
      </c>
    </row>
    <row r="298" spans="1:19">
      <c r="A298" s="3008">
        <f>Sheet1!C176</f>
        <v>0</v>
      </c>
      <c r="B298" s="717">
        <f>Sheet1!E176</f>
        <v>0</v>
      </c>
      <c r="C298" s="24">
        <f t="shared" si="53"/>
        <v>1.01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t="s">
        <v>3124</v>
      </c>
      <c r="Q298" s="24">
        <f t="shared" si="60"/>
        <v>1</v>
      </c>
      <c r="R298" s="715">
        <f t="shared" ca="1" si="61"/>
        <v>30272</v>
      </c>
      <c r="S298" s="361">
        <f t="shared" ca="1" si="62"/>
        <v>0</v>
      </c>
    </row>
    <row r="299" spans="1:19">
      <c r="A299" s="3008">
        <f>Sheet1!C177</f>
        <v>0</v>
      </c>
      <c r="B299" s="717">
        <f>Sheet1!E177</f>
        <v>0</v>
      </c>
      <c r="C299" s="24">
        <f t="shared" si="53"/>
        <v>1.01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t="s">
        <v>3124</v>
      </c>
      <c r="Q299" s="24">
        <f t="shared" si="60"/>
        <v>1</v>
      </c>
      <c r="R299" s="715">
        <f t="shared" ca="1" si="61"/>
        <v>30272</v>
      </c>
      <c r="S299" s="361">
        <f t="shared" ca="1" si="62"/>
        <v>0</v>
      </c>
    </row>
    <row r="300" spans="1:19">
      <c r="A300" s="3008">
        <f>Sheet1!C178</f>
        <v>0</v>
      </c>
      <c r="B300" s="717">
        <f>Sheet1!E178</f>
        <v>0</v>
      </c>
      <c r="C300" s="24">
        <f t="shared" si="53"/>
        <v>1.01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t="s">
        <v>3124</v>
      </c>
      <c r="Q300" s="24">
        <f t="shared" si="60"/>
        <v>1</v>
      </c>
      <c r="R300" s="715">
        <f t="shared" ca="1" si="61"/>
        <v>30272</v>
      </c>
      <c r="S300" s="361">
        <f t="shared" ca="1" si="62"/>
        <v>0</v>
      </c>
    </row>
    <row r="301" spans="1:19">
      <c r="A301" s="3008">
        <f>Sheet1!C179</f>
        <v>0</v>
      </c>
      <c r="B301" s="717">
        <f>Sheet1!E179</f>
        <v>0</v>
      </c>
      <c r="C301" s="24">
        <f t="shared" si="53"/>
        <v>1.01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t="s">
        <v>3124</v>
      </c>
      <c r="Q301" s="24">
        <f t="shared" si="60"/>
        <v>1</v>
      </c>
      <c r="R301" s="715">
        <f t="shared" ca="1" si="61"/>
        <v>30272</v>
      </c>
      <c r="S301" s="361">
        <f t="shared" ca="1" si="62"/>
        <v>0</v>
      </c>
    </row>
    <row r="302" spans="1:19">
      <c r="A302" s="3008">
        <f>Sheet1!C180</f>
        <v>0</v>
      </c>
      <c r="B302" s="717">
        <f>Sheet1!E180</f>
        <v>0</v>
      </c>
      <c r="C302" s="24">
        <f t="shared" si="53"/>
        <v>1.01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t="s">
        <v>3124</v>
      </c>
      <c r="Q302" s="24">
        <f t="shared" si="60"/>
        <v>1</v>
      </c>
      <c r="R302" s="715">
        <f t="shared" ca="1" si="61"/>
        <v>30272</v>
      </c>
      <c r="S302" s="361">
        <f t="shared" ca="1" si="62"/>
        <v>0</v>
      </c>
    </row>
    <row r="303" spans="1:19">
      <c r="A303" s="3008">
        <f>Sheet1!C181</f>
        <v>0</v>
      </c>
      <c r="B303" s="717">
        <f>Sheet1!E181</f>
        <v>0</v>
      </c>
      <c r="C303" s="24">
        <f t="shared" si="53"/>
        <v>1.01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t="s">
        <v>3124</v>
      </c>
      <c r="Q303" s="24">
        <f t="shared" si="60"/>
        <v>1</v>
      </c>
      <c r="R303" s="715">
        <f t="shared" ca="1" si="61"/>
        <v>30272</v>
      </c>
      <c r="S303" s="361">
        <f t="shared" ca="1" si="62"/>
        <v>0</v>
      </c>
    </row>
    <row r="304" spans="1:19">
      <c r="A304" s="3008">
        <f>Sheet1!C182</f>
        <v>0</v>
      </c>
      <c r="B304" s="717">
        <f>Sheet1!E182</f>
        <v>0</v>
      </c>
      <c r="C304" s="24">
        <f t="shared" si="53"/>
        <v>1.01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t="s">
        <v>3124</v>
      </c>
      <c r="Q304" s="24">
        <f t="shared" si="60"/>
        <v>1</v>
      </c>
      <c r="R304" s="715">
        <f t="shared" ca="1" si="61"/>
        <v>30272</v>
      </c>
      <c r="S304" s="361">
        <f t="shared" ca="1" si="62"/>
        <v>0</v>
      </c>
    </row>
    <row r="305" spans="1:19">
      <c r="A305" s="3008">
        <f>Sheet1!C183</f>
        <v>0</v>
      </c>
      <c r="B305" s="717">
        <f>Sheet1!E183</f>
        <v>0</v>
      </c>
      <c r="C305" s="24">
        <f t="shared" si="53"/>
        <v>1.01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t="s">
        <v>3124</v>
      </c>
      <c r="Q305" s="24">
        <f t="shared" si="60"/>
        <v>1</v>
      </c>
      <c r="R305" s="715">
        <f t="shared" ca="1" si="61"/>
        <v>30272</v>
      </c>
      <c r="S305" s="361">
        <f t="shared" ca="1" si="62"/>
        <v>0</v>
      </c>
    </row>
    <row r="306" spans="1:19">
      <c r="A306" s="3008">
        <f>Sheet1!C184</f>
        <v>0</v>
      </c>
      <c r="B306" s="717">
        <f>Sheet1!E184</f>
        <v>0</v>
      </c>
      <c r="C306" s="24">
        <f t="shared" si="53"/>
        <v>1.01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t="s">
        <v>3124</v>
      </c>
      <c r="Q306" s="24">
        <f t="shared" si="60"/>
        <v>1</v>
      </c>
      <c r="R306" s="715">
        <f t="shared" ca="1" si="61"/>
        <v>30272</v>
      </c>
      <c r="S306" s="361">
        <f t="shared" ca="1" si="62"/>
        <v>0</v>
      </c>
    </row>
    <row r="307" spans="1:19">
      <c r="A307" s="3008">
        <f>Sheet1!C185</f>
        <v>0</v>
      </c>
      <c r="B307" s="717">
        <f>Sheet1!E185</f>
        <v>0</v>
      </c>
      <c r="C307" s="24">
        <f t="shared" si="53"/>
        <v>1.01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t="s">
        <v>3124</v>
      </c>
      <c r="Q307" s="24">
        <f t="shared" si="60"/>
        <v>1</v>
      </c>
      <c r="R307" s="715">
        <f t="shared" ca="1" si="61"/>
        <v>30272</v>
      </c>
      <c r="S307" s="361">
        <f t="shared" ca="1" si="62"/>
        <v>0</v>
      </c>
    </row>
    <row r="308" spans="1:19">
      <c r="A308" s="3008">
        <f>Sheet1!C186</f>
        <v>0</v>
      </c>
      <c r="B308" s="717">
        <f>Sheet1!E186</f>
        <v>0</v>
      </c>
      <c r="C308" s="24">
        <f t="shared" si="53"/>
        <v>1.01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t="s">
        <v>3124</v>
      </c>
      <c r="Q308" s="24">
        <f t="shared" si="60"/>
        <v>1</v>
      </c>
      <c r="R308" s="715">
        <f t="shared" ca="1" si="61"/>
        <v>30272</v>
      </c>
      <c r="S308" s="361">
        <f t="shared" ca="1" si="62"/>
        <v>0</v>
      </c>
    </row>
    <row r="309" spans="1:19">
      <c r="A309" s="3008">
        <f>Sheet1!C187</f>
        <v>0</v>
      </c>
      <c r="B309" s="717">
        <f>Sheet1!E187</f>
        <v>0</v>
      </c>
      <c r="C309" s="24">
        <f t="shared" si="53"/>
        <v>1.01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t="s">
        <v>3124</v>
      </c>
      <c r="Q309" s="24">
        <f t="shared" si="60"/>
        <v>1</v>
      </c>
      <c r="R309" s="715">
        <f t="shared" ca="1" si="61"/>
        <v>30272</v>
      </c>
      <c r="S309" s="361">
        <f t="shared" ca="1" si="62"/>
        <v>0</v>
      </c>
    </row>
    <row r="310" spans="1:19">
      <c r="A310" s="3008">
        <f>Sheet1!C188</f>
        <v>0</v>
      </c>
      <c r="B310" s="717">
        <f>Sheet1!E188</f>
        <v>0</v>
      </c>
      <c r="C310" s="24">
        <f t="shared" si="53"/>
        <v>1.01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t="s">
        <v>3124</v>
      </c>
      <c r="Q310" s="24">
        <f t="shared" si="60"/>
        <v>1</v>
      </c>
      <c r="R310" s="715">
        <f t="shared" ca="1" si="61"/>
        <v>30272</v>
      </c>
      <c r="S310" s="361">
        <f t="shared" ca="1" si="62"/>
        <v>0</v>
      </c>
    </row>
    <row r="311" spans="1:19">
      <c r="A311" s="3008">
        <f>Sheet1!C189</f>
        <v>0</v>
      </c>
      <c r="B311" s="717">
        <f>Sheet1!E189</f>
        <v>0</v>
      </c>
      <c r="C311" s="24">
        <f t="shared" si="53"/>
        <v>1.01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t="s">
        <v>3124</v>
      </c>
      <c r="Q311" s="24">
        <f t="shared" si="60"/>
        <v>1</v>
      </c>
      <c r="R311" s="715">
        <f t="shared" ca="1" si="61"/>
        <v>30272</v>
      </c>
      <c r="S311" s="361">
        <f t="shared" ca="1" si="62"/>
        <v>0</v>
      </c>
    </row>
    <row r="312" spans="1:19">
      <c r="A312" s="3008">
        <f>Sheet1!C190</f>
        <v>0</v>
      </c>
      <c r="B312" s="717">
        <f>Sheet1!E190</f>
        <v>0</v>
      </c>
      <c r="C312" s="24">
        <f t="shared" si="53"/>
        <v>1.01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t="s">
        <v>3124</v>
      </c>
      <c r="Q312" s="24">
        <f t="shared" si="60"/>
        <v>1</v>
      </c>
      <c r="R312" s="715">
        <f t="shared" ca="1" si="61"/>
        <v>30272</v>
      </c>
      <c r="S312" s="361">
        <f t="shared" ca="1" si="62"/>
        <v>0</v>
      </c>
    </row>
    <row r="313" spans="1:19">
      <c r="A313" s="3008">
        <f>Sheet1!C191</f>
        <v>0</v>
      </c>
      <c r="B313" s="717">
        <f>Sheet1!E191</f>
        <v>0</v>
      </c>
      <c r="C313" s="24">
        <f t="shared" si="53"/>
        <v>1.01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t="s">
        <v>3124</v>
      </c>
      <c r="Q313" s="24">
        <f t="shared" si="60"/>
        <v>1</v>
      </c>
      <c r="R313" s="715">
        <f t="shared" ca="1" si="61"/>
        <v>30272</v>
      </c>
      <c r="S313" s="361">
        <f t="shared" ca="1" si="62"/>
        <v>0</v>
      </c>
    </row>
    <row r="314" spans="1:19">
      <c r="A314" s="3008">
        <f>Sheet1!C192</f>
        <v>0</v>
      </c>
      <c r="B314" s="717">
        <f>Sheet1!E192</f>
        <v>0</v>
      </c>
      <c r="C314" s="24">
        <f t="shared" si="53"/>
        <v>1.01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t="s">
        <v>3124</v>
      </c>
      <c r="Q314" s="24">
        <f t="shared" si="60"/>
        <v>1</v>
      </c>
      <c r="R314" s="715">
        <f t="shared" ca="1" si="61"/>
        <v>30272</v>
      </c>
      <c r="S314" s="361">
        <f t="shared" ca="1" si="62"/>
        <v>0</v>
      </c>
    </row>
    <row r="315" spans="1:19">
      <c r="A315" s="3008">
        <f>Sheet1!C193</f>
        <v>0</v>
      </c>
      <c r="B315" s="717">
        <f>Sheet1!E193</f>
        <v>0</v>
      </c>
      <c r="C315" s="24">
        <f t="shared" si="53"/>
        <v>1.01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t="s">
        <v>3228</v>
      </c>
      <c r="Q315" s="24">
        <f t="shared" si="60"/>
        <v>0.85</v>
      </c>
      <c r="R315" s="715">
        <f t="shared" ca="1" si="61"/>
        <v>25731</v>
      </c>
      <c r="S315" s="361">
        <f t="shared" ca="1" si="62"/>
        <v>0</v>
      </c>
    </row>
    <row r="316" spans="1:19">
      <c r="A316" s="3008">
        <f>Sheet1!C194</f>
        <v>0</v>
      </c>
      <c r="B316" s="717">
        <f>Sheet1!E194</f>
        <v>0</v>
      </c>
      <c r="C316" s="24">
        <f t="shared" si="53"/>
        <v>1.01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t="s">
        <v>3228</v>
      </c>
      <c r="Q316" s="24">
        <f t="shared" si="60"/>
        <v>0.85</v>
      </c>
      <c r="R316" s="715">
        <f t="shared" ca="1" si="61"/>
        <v>25731</v>
      </c>
      <c r="S316" s="361">
        <f t="shared" ca="1" si="62"/>
        <v>0</v>
      </c>
    </row>
    <row r="317" spans="1:19">
      <c r="A317" s="3008">
        <f>Sheet1!C195</f>
        <v>0</v>
      </c>
      <c r="B317" s="717">
        <f>Sheet1!E195</f>
        <v>0</v>
      </c>
      <c r="C317" s="24">
        <f t="shared" si="53"/>
        <v>1.01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t="s">
        <v>3228</v>
      </c>
      <c r="Q317" s="24">
        <f t="shared" si="60"/>
        <v>0.85</v>
      </c>
      <c r="R317" s="715">
        <f t="shared" ca="1" si="61"/>
        <v>25731</v>
      </c>
      <c r="S317" s="361">
        <f t="shared" ca="1" si="62"/>
        <v>0</v>
      </c>
    </row>
    <row r="318" spans="1:19">
      <c r="A318" s="3008">
        <f>Sheet1!C196</f>
        <v>0</v>
      </c>
      <c r="B318" s="717">
        <f>Sheet1!E196</f>
        <v>0</v>
      </c>
      <c r="C318" s="24">
        <f t="shared" si="53"/>
        <v>1.01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t="s">
        <v>3228</v>
      </c>
      <c r="Q318" s="24">
        <f t="shared" si="60"/>
        <v>0.85</v>
      </c>
      <c r="R318" s="715">
        <f t="shared" ca="1" si="61"/>
        <v>25731</v>
      </c>
      <c r="S318" s="361">
        <f t="shared" ca="1" si="62"/>
        <v>0</v>
      </c>
    </row>
    <row r="319" spans="1:19">
      <c r="A319" s="3008">
        <f>Sheet1!C197</f>
        <v>0</v>
      </c>
      <c r="B319" s="717">
        <f>Sheet1!E197</f>
        <v>0</v>
      </c>
      <c r="C319" s="24">
        <f t="shared" si="53"/>
        <v>1.01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t="s">
        <v>3228</v>
      </c>
      <c r="Q319" s="24">
        <f t="shared" si="60"/>
        <v>0.85</v>
      </c>
      <c r="R319" s="715">
        <f t="shared" ca="1" si="61"/>
        <v>25731</v>
      </c>
      <c r="S319" s="361">
        <f t="shared" ca="1" si="62"/>
        <v>0</v>
      </c>
    </row>
    <row r="320" spans="1:19">
      <c r="A320" s="3008">
        <f>Sheet1!C198</f>
        <v>0</v>
      </c>
      <c r="B320" s="717">
        <f>Sheet1!E198</f>
        <v>0</v>
      </c>
      <c r="C320" s="24">
        <f t="shared" si="53"/>
        <v>1.01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t="s">
        <v>3124</v>
      </c>
      <c r="Q320" s="24">
        <f t="shared" si="60"/>
        <v>1</v>
      </c>
      <c r="R320" s="715">
        <f t="shared" ca="1" si="61"/>
        <v>30272</v>
      </c>
      <c r="S320" s="361">
        <f t="shared" ca="1" si="62"/>
        <v>0</v>
      </c>
    </row>
    <row r="321" spans="1:19">
      <c r="A321" s="3008">
        <f>Sheet1!C199</f>
        <v>0</v>
      </c>
      <c r="B321" s="717">
        <f>Sheet1!E199</f>
        <v>0</v>
      </c>
      <c r="C321" s="24">
        <f t="shared" si="53"/>
        <v>1.01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t="s">
        <v>3124</v>
      </c>
      <c r="Q321" s="24">
        <f t="shared" si="60"/>
        <v>1</v>
      </c>
      <c r="R321" s="715">
        <f t="shared" ca="1" si="61"/>
        <v>30272</v>
      </c>
      <c r="S321" s="361">
        <f t="shared" ref="S321:S384" ca="1" si="63">ROUND(R321*B321/10000,0)</f>
        <v>0</v>
      </c>
    </row>
    <row r="322" spans="1:19">
      <c r="A322" s="3008">
        <f>Sheet1!C200</f>
        <v>0</v>
      </c>
      <c r="B322" s="717">
        <f>Sheet1!E200</f>
        <v>0</v>
      </c>
      <c r="C322" s="24">
        <f t="shared" si="53"/>
        <v>1.01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t="s">
        <v>3124</v>
      </c>
      <c r="Q322" s="24">
        <f t="shared" si="60"/>
        <v>1</v>
      </c>
      <c r="R322" s="715">
        <f t="shared" ca="1" si="61"/>
        <v>30272</v>
      </c>
      <c r="S322" s="361">
        <f t="shared" ca="1" si="63"/>
        <v>0</v>
      </c>
    </row>
    <row r="323" spans="1:19">
      <c r="A323" s="3008">
        <f>Sheet1!C201</f>
        <v>0</v>
      </c>
      <c r="B323" s="717">
        <f>Sheet1!E201</f>
        <v>0</v>
      </c>
      <c r="C323" s="24">
        <f t="shared" si="53"/>
        <v>1.01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t="s">
        <v>3124</v>
      </c>
      <c r="Q323" s="24">
        <f t="shared" si="60"/>
        <v>1</v>
      </c>
      <c r="R323" s="715">
        <f t="shared" ca="1" si="61"/>
        <v>30272</v>
      </c>
      <c r="S323" s="361">
        <f t="shared" ca="1" si="63"/>
        <v>0</v>
      </c>
    </row>
    <row r="324" spans="1:19">
      <c r="A324" s="3008">
        <f>Sheet1!C202</f>
        <v>0</v>
      </c>
      <c r="B324" s="717">
        <f>Sheet1!E202</f>
        <v>0</v>
      </c>
      <c r="C324" s="24">
        <f t="shared" si="53"/>
        <v>1.01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t="s">
        <v>3124</v>
      </c>
      <c r="Q324" s="24">
        <f t="shared" si="60"/>
        <v>1</v>
      </c>
      <c r="R324" s="715">
        <f t="shared" ca="1" si="61"/>
        <v>30272</v>
      </c>
      <c r="S324" s="361">
        <f t="shared" ca="1" si="63"/>
        <v>0</v>
      </c>
    </row>
    <row r="325" spans="1:19">
      <c r="A325" s="3008">
        <f>Sheet1!C203</f>
        <v>0</v>
      </c>
      <c r="B325" s="717">
        <f>Sheet1!E203</f>
        <v>0</v>
      </c>
      <c r="C325" s="24">
        <f t="shared" si="53"/>
        <v>1.01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t="s">
        <v>3124</v>
      </c>
      <c r="Q325" s="24">
        <f t="shared" si="60"/>
        <v>1</v>
      </c>
      <c r="R325" s="715">
        <f t="shared" ca="1" si="61"/>
        <v>30272</v>
      </c>
      <c r="S325" s="361">
        <f t="shared" ca="1" si="63"/>
        <v>0</v>
      </c>
    </row>
    <row r="326" spans="1:19">
      <c r="A326" s="3008">
        <f>Sheet1!C204</f>
        <v>0</v>
      </c>
      <c r="B326" s="717">
        <f>Sheet1!E204</f>
        <v>0</v>
      </c>
      <c r="C326" s="24">
        <f t="shared" si="53"/>
        <v>1.01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t="s">
        <v>3124</v>
      </c>
      <c r="Q326" s="24">
        <f t="shared" si="60"/>
        <v>1</v>
      </c>
      <c r="R326" s="715">
        <f t="shared" ca="1" si="61"/>
        <v>30272</v>
      </c>
      <c r="S326" s="361">
        <f t="shared" ca="1" si="63"/>
        <v>0</v>
      </c>
    </row>
    <row r="327" spans="1:19">
      <c r="A327" s="3008">
        <f>Sheet1!C205</f>
        <v>0</v>
      </c>
      <c r="B327" s="717">
        <f>Sheet1!E205</f>
        <v>0</v>
      </c>
      <c r="C327" s="24">
        <f t="shared" si="53"/>
        <v>1.01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t="s">
        <v>3124</v>
      </c>
      <c r="Q327" s="24">
        <f t="shared" si="60"/>
        <v>1</v>
      </c>
      <c r="R327" s="715">
        <f t="shared" ca="1" si="61"/>
        <v>30272</v>
      </c>
      <c r="S327" s="361">
        <f t="shared" ca="1" si="63"/>
        <v>0</v>
      </c>
    </row>
    <row r="328" spans="1:19">
      <c r="A328" s="3008">
        <f>Sheet1!C206</f>
        <v>0</v>
      </c>
      <c r="B328" s="717">
        <f>Sheet1!E206</f>
        <v>0</v>
      </c>
      <c r="C328" s="24">
        <f t="shared" si="53"/>
        <v>1.01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t="s">
        <v>3124</v>
      </c>
      <c r="Q328" s="24">
        <f t="shared" si="60"/>
        <v>1</v>
      </c>
      <c r="R328" s="715">
        <f t="shared" ca="1" si="61"/>
        <v>30272</v>
      </c>
      <c r="S328" s="361">
        <f t="shared" ca="1" si="63"/>
        <v>0</v>
      </c>
    </row>
    <row r="329" spans="1:19">
      <c r="A329" s="3008">
        <f>Sheet1!C207</f>
        <v>0</v>
      </c>
      <c r="B329" s="717">
        <f>Sheet1!E207</f>
        <v>0</v>
      </c>
      <c r="C329" s="24">
        <f t="shared" si="53"/>
        <v>1.01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t="s">
        <v>3124</v>
      </c>
      <c r="Q329" s="24">
        <f t="shared" si="60"/>
        <v>1</v>
      </c>
      <c r="R329" s="715">
        <f t="shared" ca="1" si="61"/>
        <v>30272</v>
      </c>
      <c r="S329" s="361">
        <f t="shared" ca="1" si="63"/>
        <v>0</v>
      </c>
    </row>
    <row r="330" spans="1:19">
      <c r="A330" s="3008">
        <f>Sheet1!C208</f>
        <v>0</v>
      </c>
      <c r="B330" s="717">
        <f>Sheet1!E208</f>
        <v>0</v>
      </c>
      <c r="C330" s="24">
        <f t="shared" si="53"/>
        <v>1.01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t="s">
        <v>3124</v>
      </c>
      <c r="Q330" s="24">
        <f t="shared" si="60"/>
        <v>1</v>
      </c>
      <c r="R330" s="715">
        <f t="shared" ca="1" si="61"/>
        <v>30272</v>
      </c>
      <c r="S330" s="361">
        <f t="shared" ca="1" si="63"/>
        <v>0</v>
      </c>
    </row>
    <row r="331" spans="1:19">
      <c r="A331" s="3008">
        <f>Sheet1!C209</f>
        <v>0</v>
      </c>
      <c r="B331" s="717">
        <f>Sheet1!E209</f>
        <v>0</v>
      </c>
      <c r="C331" s="24">
        <f t="shared" si="53"/>
        <v>1.01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t="s">
        <v>3124</v>
      </c>
      <c r="Q331" s="24">
        <f t="shared" si="60"/>
        <v>1</v>
      </c>
      <c r="R331" s="715">
        <f t="shared" ca="1" si="61"/>
        <v>30272</v>
      </c>
      <c r="S331" s="361">
        <f t="shared" ca="1" si="63"/>
        <v>0</v>
      </c>
    </row>
    <row r="332" spans="1:19" ht="13.5" customHeight="1">
      <c r="A332" s="3008">
        <f>Sheet1!C210</f>
        <v>0</v>
      </c>
      <c r="B332" s="717">
        <f>Sheet1!E210</f>
        <v>0</v>
      </c>
      <c r="C332" s="24">
        <f t="shared" si="53"/>
        <v>1.01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t="s">
        <v>3124</v>
      </c>
      <c r="Q332" s="24">
        <f t="shared" si="60"/>
        <v>1</v>
      </c>
      <c r="R332" s="715">
        <f t="shared" ca="1" si="61"/>
        <v>30272</v>
      </c>
      <c r="S332" s="361">
        <f t="shared" ca="1" si="63"/>
        <v>0</v>
      </c>
    </row>
    <row r="333" spans="1:19">
      <c r="A333" s="3008">
        <f>Sheet1!C211</f>
        <v>0</v>
      </c>
      <c r="B333" s="717">
        <f>Sheet1!E211</f>
        <v>0</v>
      </c>
      <c r="C333" s="24">
        <f t="shared" si="53"/>
        <v>1.01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t="s">
        <v>3228</v>
      </c>
      <c r="Q333" s="24">
        <f t="shared" si="60"/>
        <v>0.85</v>
      </c>
      <c r="R333" s="715">
        <f t="shared" ca="1" si="61"/>
        <v>25731</v>
      </c>
      <c r="S333" s="361">
        <f t="shared" ca="1" si="63"/>
        <v>0</v>
      </c>
    </row>
    <row r="334" spans="1:19">
      <c r="A334" s="3008">
        <f>Sheet1!C212</f>
        <v>0</v>
      </c>
      <c r="B334" s="717">
        <f>Sheet1!E212</f>
        <v>0</v>
      </c>
      <c r="C334" s="24">
        <f t="shared" si="53"/>
        <v>1.01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t="s">
        <v>3124</v>
      </c>
      <c r="Q334" s="24">
        <f t="shared" si="60"/>
        <v>1</v>
      </c>
      <c r="R334" s="715">
        <f t="shared" ca="1" si="61"/>
        <v>30272</v>
      </c>
      <c r="S334" s="361">
        <f t="shared" ca="1" si="63"/>
        <v>0</v>
      </c>
    </row>
    <row r="335" spans="1:19">
      <c r="A335" s="3008">
        <f>Sheet1!C213</f>
        <v>0</v>
      </c>
      <c r="B335" s="717">
        <f>Sheet1!E213</f>
        <v>0</v>
      </c>
      <c r="C335" s="24">
        <f t="shared" si="53"/>
        <v>1.01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t="s">
        <v>3124</v>
      </c>
      <c r="Q335" s="24">
        <f t="shared" si="60"/>
        <v>1</v>
      </c>
      <c r="R335" s="715">
        <f t="shared" ca="1" si="61"/>
        <v>30272</v>
      </c>
      <c r="S335" s="361">
        <f t="shared" ca="1" si="63"/>
        <v>0</v>
      </c>
    </row>
    <row r="336" spans="1:19">
      <c r="A336" s="3008">
        <f>Sheet1!C214</f>
        <v>0</v>
      </c>
      <c r="B336" s="717">
        <f>Sheet1!E214</f>
        <v>0</v>
      </c>
      <c r="C336" s="24">
        <f t="shared" si="53"/>
        <v>1.01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t="s">
        <v>3124</v>
      </c>
      <c r="Q336" s="24">
        <f t="shared" si="60"/>
        <v>1</v>
      </c>
      <c r="R336" s="715">
        <f t="shared" ca="1" si="61"/>
        <v>30272</v>
      </c>
      <c r="S336" s="361">
        <f t="shared" ca="1" si="63"/>
        <v>0</v>
      </c>
    </row>
    <row r="337" spans="1:19">
      <c r="A337" s="3008">
        <f>Sheet1!C215</f>
        <v>0</v>
      </c>
      <c r="B337" s="717">
        <f>Sheet1!E215</f>
        <v>0</v>
      </c>
      <c r="C337" s="24">
        <f t="shared" si="53"/>
        <v>1.01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t="s">
        <v>3124</v>
      </c>
      <c r="Q337" s="24">
        <f t="shared" si="60"/>
        <v>1</v>
      </c>
      <c r="R337" s="715">
        <f t="shared" ca="1" si="61"/>
        <v>30272</v>
      </c>
      <c r="S337" s="361">
        <f t="shared" ca="1" si="63"/>
        <v>0</v>
      </c>
    </row>
    <row r="338" spans="1:19">
      <c r="A338" s="3008">
        <f>Sheet1!C216</f>
        <v>0</v>
      </c>
      <c r="B338" s="717">
        <f>Sheet1!E216</f>
        <v>0</v>
      </c>
      <c r="C338" s="24">
        <f t="shared" si="53"/>
        <v>1.01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t="s">
        <v>3124</v>
      </c>
      <c r="Q338" s="24">
        <f t="shared" si="60"/>
        <v>1</v>
      </c>
      <c r="R338" s="715">
        <f t="shared" ca="1" si="61"/>
        <v>30272</v>
      </c>
      <c r="S338" s="361">
        <f t="shared" ca="1" si="63"/>
        <v>0</v>
      </c>
    </row>
    <row r="339" spans="1:19">
      <c r="A339" s="3008">
        <f>Sheet1!C217</f>
        <v>0</v>
      </c>
      <c r="B339" s="717">
        <f>Sheet1!E217</f>
        <v>0</v>
      </c>
      <c r="C339" s="24">
        <f t="shared" si="53"/>
        <v>1.01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t="s">
        <v>3124</v>
      </c>
      <c r="Q339" s="24">
        <f t="shared" si="60"/>
        <v>1</v>
      </c>
      <c r="R339" s="715">
        <f t="shared" ca="1" si="61"/>
        <v>30272</v>
      </c>
      <c r="S339" s="361">
        <f t="shared" ca="1" si="63"/>
        <v>0</v>
      </c>
    </row>
    <row r="340" spans="1:19">
      <c r="A340" s="3008">
        <f>Sheet1!C218</f>
        <v>0</v>
      </c>
      <c r="B340" s="717">
        <f>Sheet1!E218</f>
        <v>0</v>
      </c>
      <c r="C340" s="24">
        <f t="shared" si="53"/>
        <v>1.01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t="s">
        <v>3124</v>
      </c>
      <c r="Q340" s="24">
        <f t="shared" si="60"/>
        <v>1</v>
      </c>
      <c r="R340" s="715">
        <f t="shared" ca="1" si="61"/>
        <v>30272</v>
      </c>
      <c r="S340" s="361">
        <f t="shared" ca="1" si="63"/>
        <v>0</v>
      </c>
    </row>
    <row r="341" spans="1:19">
      <c r="A341" s="3008">
        <f>Sheet1!C219</f>
        <v>0</v>
      </c>
      <c r="B341" s="717">
        <f>Sheet1!E219</f>
        <v>0</v>
      </c>
      <c r="C341" s="24">
        <f t="shared" si="53"/>
        <v>1.01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t="s">
        <v>3124</v>
      </c>
      <c r="Q341" s="24">
        <f t="shared" si="60"/>
        <v>1</v>
      </c>
      <c r="R341" s="715">
        <f t="shared" ca="1" si="61"/>
        <v>30272</v>
      </c>
      <c r="S341" s="361">
        <f t="shared" ca="1" si="63"/>
        <v>0</v>
      </c>
    </row>
    <row r="342" spans="1:19">
      <c r="A342" s="3008">
        <f>Sheet1!C220</f>
        <v>0</v>
      </c>
      <c r="B342" s="717">
        <f>Sheet1!E220</f>
        <v>0</v>
      </c>
      <c r="C342" s="24">
        <f t="shared" si="53"/>
        <v>1.01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t="s">
        <v>3124</v>
      </c>
      <c r="Q342" s="24">
        <f t="shared" si="60"/>
        <v>1</v>
      </c>
      <c r="R342" s="715">
        <f t="shared" ca="1" si="61"/>
        <v>30272</v>
      </c>
      <c r="S342" s="361">
        <f t="shared" ca="1" si="63"/>
        <v>0</v>
      </c>
    </row>
    <row r="343" spans="1:19">
      <c r="A343" s="3008">
        <f>Sheet1!C221</f>
        <v>0</v>
      </c>
      <c r="B343" s="717">
        <f>Sheet1!E221</f>
        <v>0</v>
      </c>
      <c r="C343" s="24">
        <f t="shared" si="53"/>
        <v>1.01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t="s">
        <v>3124</v>
      </c>
      <c r="Q343" s="24">
        <f t="shared" si="60"/>
        <v>1</v>
      </c>
      <c r="R343" s="715">
        <f t="shared" ca="1" si="61"/>
        <v>30272</v>
      </c>
      <c r="S343" s="361">
        <f t="shared" ca="1" si="63"/>
        <v>0</v>
      </c>
    </row>
    <row r="344" spans="1:19">
      <c r="A344" s="3008">
        <f>Sheet1!C222</f>
        <v>0</v>
      </c>
      <c r="B344" s="717">
        <f>Sheet1!E222</f>
        <v>0</v>
      </c>
      <c r="C344" s="24">
        <f t="shared" si="53"/>
        <v>1.01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t="s">
        <v>3124</v>
      </c>
      <c r="Q344" s="24">
        <f t="shared" si="60"/>
        <v>1</v>
      </c>
      <c r="R344" s="715">
        <f t="shared" ca="1" si="61"/>
        <v>30272</v>
      </c>
      <c r="S344" s="361">
        <f t="shared" ca="1" si="63"/>
        <v>0</v>
      </c>
    </row>
    <row r="345" spans="1:19">
      <c r="A345" s="3008">
        <f>Sheet1!C223</f>
        <v>0</v>
      </c>
      <c r="B345" s="717">
        <f>Sheet1!E223</f>
        <v>0</v>
      </c>
      <c r="C345" s="24">
        <f t="shared" si="53"/>
        <v>1.01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t="s">
        <v>3124</v>
      </c>
      <c r="Q345" s="24">
        <f t="shared" si="60"/>
        <v>1</v>
      </c>
      <c r="R345" s="715">
        <f t="shared" ca="1" si="61"/>
        <v>30272</v>
      </c>
      <c r="S345" s="361">
        <f t="shared" ca="1" si="63"/>
        <v>0</v>
      </c>
    </row>
    <row r="346" spans="1:19">
      <c r="A346" s="3008">
        <f>Sheet1!C224</f>
        <v>0</v>
      </c>
      <c r="B346" s="717">
        <f>Sheet1!E224</f>
        <v>0</v>
      </c>
      <c r="C346" s="24">
        <f t="shared" ref="C346:C409" si="64">IF(B346="",1,(LOOKUP(B346,$3:$3,$4:$4)-LOOKUP($B$24,$3:$3,$4:$4)+100)/100)</f>
        <v>1.01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t="s">
        <v>3124</v>
      </c>
      <c r="Q346" s="24">
        <f t="shared" ref="Q346:Q409" si="71">(SUMIF($17:$17,P346,$18:$18)-SUMIF($17:$17,$P$24,$18:$18)+100)/100</f>
        <v>1</v>
      </c>
      <c r="R346" s="715">
        <f t="shared" ref="R346:R409" ca="1" si="72">IF(B346="",0,ROUND($R$24*C346*E346*G346*I346*K346*M346*O346*Q346,0))</f>
        <v>30272</v>
      </c>
      <c r="S346" s="361">
        <f t="shared" ca="1" si="63"/>
        <v>0</v>
      </c>
    </row>
    <row r="347" spans="1:19">
      <c r="A347" s="3008">
        <f>Sheet1!C225</f>
        <v>0</v>
      </c>
      <c r="B347" s="717">
        <f>Sheet1!E225</f>
        <v>0</v>
      </c>
      <c r="C347" s="24">
        <f t="shared" si="64"/>
        <v>1.01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t="s">
        <v>3124</v>
      </c>
      <c r="Q347" s="24">
        <f t="shared" si="71"/>
        <v>1</v>
      </c>
      <c r="R347" s="715">
        <f t="shared" ca="1" si="72"/>
        <v>30272</v>
      </c>
      <c r="S347" s="361">
        <f t="shared" ca="1" si="63"/>
        <v>0</v>
      </c>
    </row>
    <row r="348" spans="1:19">
      <c r="A348" s="3008">
        <f>Sheet1!C226</f>
        <v>0</v>
      </c>
      <c r="B348" s="717">
        <f>Sheet1!E226</f>
        <v>0</v>
      </c>
      <c r="C348" s="24">
        <f t="shared" si="64"/>
        <v>1.01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t="s">
        <v>3124</v>
      </c>
      <c r="Q348" s="24">
        <f t="shared" si="71"/>
        <v>1</v>
      </c>
      <c r="R348" s="715">
        <f t="shared" ca="1" si="72"/>
        <v>30272</v>
      </c>
      <c r="S348" s="361">
        <f t="shared" ca="1" si="63"/>
        <v>0</v>
      </c>
    </row>
    <row r="349" spans="1:19">
      <c r="A349" s="3008">
        <f>Sheet1!C227</f>
        <v>0</v>
      </c>
      <c r="B349" s="717">
        <f>Sheet1!E227</f>
        <v>0</v>
      </c>
      <c r="C349" s="24">
        <f t="shared" si="64"/>
        <v>1.01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t="s">
        <v>3124</v>
      </c>
      <c r="Q349" s="24">
        <f t="shared" si="71"/>
        <v>1</v>
      </c>
      <c r="R349" s="715">
        <f t="shared" ca="1" si="72"/>
        <v>30272</v>
      </c>
      <c r="S349" s="361">
        <f t="shared" ca="1" si="63"/>
        <v>0</v>
      </c>
    </row>
    <row r="350" spans="1:19">
      <c r="A350" s="3008">
        <f>Sheet1!C228</f>
        <v>0</v>
      </c>
      <c r="B350" s="717">
        <f>Sheet1!E228</f>
        <v>0</v>
      </c>
      <c r="C350" s="24">
        <f t="shared" si="64"/>
        <v>1.01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t="s">
        <v>3124</v>
      </c>
      <c r="Q350" s="24">
        <f t="shared" si="71"/>
        <v>1</v>
      </c>
      <c r="R350" s="715">
        <f t="shared" ca="1" si="72"/>
        <v>30272</v>
      </c>
      <c r="S350" s="361">
        <f t="shared" ca="1" si="63"/>
        <v>0</v>
      </c>
    </row>
    <row r="351" spans="1:19">
      <c r="A351" s="3008">
        <f>Sheet1!C229</f>
        <v>0</v>
      </c>
      <c r="B351" s="717">
        <f>Sheet1!E229</f>
        <v>0</v>
      </c>
      <c r="C351" s="24">
        <f t="shared" si="64"/>
        <v>1.01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t="s">
        <v>3124</v>
      </c>
      <c r="Q351" s="24">
        <f t="shared" si="71"/>
        <v>1</v>
      </c>
      <c r="R351" s="715">
        <f t="shared" ca="1" si="72"/>
        <v>30272</v>
      </c>
      <c r="S351" s="361">
        <f t="shared" ca="1" si="63"/>
        <v>0</v>
      </c>
    </row>
    <row r="352" spans="1:19">
      <c r="A352" s="3008">
        <f>Sheet1!C230</f>
        <v>0</v>
      </c>
      <c r="B352" s="717">
        <f>Sheet1!E230</f>
        <v>0</v>
      </c>
      <c r="C352" s="24">
        <f t="shared" si="64"/>
        <v>1.01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t="s">
        <v>3228</v>
      </c>
      <c r="Q352" s="24">
        <f t="shared" si="71"/>
        <v>0.85</v>
      </c>
      <c r="R352" s="715">
        <f t="shared" ca="1" si="72"/>
        <v>25731</v>
      </c>
      <c r="S352" s="361">
        <f t="shared" ca="1" si="63"/>
        <v>0</v>
      </c>
    </row>
    <row r="353" spans="1:19">
      <c r="A353" s="3008">
        <f>Sheet1!C231</f>
        <v>0</v>
      </c>
      <c r="B353" s="717">
        <f>Sheet1!E231</f>
        <v>0</v>
      </c>
      <c r="C353" s="24">
        <f t="shared" si="64"/>
        <v>1.01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t="s">
        <v>3228</v>
      </c>
      <c r="Q353" s="24">
        <f t="shared" si="71"/>
        <v>0.85</v>
      </c>
      <c r="R353" s="715">
        <f t="shared" ca="1" si="72"/>
        <v>25731</v>
      </c>
      <c r="S353" s="361">
        <f t="shared" ca="1" si="63"/>
        <v>0</v>
      </c>
    </row>
    <row r="354" spans="1:19">
      <c r="A354" s="3008">
        <f>Sheet1!C232</f>
        <v>0</v>
      </c>
      <c r="B354" s="717">
        <f>Sheet1!E232</f>
        <v>0</v>
      </c>
      <c r="C354" s="24">
        <f t="shared" si="64"/>
        <v>1.01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t="s">
        <v>3228</v>
      </c>
      <c r="Q354" s="24">
        <f t="shared" si="71"/>
        <v>0.85</v>
      </c>
      <c r="R354" s="715">
        <f t="shared" ca="1" si="72"/>
        <v>25731</v>
      </c>
      <c r="S354" s="361">
        <f t="shared" ca="1" si="63"/>
        <v>0</v>
      </c>
    </row>
    <row r="355" spans="1:19">
      <c r="A355" s="3008">
        <f>Sheet1!C233</f>
        <v>0</v>
      </c>
      <c r="B355" s="717">
        <f>Sheet1!E233</f>
        <v>0</v>
      </c>
      <c r="C355" s="24">
        <f t="shared" si="64"/>
        <v>1.01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t="s">
        <v>3228</v>
      </c>
      <c r="Q355" s="24">
        <f t="shared" si="71"/>
        <v>0.85</v>
      </c>
      <c r="R355" s="715">
        <f t="shared" ca="1" si="72"/>
        <v>25731</v>
      </c>
      <c r="S355" s="361">
        <f t="shared" ca="1" si="63"/>
        <v>0</v>
      </c>
    </row>
    <row r="356" spans="1:19">
      <c r="A356" s="3008">
        <f>Sheet1!C234</f>
        <v>0</v>
      </c>
      <c r="B356" s="717">
        <f>Sheet1!E234</f>
        <v>0</v>
      </c>
      <c r="C356" s="24">
        <f t="shared" si="64"/>
        <v>1.01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t="s">
        <v>3124</v>
      </c>
      <c r="Q356" s="24">
        <f t="shared" si="71"/>
        <v>1</v>
      </c>
      <c r="R356" s="715">
        <f t="shared" ca="1" si="72"/>
        <v>30272</v>
      </c>
      <c r="S356" s="361">
        <f t="shared" ca="1" si="63"/>
        <v>0</v>
      </c>
    </row>
    <row r="357" spans="1:19">
      <c r="A357" s="3008">
        <f>Sheet1!C235</f>
        <v>0</v>
      </c>
      <c r="B357" s="717">
        <f>Sheet1!E235</f>
        <v>0</v>
      </c>
      <c r="C357" s="24">
        <f t="shared" si="64"/>
        <v>1.01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t="s">
        <v>3124</v>
      </c>
      <c r="Q357" s="24">
        <f t="shared" si="71"/>
        <v>1</v>
      </c>
      <c r="R357" s="715">
        <f t="shared" ca="1" si="72"/>
        <v>30272</v>
      </c>
      <c r="S357" s="361">
        <f t="shared" ca="1" si="63"/>
        <v>0</v>
      </c>
    </row>
    <row r="358" spans="1:19">
      <c r="A358" s="3008">
        <f>Sheet1!C236</f>
        <v>0</v>
      </c>
      <c r="B358" s="717">
        <f>Sheet1!E236</f>
        <v>0</v>
      </c>
      <c r="C358" s="24">
        <f t="shared" si="64"/>
        <v>1.01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t="s">
        <v>3124</v>
      </c>
      <c r="Q358" s="24">
        <f t="shared" si="71"/>
        <v>1</v>
      </c>
      <c r="R358" s="715">
        <f t="shared" ca="1" si="72"/>
        <v>30272</v>
      </c>
      <c r="S358" s="361">
        <f t="shared" ca="1" si="63"/>
        <v>0</v>
      </c>
    </row>
    <row r="359" spans="1:19">
      <c r="A359" s="3008">
        <f>Sheet1!C237</f>
        <v>0</v>
      </c>
      <c r="B359" s="717">
        <f>Sheet1!E237</f>
        <v>0</v>
      </c>
      <c r="C359" s="24">
        <f t="shared" si="64"/>
        <v>1.01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t="s">
        <v>3124</v>
      </c>
      <c r="Q359" s="24">
        <f t="shared" si="71"/>
        <v>1</v>
      </c>
      <c r="R359" s="715">
        <f t="shared" ca="1" si="72"/>
        <v>30272</v>
      </c>
      <c r="S359" s="361">
        <f t="shared" ca="1" si="63"/>
        <v>0</v>
      </c>
    </row>
    <row r="360" spans="1:19">
      <c r="A360" s="3008">
        <f>Sheet1!C238</f>
        <v>0</v>
      </c>
      <c r="B360" s="717">
        <f>Sheet1!E238</f>
        <v>0</v>
      </c>
      <c r="C360" s="24">
        <f t="shared" si="64"/>
        <v>1.01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t="s">
        <v>3124</v>
      </c>
      <c r="Q360" s="24">
        <f t="shared" si="71"/>
        <v>1</v>
      </c>
      <c r="R360" s="715">
        <f t="shared" ca="1" si="72"/>
        <v>30272</v>
      </c>
      <c r="S360" s="361">
        <f t="shared" ca="1" si="63"/>
        <v>0</v>
      </c>
    </row>
    <row r="361" spans="1:19">
      <c r="A361" s="3008">
        <f>Sheet1!C239</f>
        <v>0</v>
      </c>
      <c r="B361" s="717">
        <f>Sheet1!E239</f>
        <v>0</v>
      </c>
      <c r="C361" s="24">
        <f t="shared" si="64"/>
        <v>1.01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t="s">
        <v>3124</v>
      </c>
      <c r="Q361" s="24">
        <f t="shared" si="71"/>
        <v>1</v>
      </c>
      <c r="R361" s="715">
        <f t="shared" ca="1" si="72"/>
        <v>30272</v>
      </c>
      <c r="S361" s="361">
        <f t="shared" ca="1" si="63"/>
        <v>0</v>
      </c>
    </row>
    <row r="362" spans="1:19">
      <c r="A362" s="3008">
        <f>Sheet1!C240</f>
        <v>0</v>
      </c>
      <c r="B362" s="717">
        <f>Sheet1!E240</f>
        <v>0</v>
      </c>
      <c r="C362" s="24">
        <f t="shared" si="64"/>
        <v>1.01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t="s">
        <v>3124</v>
      </c>
      <c r="Q362" s="24">
        <f t="shared" si="71"/>
        <v>1</v>
      </c>
      <c r="R362" s="715">
        <f t="shared" ca="1" si="72"/>
        <v>30272</v>
      </c>
      <c r="S362" s="361">
        <f t="shared" ca="1" si="63"/>
        <v>0</v>
      </c>
    </row>
    <row r="363" spans="1:19">
      <c r="A363" s="3008">
        <f>Sheet1!C241</f>
        <v>0</v>
      </c>
      <c r="B363" s="717">
        <f>Sheet1!E241</f>
        <v>0</v>
      </c>
      <c r="C363" s="24">
        <f t="shared" si="64"/>
        <v>1.01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t="s">
        <v>3124</v>
      </c>
      <c r="Q363" s="24">
        <f t="shared" si="71"/>
        <v>1</v>
      </c>
      <c r="R363" s="715">
        <f t="shared" ca="1" si="72"/>
        <v>30272</v>
      </c>
      <c r="S363" s="361">
        <f t="shared" ca="1" si="63"/>
        <v>0</v>
      </c>
    </row>
    <row r="364" spans="1:19">
      <c r="A364" s="3008">
        <f>Sheet1!C242</f>
        <v>0</v>
      </c>
      <c r="B364" s="717">
        <f>Sheet1!E242</f>
        <v>0</v>
      </c>
      <c r="C364" s="24">
        <f t="shared" si="64"/>
        <v>1.01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t="s">
        <v>3124</v>
      </c>
      <c r="Q364" s="24">
        <f t="shared" si="71"/>
        <v>1</v>
      </c>
      <c r="R364" s="715">
        <f t="shared" ca="1" si="72"/>
        <v>30272</v>
      </c>
      <c r="S364" s="361">
        <f t="shared" ca="1" si="63"/>
        <v>0</v>
      </c>
    </row>
    <row r="365" spans="1:19">
      <c r="A365" s="3008">
        <f>Sheet1!C243</f>
        <v>0</v>
      </c>
      <c r="B365" s="717">
        <f>Sheet1!E243</f>
        <v>0</v>
      </c>
      <c r="C365" s="24">
        <f t="shared" si="64"/>
        <v>1.01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t="s">
        <v>3124</v>
      </c>
      <c r="Q365" s="24">
        <f t="shared" si="71"/>
        <v>1</v>
      </c>
      <c r="R365" s="715">
        <f t="shared" ca="1" si="72"/>
        <v>30272</v>
      </c>
      <c r="S365" s="361">
        <f t="shared" ca="1" si="63"/>
        <v>0</v>
      </c>
    </row>
    <row r="366" spans="1:19">
      <c r="A366" s="3008">
        <f>Sheet1!C244</f>
        <v>0</v>
      </c>
      <c r="B366" s="717">
        <f>Sheet1!E244</f>
        <v>0</v>
      </c>
      <c r="C366" s="24">
        <f t="shared" si="64"/>
        <v>1.01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t="s">
        <v>3228</v>
      </c>
      <c r="Q366" s="24">
        <f t="shared" si="71"/>
        <v>0.85</v>
      </c>
      <c r="R366" s="715">
        <f t="shared" ca="1" si="72"/>
        <v>25731</v>
      </c>
      <c r="S366" s="361">
        <f t="shared" ca="1" si="63"/>
        <v>0</v>
      </c>
    </row>
    <row r="367" spans="1:19">
      <c r="A367" s="3008">
        <f>Sheet1!C245</f>
        <v>0</v>
      </c>
      <c r="B367" s="717">
        <f>Sheet1!E245</f>
        <v>0</v>
      </c>
      <c r="C367" s="24">
        <f t="shared" si="64"/>
        <v>1.01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t="s">
        <v>3228</v>
      </c>
      <c r="Q367" s="24">
        <f t="shared" si="71"/>
        <v>0.85</v>
      </c>
      <c r="R367" s="715">
        <f t="shared" ca="1" si="72"/>
        <v>25731</v>
      </c>
      <c r="S367" s="361">
        <f t="shared" ca="1" si="63"/>
        <v>0</v>
      </c>
    </row>
    <row r="368" spans="1:19">
      <c r="A368" s="3008">
        <f>Sheet1!C246</f>
        <v>0</v>
      </c>
      <c r="B368" s="717">
        <f>Sheet1!E246</f>
        <v>0</v>
      </c>
      <c r="C368" s="24">
        <f t="shared" si="64"/>
        <v>1.01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t="s">
        <v>3228</v>
      </c>
      <c r="Q368" s="24">
        <f t="shared" si="71"/>
        <v>0.85</v>
      </c>
      <c r="R368" s="715">
        <f t="shared" ca="1" si="72"/>
        <v>25731</v>
      </c>
      <c r="S368" s="361">
        <f t="shared" ca="1" si="63"/>
        <v>0</v>
      </c>
    </row>
    <row r="369" spans="1:19">
      <c r="A369" s="3008">
        <f>Sheet1!C247</f>
        <v>0</v>
      </c>
      <c r="B369" s="717">
        <f>Sheet1!E247</f>
        <v>0</v>
      </c>
      <c r="C369" s="24">
        <f t="shared" si="64"/>
        <v>1.01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t="s">
        <v>3228</v>
      </c>
      <c r="Q369" s="24">
        <f t="shared" si="71"/>
        <v>0.85</v>
      </c>
      <c r="R369" s="715">
        <f t="shared" ca="1" si="72"/>
        <v>25731</v>
      </c>
      <c r="S369" s="361">
        <f t="shared" ca="1" si="63"/>
        <v>0</v>
      </c>
    </row>
    <row r="370" spans="1:19">
      <c r="A370" s="3008">
        <f>Sheet1!C248</f>
        <v>0</v>
      </c>
      <c r="B370" s="717">
        <f>Sheet1!E248</f>
        <v>0</v>
      </c>
      <c r="C370" s="24">
        <f t="shared" si="64"/>
        <v>1.01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t="s">
        <v>3124</v>
      </c>
      <c r="Q370" s="24">
        <f t="shared" si="71"/>
        <v>1</v>
      </c>
      <c r="R370" s="715">
        <f t="shared" ca="1" si="72"/>
        <v>30272</v>
      </c>
      <c r="S370" s="361">
        <f t="shared" ca="1" si="63"/>
        <v>0</v>
      </c>
    </row>
    <row r="371" spans="1:19">
      <c r="A371" s="3008">
        <f>Sheet1!C249</f>
        <v>0</v>
      </c>
      <c r="B371" s="717">
        <f>Sheet1!E249</f>
        <v>0</v>
      </c>
      <c r="C371" s="24">
        <f t="shared" si="64"/>
        <v>1.01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t="s">
        <v>3124</v>
      </c>
      <c r="Q371" s="24">
        <f t="shared" si="71"/>
        <v>1</v>
      </c>
      <c r="R371" s="715">
        <f t="shared" ca="1" si="72"/>
        <v>30272</v>
      </c>
      <c r="S371" s="361">
        <f t="shared" ca="1" si="63"/>
        <v>0</v>
      </c>
    </row>
    <row r="372" spans="1:19">
      <c r="A372" s="3008">
        <f>Sheet1!C250</f>
        <v>0</v>
      </c>
      <c r="B372" s="717">
        <f>Sheet1!E250</f>
        <v>0</v>
      </c>
      <c r="C372" s="24">
        <f t="shared" si="64"/>
        <v>1.01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t="s">
        <v>3124</v>
      </c>
      <c r="Q372" s="24">
        <f t="shared" si="71"/>
        <v>1</v>
      </c>
      <c r="R372" s="715">
        <f t="shared" ca="1" si="72"/>
        <v>30272</v>
      </c>
      <c r="S372" s="361">
        <f t="shared" ca="1" si="63"/>
        <v>0</v>
      </c>
    </row>
    <row r="373" spans="1:19">
      <c r="A373" s="3008">
        <f>Sheet1!C251</f>
        <v>0</v>
      </c>
      <c r="B373" s="717">
        <f>Sheet1!E251</f>
        <v>0</v>
      </c>
      <c r="C373" s="24">
        <f t="shared" si="64"/>
        <v>1.01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t="s">
        <v>3124</v>
      </c>
      <c r="Q373" s="24">
        <f t="shared" si="71"/>
        <v>1</v>
      </c>
      <c r="R373" s="715">
        <f t="shared" ca="1" si="72"/>
        <v>30272</v>
      </c>
      <c r="S373" s="361">
        <f t="shared" ca="1" si="63"/>
        <v>0</v>
      </c>
    </row>
    <row r="374" spans="1:19">
      <c r="A374" s="3008">
        <f>Sheet1!C252</f>
        <v>0</v>
      </c>
      <c r="B374" s="717">
        <f>Sheet1!E252</f>
        <v>0</v>
      </c>
      <c r="C374" s="24">
        <f t="shared" si="64"/>
        <v>1.01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t="s">
        <v>3124</v>
      </c>
      <c r="Q374" s="24">
        <f t="shared" si="71"/>
        <v>1</v>
      </c>
      <c r="R374" s="715">
        <f t="shared" ca="1" si="72"/>
        <v>30272</v>
      </c>
      <c r="S374" s="361">
        <f t="shared" ca="1" si="63"/>
        <v>0</v>
      </c>
    </row>
    <row r="375" spans="1:19">
      <c r="A375" s="3008">
        <f>Sheet1!C253</f>
        <v>0</v>
      </c>
      <c r="B375" s="717">
        <f>Sheet1!E253</f>
        <v>0</v>
      </c>
      <c r="C375" s="24">
        <f t="shared" si="64"/>
        <v>1.01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t="s">
        <v>3124</v>
      </c>
      <c r="Q375" s="24">
        <f t="shared" si="71"/>
        <v>1</v>
      </c>
      <c r="R375" s="715">
        <f t="shared" ca="1" si="72"/>
        <v>30272</v>
      </c>
      <c r="S375" s="361">
        <f t="shared" ca="1" si="63"/>
        <v>0</v>
      </c>
    </row>
    <row r="376" spans="1:19">
      <c r="A376" s="3008">
        <f>Sheet1!C254</f>
        <v>0</v>
      </c>
      <c r="B376" s="717">
        <f>Sheet1!E254</f>
        <v>0</v>
      </c>
      <c r="C376" s="24">
        <f t="shared" si="64"/>
        <v>1.01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t="s">
        <v>3124</v>
      </c>
      <c r="Q376" s="24">
        <f t="shared" si="71"/>
        <v>1</v>
      </c>
      <c r="R376" s="715">
        <f t="shared" ca="1" si="72"/>
        <v>30272</v>
      </c>
      <c r="S376" s="361">
        <f t="shared" ca="1" si="63"/>
        <v>0</v>
      </c>
    </row>
    <row r="377" spans="1:19">
      <c r="A377" s="3008">
        <f>Sheet1!C255</f>
        <v>0</v>
      </c>
      <c r="B377" s="717">
        <f>Sheet1!E255</f>
        <v>0</v>
      </c>
      <c r="C377" s="24">
        <f t="shared" si="64"/>
        <v>1.01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t="s">
        <v>3124</v>
      </c>
      <c r="Q377" s="24">
        <f t="shared" si="71"/>
        <v>1</v>
      </c>
      <c r="R377" s="715">
        <f t="shared" ca="1" si="72"/>
        <v>30272</v>
      </c>
      <c r="S377" s="361">
        <f t="shared" ca="1" si="63"/>
        <v>0</v>
      </c>
    </row>
    <row r="378" spans="1:19">
      <c r="A378" s="3008">
        <f>Sheet1!C256</f>
        <v>0</v>
      </c>
      <c r="B378" s="717">
        <f>Sheet1!E256</f>
        <v>0</v>
      </c>
      <c r="C378" s="24">
        <f t="shared" si="64"/>
        <v>1.01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t="s">
        <v>3228</v>
      </c>
      <c r="Q378" s="24">
        <f t="shared" si="71"/>
        <v>0.85</v>
      </c>
      <c r="R378" s="715">
        <f t="shared" ca="1" si="72"/>
        <v>25731</v>
      </c>
      <c r="S378" s="361">
        <f t="shared" ca="1" si="63"/>
        <v>0</v>
      </c>
    </row>
    <row r="379" spans="1:19">
      <c r="A379" s="3008">
        <f>Sheet1!C257</f>
        <v>0</v>
      </c>
      <c r="B379" s="717">
        <f>Sheet1!E257</f>
        <v>0</v>
      </c>
      <c r="C379" s="24">
        <f t="shared" si="64"/>
        <v>1.01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t="s">
        <v>3228</v>
      </c>
      <c r="Q379" s="24">
        <f t="shared" si="71"/>
        <v>0.85</v>
      </c>
      <c r="R379" s="715">
        <f t="shared" ca="1" si="72"/>
        <v>25731</v>
      </c>
      <c r="S379" s="361">
        <f t="shared" ca="1" si="63"/>
        <v>0</v>
      </c>
    </row>
    <row r="380" spans="1:19">
      <c r="A380" s="3008">
        <f>Sheet1!C258</f>
        <v>0</v>
      </c>
      <c r="B380" s="717">
        <f>Sheet1!E258</f>
        <v>0</v>
      </c>
      <c r="C380" s="24">
        <f t="shared" si="64"/>
        <v>1.01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t="s">
        <v>3228</v>
      </c>
      <c r="Q380" s="24">
        <f t="shared" si="71"/>
        <v>0.85</v>
      </c>
      <c r="R380" s="715">
        <f t="shared" ca="1" si="72"/>
        <v>25731</v>
      </c>
      <c r="S380" s="361">
        <f t="shared" ca="1" si="63"/>
        <v>0</v>
      </c>
    </row>
    <row r="381" spans="1:19">
      <c r="A381" s="3008">
        <f>Sheet1!C259</f>
        <v>0</v>
      </c>
      <c r="B381" s="717">
        <f>Sheet1!E259</f>
        <v>0</v>
      </c>
      <c r="C381" s="24">
        <f t="shared" si="64"/>
        <v>1.01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t="s">
        <v>3228</v>
      </c>
      <c r="Q381" s="24">
        <f t="shared" si="71"/>
        <v>0.85</v>
      </c>
      <c r="R381" s="715">
        <f t="shared" ca="1" si="72"/>
        <v>25731</v>
      </c>
      <c r="S381" s="361">
        <f t="shared" ca="1" si="63"/>
        <v>0</v>
      </c>
    </row>
    <row r="382" spans="1:19">
      <c r="A382" s="3008">
        <f>Sheet1!C260</f>
        <v>0</v>
      </c>
      <c r="B382" s="717">
        <f>Sheet1!E260</f>
        <v>0</v>
      </c>
      <c r="C382" s="24">
        <f t="shared" si="64"/>
        <v>1.01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t="s">
        <v>3228</v>
      </c>
      <c r="Q382" s="24">
        <f t="shared" si="71"/>
        <v>0.85</v>
      </c>
      <c r="R382" s="715">
        <f t="shared" ca="1" si="72"/>
        <v>25731</v>
      </c>
      <c r="S382" s="361">
        <f t="shared" ca="1" si="63"/>
        <v>0</v>
      </c>
    </row>
    <row r="383" spans="1:19">
      <c r="A383" s="3008">
        <f>Sheet1!C261</f>
        <v>0</v>
      </c>
      <c r="B383" s="717">
        <f>Sheet1!E261</f>
        <v>0</v>
      </c>
      <c r="C383" s="24">
        <f t="shared" si="64"/>
        <v>1.01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t="s">
        <v>3228</v>
      </c>
      <c r="Q383" s="24">
        <f t="shared" si="71"/>
        <v>0.85</v>
      </c>
      <c r="R383" s="715">
        <f t="shared" ca="1" si="72"/>
        <v>25731</v>
      </c>
      <c r="S383" s="361">
        <f t="shared" ca="1" si="63"/>
        <v>0</v>
      </c>
    </row>
    <row r="384" spans="1:19">
      <c r="A384" s="3008"/>
      <c r="B384" s="717"/>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3008"/>
      <c r="B385" s="717"/>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3008"/>
      <c r="B386" s="717"/>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3008"/>
      <c r="B387" s="717"/>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3008"/>
      <c r="B388" s="717"/>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3008"/>
      <c r="B389" s="717"/>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3008"/>
      <c r="B390" s="717"/>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3008"/>
      <c r="B391" s="717"/>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3008"/>
      <c r="B392" s="717"/>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3008"/>
      <c r="B393" s="717"/>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3008"/>
      <c r="B394" s="717"/>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3008"/>
      <c r="B395" s="717"/>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3008"/>
      <c r="B396" s="717"/>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3008"/>
      <c r="B397" s="717"/>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3008"/>
      <c r="B398" s="717"/>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3008"/>
      <c r="B399" s="717"/>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3008"/>
      <c r="B400" s="717"/>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3008"/>
      <c r="B401" s="717"/>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3008"/>
      <c r="B402" s="717"/>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3008"/>
      <c r="B403" s="717"/>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3008"/>
      <c r="B404" s="717"/>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3008"/>
      <c r="B405" s="717"/>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3008"/>
      <c r="B406" s="717"/>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3008"/>
      <c r="B407" s="717"/>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3008"/>
      <c r="B408" s="717"/>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3008"/>
      <c r="B409" s="717"/>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3008"/>
      <c r="B410" s="717"/>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3008"/>
      <c r="B411" s="717"/>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3008"/>
      <c r="B412" s="717"/>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3008"/>
      <c r="B413" s="717"/>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3008"/>
      <c r="B414" s="717"/>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3008"/>
      <c r="B415" s="717"/>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3008"/>
      <c r="B416" s="717"/>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3008"/>
      <c r="B417" s="717"/>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3008"/>
      <c r="B418" s="717"/>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3008"/>
      <c r="B419" s="717"/>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3008"/>
      <c r="B420" s="717"/>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3008"/>
      <c r="B421" s="717"/>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3008"/>
      <c r="B422" s="717"/>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3008"/>
      <c r="B423" s="717"/>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3008"/>
      <c r="B424" s="717"/>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3008"/>
      <c r="B425" s="717"/>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3008"/>
      <c r="B426" s="717"/>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3008"/>
      <c r="B427" s="717"/>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3008"/>
      <c r="B428" s="717"/>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3008"/>
      <c r="B429" s="717"/>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3008"/>
      <c r="B430" s="717"/>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3008"/>
      <c r="B431" s="717"/>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3008"/>
      <c r="B432" s="717"/>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3008"/>
      <c r="B433" s="717"/>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3008"/>
      <c r="B434" s="717"/>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3008"/>
      <c r="B435" s="717"/>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3008"/>
      <c r="B436" s="717"/>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3008"/>
      <c r="B437" s="717"/>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3008"/>
      <c r="B438" s="717"/>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3008"/>
      <c r="B439" s="717"/>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3008"/>
      <c r="B440" s="717"/>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3008"/>
      <c r="B441" s="717"/>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3008"/>
      <c r="B442" s="717"/>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3008"/>
      <c r="B443" s="717"/>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3008"/>
      <c r="B444" s="717"/>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3008"/>
      <c r="B445" s="717"/>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3008"/>
      <c r="B446" s="717"/>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3008"/>
      <c r="B447" s="717"/>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3008"/>
      <c r="B448" s="717"/>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3008"/>
      <c r="B449" s="717"/>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3008"/>
      <c r="B450" s="717"/>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3008"/>
      <c r="B451" s="717"/>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3008"/>
      <c r="B452" s="717"/>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3008"/>
      <c r="B453" s="717"/>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3008"/>
      <c r="B454" s="717"/>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3008"/>
      <c r="B455" s="717"/>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3008"/>
      <c r="B456" s="717"/>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3008"/>
      <c r="B457" s="717"/>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3008"/>
      <c r="B458" s="717"/>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3008"/>
      <c r="B459" s="717"/>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3008"/>
      <c r="B460" s="717"/>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3008"/>
      <c r="B461" s="717"/>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3008"/>
      <c r="B462" s="717"/>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3008"/>
      <c r="B463" s="717"/>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3008"/>
      <c r="B464" s="717"/>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3008"/>
      <c r="B465" s="717"/>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3008"/>
      <c r="B466" s="717"/>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3008"/>
      <c r="B467" s="717"/>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3008"/>
      <c r="B468" s="717"/>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3008"/>
      <c r="B469" s="717"/>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3008"/>
      <c r="B470" s="717"/>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63"/>
      <c r="B4" s="3033" t="s">
        <v>1629</v>
      </c>
      <c r="C4" s="3033"/>
      <c r="D4" s="3033"/>
      <c r="E4" s="1963"/>
    </row>
    <row r="5" spans="1:5" ht="16.5" thickTop="1">
      <c r="A5" s="1961"/>
      <c r="B5" s="3031" t="s">
        <v>1621</v>
      </c>
      <c r="C5" s="1964" t="s">
        <v>1622</v>
      </c>
      <c r="D5" s="1042">
        <f ca="1">结果表!H101</f>
        <v>585</v>
      </c>
      <c r="E5" s="1961"/>
    </row>
    <row r="6" spans="1:5" ht="15.75">
      <c r="A6" s="1961"/>
      <c r="B6" s="3031"/>
      <c r="C6" s="1964" t="s">
        <v>1623</v>
      </c>
      <c r="D6" s="1042" t="str">
        <f ca="1">NUMBERSTRING(INT(D5*10000),2)&amp;"元整"</f>
        <v>伍佰捌拾伍万元整</v>
      </c>
      <c r="E6" s="1961"/>
    </row>
    <row r="7" spans="1:5" ht="15.75">
      <c r="A7" s="1961"/>
      <c r="B7" s="3036"/>
      <c r="C7" s="1965" t="s">
        <v>1624</v>
      </c>
      <c r="D7" s="1043">
        <f ca="1">结果表!H102</f>
        <v>29968</v>
      </c>
      <c r="E7" s="1961"/>
    </row>
    <row r="8" spans="1:5" ht="15.75">
      <c r="A8" s="1961"/>
      <c r="B8" s="3037" t="str">
        <f>结果表!E103</f>
        <v>2.估价师知悉的法定优先受偿款</v>
      </c>
      <c r="C8" s="1966" t="s">
        <v>1625</v>
      </c>
      <c r="D8" s="1043">
        <f>结果表!H103</f>
        <v>0</v>
      </c>
      <c r="E8" s="1961"/>
    </row>
    <row r="9" spans="1:5" ht="15.75">
      <c r="A9" s="1961"/>
      <c r="B9" s="3039"/>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0" t="str">
        <f>结果表!E107</f>
        <v>3.房地产抵押价值</v>
      </c>
      <c r="C13" s="1969" t="s">
        <v>1622</v>
      </c>
      <c r="D13" s="1045">
        <f ca="1">结果表!H107</f>
        <v>585</v>
      </c>
      <c r="E13" s="1961"/>
    </row>
    <row r="14" spans="1:5" ht="15.75">
      <c r="A14" s="1961"/>
      <c r="B14" s="3031"/>
      <c r="C14" s="1964" t="s">
        <v>1623</v>
      </c>
      <c r="D14" s="1042" t="str">
        <f ca="1">NUMBERSTRING(INT(D13*10000),2)&amp;"元整"</f>
        <v>伍佰捌拾伍万元整</v>
      </c>
      <c r="E14" s="1961"/>
    </row>
    <row r="15" spans="1:5" ht="15">
      <c r="A15" s="1961"/>
      <c r="B15" s="3036"/>
      <c r="C15" s="1965" t="s">
        <v>1633</v>
      </c>
      <c r="D15" s="1054">
        <f ca="1">结果表!H108</f>
        <v>1455</v>
      </c>
      <c r="E15" s="1961"/>
    </row>
    <row r="16" spans="1:5" ht="15">
      <c r="A16" s="1961"/>
      <c r="B16" s="3037" t="str">
        <f>结果表!E109</f>
        <v>——</v>
      </c>
      <c r="C16" s="1969" t="s">
        <v>1634</v>
      </c>
      <c r="D16" s="1970" t="str">
        <f>结果表!H109</f>
        <v>——</v>
      </c>
      <c r="E16" s="1961"/>
    </row>
    <row r="17" spans="1:5" ht="15.75">
      <c r="A17" s="1961"/>
      <c r="B17" s="3038"/>
      <c r="C17" s="1964" t="s">
        <v>1635</v>
      </c>
      <c r="D17" s="1042" t="e">
        <f>NUMBERSTRING(INT(D16*10000),2)&amp;"元整"</f>
        <v>#VALUE!</v>
      </c>
      <c r="E17" s="1961"/>
    </row>
    <row r="18" spans="1:5" ht="15">
      <c r="A18" s="1961"/>
      <c r="B18" s="3039"/>
      <c r="C18" s="1965" t="s">
        <v>1624</v>
      </c>
      <c r="D18" s="1054" t="str">
        <f>结果表!H110</f>
        <v>——</v>
      </c>
      <c r="E18" s="1961"/>
    </row>
    <row r="19" spans="1:5" ht="15.75">
      <c r="A19" s="1961"/>
      <c r="B19" s="3030" t="str">
        <f>结果表!E111</f>
        <v>——</v>
      </c>
      <c r="C19" s="1969" t="s">
        <v>1622</v>
      </c>
      <c r="D19" s="1043" t="str">
        <f>结果表!H111</f>
        <v>——</v>
      </c>
      <c r="E19" s="1961"/>
    </row>
    <row r="20" spans="1:5" ht="15.75">
      <c r="A20" s="1961"/>
      <c r="B20" s="3031"/>
      <c r="C20" s="1964" t="s">
        <v>1635</v>
      </c>
      <c r="D20" s="1042" t="e">
        <f>NUMBERSTRING(INT(D19*10000),2)&amp;"元整"</f>
        <v>#VALUE!</v>
      </c>
      <c r="E20" s="1961"/>
    </row>
    <row r="21" spans="1:5" ht="15.75" thickBot="1">
      <c r="A21" s="1961"/>
      <c r="B21" s="3032"/>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33924</v>
      </c>
      <c r="C2" s="2" t="s">
        <v>133</v>
      </c>
      <c r="D2" s="243"/>
      <c r="E2" s="243"/>
      <c r="F2" s="243"/>
      <c r="G2" s="243"/>
    </row>
    <row r="3" spans="1:7" s="244" customFormat="1" ht="18" customHeight="1" thickBot="1">
      <c r="A3" s="247" t="s">
        <v>85</v>
      </c>
      <c r="B3" s="248">
        <f ca="1">ROUND(B2*10000/'数据-汇总表'!E3,0)</f>
        <v>84386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48</v>
      </c>
      <c r="D10" s="1034">
        <f>'数据-汇总表'!E6</f>
        <v>4020.0999999999995</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80</v>
      </c>
      <c r="D19" s="1038">
        <f>'数据-汇总表'!E3</f>
        <v>4020.0999999999995</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3121</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3079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5276</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5276</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1340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1206</v>
      </c>
      <c r="D34" s="261"/>
      <c r="E34" s="264"/>
      <c r="F34" s="301">
        <f>IF('数据-取费表'!B24=0,1,'数据-取费表'!N16)</f>
        <v>1</v>
      </c>
      <c r="G34" s="263" t="s">
        <v>116</v>
      </c>
    </row>
    <row r="35" spans="1:7" ht="13.5" customHeight="1">
      <c r="A35" s="953" t="s">
        <v>796</v>
      </c>
      <c r="B35" s="259" t="s">
        <v>60</v>
      </c>
      <c r="C35" s="264">
        <f>ROUND(C34*F35,0)</f>
        <v>36</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80</v>
      </c>
      <c r="D37" s="261">
        <f>'数据-汇总表'!E3</f>
        <v>4020.0999999999995</v>
      </c>
      <c r="E37" s="293">
        <f>'数据-取费表'!B35</f>
        <v>200</v>
      </c>
      <c r="F37" s="303"/>
      <c r="G37" s="305" t="s">
        <v>119</v>
      </c>
    </row>
    <row r="38" spans="1:7" ht="13.5" customHeight="1">
      <c r="A38" s="953" t="s">
        <v>799</v>
      </c>
      <c r="B38" s="259" t="s">
        <v>63</v>
      </c>
      <c r="C38" s="264">
        <f>ROUND(C34*F38,0)</f>
        <v>18</v>
      </c>
      <c r="D38" s="264"/>
      <c r="E38" s="264"/>
      <c r="F38" s="303">
        <f>'数据-取费表'!B36</f>
        <v>1.4999999999999999E-2</v>
      </c>
      <c r="G38" s="263" t="s">
        <v>117</v>
      </c>
    </row>
    <row r="39" spans="1:7" s="258" customFormat="1" ht="13.5" customHeight="1">
      <c r="A39" s="950" t="s">
        <v>783</v>
      </c>
      <c r="B39" s="254" t="s">
        <v>104</v>
      </c>
      <c r="C39" s="276">
        <f>ROUND(C33*F20,0)</f>
        <v>27</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99</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97</v>
      </c>
      <c r="D42" s="282"/>
      <c r="E42" s="282"/>
      <c r="F42" s="283"/>
      <c r="G42" s="3215" t="s">
        <v>121</v>
      </c>
    </row>
    <row r="43" spans="1:7" ht="13.5" customHeight="1">
      <c r="A43" s="953" t="s">
        <v>792</v>
      </c>
      <c r="B43" s="259" t="s">
        <v>1064</v>
      </c>
      <c r="C43" s="282">
        <f ca="1">ROUND(IF('数据-取费表'!B22&lt;=1,C39*F22*'数据-取费表'!B21/2,C39*(POWER((1+F22),'数据-取费表'!B21/2)-1)),0)</f>
        <v>2</v>
      </c>
      <c r="D43" s="282"/>
      <c r="E43" s="282"/>
      <c r="F43" s="283"/>
      <c r="G43" s="3216"/>
    </row>
    <row r="44" spans="1:7" ht="13.5" customHeight="1">
      <c r="A44" s="953" t="s">
        <v>793</v>
      </c>
      <c r="B44" s="259" t="s">
        <v>1066</v>
      </c>
      <c r="C44" s="282">
        <f ca="1">ROUND(IF('数据-取费表'!B22&lt;=1,C40*F22*'数据-取费表'!B21/2,C40*(POWER((1+F22),'数据-取费表'!B21/2)-1)),4)</f>
        <v>1.4E-3</v>
      </c>
      <c r="D44" s="282"/>
      <c r="E44" s="282"/>
      <c r="F44" s="283"/>
      <c r="G44" s="3217"/>
    </row>
    <row r="45" spans="1:7" s="258" customFormat="1" ht="13.5" customHeight="1">
      <c r="A45" s="950" t="s">
        <v>786</v>
      </c>
      <c r="B45" s="288" t="s">
        <v>112</v>
      </c>
      <c r="C45" s="289">
        <f>C46</f>
        <v>342</v>
      </c>
      <c r="D45" s="279">
        <f>C47</f>
        <v>5.0000000000000001E-3</v>
      </c>
      <c r="E45" s="280" t="s">
        <v>129</v>
      </c>
      <c r="F45" s="290"/>
      <c r="G45" s="291" t="s">
        <v>1072</v>
      </c>
    </row>
    <row r="46" spans="1:7" s="258" customFormat="1" ht="13.5" customHeight="1">
      <c r="A46" s="953" t="s">
        <v>794</v>
      </c>
      <c r="B46" s="292" t="s">
        <v>1065</v>
      </c>
      <c r="C46" s="293">
        <f>ROUND((C33+C39)*F27,0)</f>
        <v>342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1965</v>
      </c>
      <c r="D49" s="276"/>
      <c r="E49" s="276"/>
      <c r="F49" s="308"/>
      <c r="G49" s="278" t="s">
        <v>1073</v>
      </c>
    </row>
    <row r="50" spans="1:7" s="302" customFormat="1" ht="24">
      <c r="A50" s="950" t="s">
        <v>789</v>
      </c>
      <c r="B50" s="254" t="s">
        <v>124</v>
      </c>
      <c r="C50" s="276"/>
      <c r="D50" s="276"/>
      <c r="E50" s="276"/>
      <c r="F50" s="308">
        <f>IF('数据-取费表'!B24=0,'数据-取费表'!N16,1)</f>
        <v>0.95</v>
      </c>
      <c r="G50" s="291" t="s">
        <v>125</v>
      </c>
    </row>
    <row r="51" spans="1:7" ht="16.5" customHeight="1">
      <c r="A51" s="950" t="s">
        <v>790</v>
      </c>
      <c r="B51" s="254" t="s">
        <v>132</v>
      </c>
      <c r="C51" s="276">
        <f ca="1">ROUND(C49*F50,0)</f>
        <v>1867</v>
      </c>
      <c r="D51" s="276"/>
      <c r="E51" s="276"/>
      <c r="F51" s="308"/>
      <c r="G51" s="278" t="s">
        <v>64</v>
      </c>
    </row>
    <row r="52" spans="1:7" s="252" customFormat="1" ht="16.5" thickBot="1">
      <c r="A52" s="309" t="s">
        <v>65</v>
      </c>
      <c r="B52" s="310"/>
      <c r="C52" s="311">
        <f ca="1">C31+C51</f>
        <v>33924</v>
      </c>
      <c r="D52" s="310"/>
      <c r="E52" s="310"/>
      <c r="F52" s="310"/>
      <c r="G52" s="312"/>
    </row>
    <row r="55" spans="1:7" ht="15">
      <c r="B55" s="314" t="s">
        <v>66</v>
      </c>
      <c r="C55" s="315"/>
    </row>
    <row r="56" spans="1:7">
      <c r="B56" s="317" t="s">
        <v>67</v>
      </c>
      <c r="C56" s="318">
        <f ca="1">ROUND(C51/C52,3)</f>
        <v>5.5E-2</v>
      </c>
    </row>
    <row r="57" spans="1:7">
      <c r="B57" s="317" t="s">
        <v>68</v>
      </c>
      <c r="C57" s="319">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54" t="s">
        <v>156</v>
      </c>
      <c r="B1" s="3354"/>
      <c r="C1" s="3354"/>
      <c r="D1" s="3354"/>
      <c r="E1" s="3354"/>
      <c r="F1" s="335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5" t="s">
        <v>169</v>
      </c>
      <c r="B2" s="3355"/>
      <c r="C2" s="3355"/>
      <c r="D2" s="3355"/>
      <c r="E2" s="3355"/>
      <c r="F2" s="335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4" t="s">
        <v>871</v>
      </c>
      <c r="B1" s="335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N174"/>
  <sheetViews>
    <sheetView topLeftCell="A15" workbookViewId="0">
      <selection activeCell="A2" sqref="A2:E44"/>
    </sheetView>
  </sheetViews>
  <sheetFormatPr defaultRowHeight="13.5"/>
  <cols>
    <col min="1" max="2" width="9" style="3010"/>
    <col min="3" max="3" width="16.125" style="3010" customWidth="1"/>
    <col min="4" max="6" width="9" style="3010"/>
    <col min="7" max="7" width="12.5" style="3010" customWidth="1"/>
    <col min="8" max="13" width="9" style="3010"/>
    <col min="14" max="14" width="11.125" style="3010" customWidth="1"/>
    <col min="15" max="16384" width="9" style="3010"/>
  </cols>
  <sheetData>
    <row r="1" spans="1:11" ht="22.5">
      <c r="A1" s="3358" t="s">
        <v>3229</v>
      </c>
      <c r="B1" s="3358"/>
      <c r="C1" s="3358"/>
      <c r="D1" s="3358"/>
      <c r="E1" s="3358"/>
      <c r="F1" s="3358"/>
      <c r="G1" s="3358"/>
      <c r="H1" s="3358"/>
      <c r="I1" s="3358"/>
      <c r="J1" s="3358"/>
      <c r="K1" s="3358"/>
    </row>
    <row r="2" spans="1:11" s="3006" customFormat="1" ht="14.25">
      <c r="A2" s="3003" t="s">
        <v>3066</v>
      </c>
      <c r="B2" s="3004" t="s">
        <v>3210</v>
      </c>
      <c r="C2" s="3004" t="s">
        <v>3211</v>
      </c>
      <c r="D2" s="3004" t="s">
        <v>3212</v>
      </c>
      <c r="E2" s="3004" t="s">
        <v>3213</v>
      </c>
      <c r="F2" s="3004" t="s">
        <v>3214</v>
      </c>
      <c r="G2" s="3004" t="s">
        <v>3215</v>
      </c>
      <c r="H2" s="3005" t="s">
        <v>3216</v>
      </c>
      <c r="I2" s="3005" t="s">
        <v>3217</v>
      </c>
      <c r="J2" s="3005" t="s">
        <v>3218</v>
      </c>
      <c r="K2" s="3005" t="s">
        <v>3219</v>
      </c>
    </row>
    <row r="3" spans="1:11" ht="14.25" customHeight="1">
      <c r="A3" s="3007">
        <v>1</v>
      </c>
      <c r="B3" s="3359" t="s">
        <v>3230</v>
      </c>
      <c r="C3" s="3021" t="s">
        <v>3279</v>
      </c>
      <c r="D3" s="3007" t="s">
        <v>3220</v>
      </c>
      <c r="E3" s="3011">
        <v>195.21</v>
      </c>
      <c r="F3" s="3011">
        <v>32737.59</v>
      </c>
      <c r="G3" s="3012">
        <f>E3*F3/10000</f>
        <v>639.07049439000002</v>
      </c>
      <c r="H3" s="3013"/>
      <c r="I3" s="3014">
        <v>1</v>
      </c>
      <c r="J3" s="3013"/>
      <c r="K3" s="3013"/>
    </row>
    <row r="4" spans="1:11" ht="14.25">
      <c r="A4" s="3007">
        <v>2</v>
      </c>
      <c r="B4" s="3360"/>
      <c r="C4" s="3007" t="s">
        <v>3231</v>
      </c>
      <c r="D4" s="3007" t="s">
        <v>3220</v>
      </c>
      <c r="E4" s="3011">
        <v>121</v>
      </c>
      <c r="F4" s="3011">
        <v>33609.83</v>
      </c>
      <c r="G4" s="3012">
        <f t="shared" ref="G4:G43" si="0">E4*F4/10000</f>
        <v>406.678943</v>
      </c>
      <c r="H4" s="3013"/>
      <c r="I4" s="3014">
        <v>1</v>
      </c>
      <c r="J4" s="3013"/>
      <c r="K4" s="3013"/>
    </row>
    <row r="5" spans="1:11" ht="14.25">
      <c r="A5" s="3007">
        <v>3</v>
      </c>
      <c r="B5" s="3360"/>
      <c r="C5" s="3007" t="s">
        <v>3232</v>
      </c>
      <c r="D5" s="3007" t="s">
        <v>3220</v>
      </c>
      <c r="E5" s="3011">
        <v>91.29</v>
      </c>
      <c r="F5" s="3011">
        <v>34497.58</v>
      </c>
      <c r="G5" s="3012">
        <f t="shared" si="0"/>
        <v>314.92840782000002</v>
      </c>
      <c r="H5" s="3013"/>
      <c r="I5" s="3014">
        <v>1</v>
      </c>
      <c r="J5" s="3013"/>
      <c r="K5" s="3013"/>
    </row>
    <row r="6" spans="1:11" ht="14.25">
      <c r="A6" s="3007">
        <v>4</v>
      </c>
      <c r="B6" s="3360"/>
      <c r="C6" s="3007" t="s">
        <v>3233</v>
      </c>
      <c r="D6" s="3007" t="s">
        <v>3220</v>
      </c>
      <c r="E6" s="3011">
        <v>91.29</v>
      </c>
      <c r="F6" s="3011">
        <v>34497.58</v>
      </c>
      <c r="G6" s="3012">
        <f t="shared" si="0"/>
        <v>314.92840782000002</v>
      </c>
      <c r="H6" s="3013"/>
      <c r="I6" s="3014">
        <v>1</v>
      </c>
      <c r="J6" s="3013"/>
      <c r="K6" s="3013"/>
    </row>
    <row r="7" spans="1:11" ht="14.25">
      <c r="A7" s="3007">
        <v>5</v>
      </c>
      <c r="B7" s="3360"/>
      <c r="C7" s="3007" t="s">
        <v>3234</v>
      </c>
      <c r="D7" s="3007" t="s">
        <v>3220</v>
      </c>
      <c r="E7" s="3011">
        <v>121</v>
      </c>
      <c r="F7" s="3011">
        <v>33609.83</v>
      </c>
      <c r="G7" s="3012">
        <f t="shared" si="0"/>
        <v>406.678943</v>
      </c>
      <c r="H7" s="3013"/>
      <c r="I7" s="3014">
        <v>1</v>
      </c>
      <c r="J7" s="3013"/>
      <c r="K7" s="3013"/>
    </row>
    <row r="8" spans="1:11" ht="14.25">
      <c r="A8" s="3007">
        <v>6</v>
      </c>
      <c r="B8" s="3360"/>
      <c r="C8" s="3007" t="s">
        <v>3235</v>
      </c>
      <c r="D8" s="3007" t="s">
        <v>3220</v>
      </c>
      <c r="E8" s="3011">
        <v>195.21</v>
      </c>
      <c r="F8" s="3011">
        <v>32737.59</v>
      </c>
      <c r="G8" s="3012">
        <f t="shared" si="0"/>
        <v>639.07049439000002</v>
      </c>
      <c r="H8" s="3013"/>
      <c r="I8" s="3014">
        <v>1</v>
      </c>
      <c r="J8" s="3013"/>
      <c r="K8" s="3013"/>
    </row>
    <row r="9" spans="1:11" ht="14.25">
      <c r="A9" s="3007">
        <v>7</v>
      </c>
      <c r="B9" s="3360"/>
      <c r="C9" s="3007" t="s">
        <v>3236</v>
      </c>
      <c r="D9" s="3007" t="s">
        <v>3220</v>
      </c>
      <c r="E9" s="3011">
        <v>74.63</v>
      </c>
      <c r="F9" s="3011">
        <v>25299.71</v>
      </c>
      <c r="G9" s="3012">
        <f t="shared" si="0"/>
        <v>188.81173572999998</v>
      </c>
      <c r="H9" s="3013"/>
      <c r="I9" s="3014">
        <v>1</v>
      </c>
      <c r="J9" s="3013"/>
      <c r="K9" s="3013"/>
    </row>
    <row r="10" spans="1:11" ht="14.25">
      <c r="A10" s="3007">
        <v>8</v>
      </c>
      <c r="B10" s="3360"/>
      <c r="C10" s="3007" t="s">
        <v>3237</v>
      </c>
      <c r="D10" s="3007" t="s">
        <v>3220</v>
      </c>
      <c r="E10" s="3011">
        <v>74.63</v>
      </c>
      <c r="F10" s="3011">
        <v>25299.71</v>
      </c>
      <c r="G10" s="3012">
        <f t="shared" si="0"/>
        <v>188.81173572999998</v>
      </c>
      <c r="H10" s="3013"/>
      <c r="I10" s="3014">
        <v>1</v>
      </c>
      <c r="J10" s="3013"/>
      <c r="K10" s="3013"/>
    </row>
    <row r="11" spans="1:11" ht="14.25">
      <c r="A11" s="3007">
        <v>9</v>
      </c>
      <c r="B11" s="3360"/>
      <c r="C11" s="3007" t="s">
        <v>3238</v>
      </c>
      <c r="D11" s="3007" t="s">
        <v>3220</v>
      </c>
      <c r="E11" s="3011">
        <v>93.07</v>
      </c>
      <c r="F11" s="3011">
        <v>25390.76</v>
      </c>
      <c r="G11" s="3012">
        <f t="shared" si="0"/>
        <v>236.31180331999994</v>
      </c>
      <c r="H11" s="3013"/>
      <c r="I11" s="3014">
        <v>1</v>
      </c>
      <c r="J11" s="3013"/>
      <c r="K11" s="3013"/>
    </row>
    <row r="12" spans="1:11" ht="14.25">
      <c r="A12" s="3007">
        <v>10</v>
      </c>
      <c r="B12" s="3360"/>
      <c r="C12" s="3007" t="s">
        <v>3239</v>
      </c>
      <c r="D12" s="3007" t="s">
        <v>3220</v>
      </c>
      <c r="E12" s="3011">
        <v>93.07</v>
      </c>
      <c r="F12" s="3011">
        <v>25390.76</v>
      </c>
      <c r="G12" s="3012">
        <f t="shared" si="0"/>
        <v>236.31180331999994</v>
      </c>
      <c r="H12" s="3013"/>
      <c r="I12" s="3014">
        <v>1</v>
      </c>
      <c r="J12" s="3013"/>
      <c r="K12" s="3013"/>
    </row>
    <row r="13" spans="1:11" ht="14.25">
      <c r="A13" s="3007">
        <v>11</v>
      </c>
      <c r="B13" s="3360"/>
      <c r="C13" s="3007" t="s">
        <v>3240</v>
      </c>
      <c r="D13" s="3007" t="s">
        <v>3220</v>
      </c>
      <c r="E13" s="3011">
        <v>74.63</v>
      </c>
      <c r="F13" s="3011">
        <v>16894.240000000002</v>
      </c>
      <c r="G13" s="3012">
        <f t="shared" si="0"/>
        <v>126.08171311999999</v>
      </c>
      <c r="H13" s="3013"/>
      <c r="I13" s="3014">
        <v>1</v>
      </c>
      <c r="J13" s="3013"/>
      <c r="K13" s="3013"/>
    </row>
    <row r="14" spans="1:11" ht="14.25">
      <c r="A14" s="3007">
        <v>12</v>
      </c>
      <c r="B14" s="3360"/>
      <c r="C14" s="3007" t="s">
        <v>3241</v>
      </c>
      <c r="D14" s="3007" t="s">
        <v>3220</v>
      </c>
      <c r="E14" s="3011">
        <v>74.63</v>
      </c>
      <c r="F14" s="3011">
        <v>16894.240000000002</v>
      </c>
      <c r="G14" s="3012">
        <f t="shared" si="0"/>
        <v>126.08171311999999</v>
      </c>
      <c r="H14" s="3013"/>
      <c r="I14" s="3014">
        <v>1</v>
      </c>
      <c r="J14" s="3013"/>
      <c r="K14" s="3013"/>
    </row>
    <row r="15" spans="1:11" ht="14.25">
      <c r="A15" s="3007">
        <v>13</v>
      </c>
      <c r="B15" s="3360"/>
      <c r="C15" s="3007" t="s">
        <v>3242</v>
      </c>
      <c r="D15" s="3007" t="s">
        <v>3220</v>
      </c>
      <c r="E15" s="3011">
        <v>93.07</v>
      </c>
      <c r="F15" s="3011">
        <v>16985.3</v>
      </c>
      <c r="G15" s="3012">
        <f t="shared" si="0"/>
        <v>158.08218709999997</v>
      </c>
      <c r="H15" s="3013"/>
      <c r="I15" s="3014">
        <v>1</v>
      </c>
      <c r="J15" s="3013"/>
      <c r="K15" s="3013"/>
    </row>
    <row r="16" spans="1:11" ht="14.25">
      <c r="A16" s="3007">
        <v>14</v>
      </c>
      <c r="B16" s="3360"/>
      <c r="C16" s="3007" t="s">
        <v>3243</v>
      </c>
      <c r="D16" s="3007" t="s">
        <v>3220</v>
      </c>
      <c r="E16" s="3011">
        <v>93.07</v>
      </c>
      <c r="F16" s="3011">
        <v>16985.3</v>
      </c>
      <c r="G16" s="3012">
        <f t="shared" si="0"/>
        <v>158.08218709999997</v>
      </c>
      <c r="H16" s="3013"/>
      <c r="I16" s="3014">
        <v>1</v>
      </c>
      <c r="J16" s="3013"/>
      <c r="K16" s="3013"/>
    </row>
    <row r="17" spans="1:11" ht="14.25">
      <c r="A17" s="3007">
        <v>15</v>
      </c>
      <c r="B17" s="3360"/>
      <c r="C17" s="3007" t="s">
        <v>3244</v>
      </c>
      <c r="D17" s="3007" t="s">
        <v>3220</v>
      </c>
      <c r="E17" s="3011">
        <v>74.63</v>
      </c>
      <c r="F17" s="3011">
        <v>12602.81</v>
      </c>
      <c r="G17" s="3012">
        <f t="shared" si="0"/>
        <v>94.054771029999998</v>
      </c>
      <c r="H17" s="3013"/>
      <c r="I17" s="3014">
        <v>1</v>
      </c>
      <c r="J17" s="3013"/>
      <c r="K17" s="3013"/>
    </row>
    <row r="18" spans="1:11" ht="14.25">
      <c r="A18" s="3007">
        <v>16</v>
      </c>
      <c r="B18" s="3360"/>
      <c r="C18" s="3007" t="s">
        <v>3245</v>
      </c>
      <c r="D18" s="3007" t="s">
        <v>3220</v>
      </c>
      <c r="E18" s="3011">
        <v>74.63</v>
      </c>
      <c r="F18" s="3011">
        <v>12602.81</v>
      </c>
      <c r="G18" s="3012">
        <f t="shared" si="0"/>
        <v>94.054771029999998</v>
      </c>
      <c r="H18" s="3013"/>
      <c r="I18" s="3014">
        <v>1</v>
      </c>
      <c r="J18" s="3013"/>
      <c r="K18" s="3013"/>
    </row>
    <row r="19" spans="1:11" ht="14.25">
      <c r="A19" s="3007">
        <v>17</v>
      </c>
      <c r="B19" s="3360"/>
      <c r="C19" s="3007" t="s">
        <v>3246</v>
      </c>
      <c r="D19" s="3007" t="s">
        <v>3220</v>
      </c>
      <c r="E19" s="3011">
        <v>93.07</v>
      </c>
      <c r="F19" s="3011">
        <v>12693.88</v>
      </c>
      <c r="G19" s="3012">
        <f t="shared" si="0"/>
        <v>118.14194115999997</v>
      </c>
      <c r="H19" s="3013"/>
      <c r="I19" s="3014">
        <v>1</v>
      </c>
      <c r="J19" s="3013"/>
      <c r="K19" s="3013"/>
    </row>
    <row r="20" spans="1:11" ht="14.25">
      <c r="A20" s="3007">
        <v>18</v>
      </c>
      <c r="B20" s="3360"/>
      <c r="C20" s="3007" t="s">
        <v>3247</v>
      </c>
      <c r="D20" s="3007" t="s">
        <v>3220</v>
      </c>
      <c r="E20" s="3011">
        <v>93.07</v>
      </c>
      <c r="F20" s="3011">
        <v>12693.88</v>
      </c>
      <c r="G20" s="3012">
        <f t="shared" si="0"/>
        <v>118.14194115999997</v>
      </c>
      <c r="H20" s="3013"/>
      <c r="I20" s="3014">
        <v>1</v>
      </c>
      <c r="J20" s="3013"/>
      <c r="K20" s="3013"/>
    </row>
    <row r="21" spans="1:11" ht="14.25">
      <c r="A21" s="3007">
        <v>19</v>
      </c>
      <c r="B21" s="3360"/>
      <c r="C21" s="3007" t="s">
        <v>3248</v>
      </c>
      <c r="D21" s="3007" t="s">
        <v>3220</v>
      </c>
      <c r="E21" s="3011">
        <v>162.27000000000001</v>
      </c>
      <c r="F21" s="3011">
        <v>21529.93</v>
      </c>
      <c r="G21" s="3012">
        <f t="shared" si="0"/>
        <v>349.36617411000003</v>
      </c>
      <c r="H21" s="3013"/>
      <c r="I21" s="3014">
        <v>1</v>
      </c>
      <c r="J21" s="3013"/>
      <c r="K21" s="3013"/>
    </row>
    <row r="22" spans="1:11" ht="27">
      <c r="A22" s="3007">
        <v>20</v>
      </c>
      <c r="B22" s="3360"/>
      <c r="C22" s="3015" t="s">
        <v>3249</v>
      </c>
      <c r="D22" s="3007" t="s">
        <v>3220</v>
      </c>
      <c r="E22" s="3011">
        <v>76.989999999999995</v>
      </c>
      <c r="F22" s="3011">
        <v>14360.33</v>
      </c>
      <c r="G22" s="3012">
        <f t="shared" si="0"/>
        <v>110.56018066999998</v>
      </c>
      <c r="H22" s="3013"/>
      <c r="I22" s="3014">
        <v>1</v>
      </c>
      <c r="J22" s="3013"/>
      <c r="K22" s="3013"/>
    </row>
    <row r="23" spans="1:11" ht="27">
      <c r="A23" s="3007">
        <v>21</v>
      </c>
      <c r="B23" s="3360"/>
      <c r="C23" s="3015" t="s">
        <v>3250</v>
      </c>
      <c r="D23" s="3007" t="s">
        <v>3220</v>
      </c>
      <c r="E23" s="3011">
        <v>97.66</v>
      </c>
      <c r="F23" s="3011">
        <v>14454.62</v>
      </c>
      <c r="G23" s="3012">
        <f t="shared" si="0"/>
        <v>141.16381892000001</v>
      </c>
      <c r="H23" s="3013"/>
      <c r="I23" s="3014">
        <v>1</v>
      </c>
      <c r="J23" s="3013"/>
      <c r="K23" s="3013"/>
    </row>
    <row r="24" spans="1:11" ht="14.25">
      <c r="A24" s="3007">
        <v>22</v>
      </c>
      <c r="B24" s="3360"/>
      <c r="C24" s="3015" t="s">
        <v>3251</v>
      </c>
      <c r="D24" s="3007" t="s">
        <v>3220</v>
      </c>
      <c r="E24" s="3011">
        <v>162.27000000000001</v>
      </c>
      <c r="F24" s="3011">
        <v>14300.46</v>
      </c>
      <c r="G24" s="3012">
        <f t="shared" si="0"/>
        <v>232.05356441999999</v>
      </c>
      <c r="H24" s="3013"/>
      <c r="I24" s="3014">
        <v>1</v>
      </c>
      <c r="J24" s="3013"/>
      <c r="K24" s="3013"/>
    </row>
    <row r="25" spans="1:11" ht="14.25">
      <c r="A25" s="3007">
        <v>23</v>
      </c>
      <c r="B25" s="3360"/>
      <c r="C25" s="3007" t="s">
        <v>3252</v>
      </c>
      <c r="D25" s="3007" t="s">
        <v>3220</v>
      </c>
      <c r="E25" s="3011">
        <v>53.17</v>
      </c>
      <c r="F25" s="3011">
        <v>14552.74</v>
      </c>
      <c r="G25" s="3012">
        <f t="shared" si="0"/>
        <v>77.376918579999995</v>
      </c>
      <c r="H25" s="3013"/>
      <c r="I25" s="3014">
        <v>1</v>
      </c>
      <c r="J25" s="3013"/>
      <c r="K25" s="3013"/>
    </row>
    <row r="26" spans="1:11" ht="14.25">
      <c r="A26" s="3007">
        <v>24</v>
      </c>
      <c r="B26" s="3360"/>
      <c r="C26" s="3007" t="s">
        <v>3253</v>
      </c>
      <c r="D26" s="3007" t="s">
        <v>3220</v>
      </c>
      <c r="E26" s="3011">
        <v>113.39</v>
      </c>
      <c r="F26" s="3011">
        <v>33000</v>
      </c>
      <c r="G26" s="3012">
        <f t="shared" si="0"/>
        <v>374.18700000000001</v>
      </c>
      <c r="H26" s="3013"/>
      <c r="I26" s="3014">
        <v>1</v>
      </c>
      <c r="J26" s="3013"/>
      <c r="K26" s="3013"/>
    </row>
    <row r="27" spans="1:11" ht="14.25">
      <c r="A27" s="3007">
        <v>25</v>
      </c>
      <c r="B27" s="3360"/>
      <c r="C27" s="3007" t="s">
        <v>3254</v>
      </c>
      <c r="D27" s="3007" t="s">
        <v>3220</v>
      </c>
      <c r="E27" s="3011">
        <v>52.91</v>
      </c>
      <c r="F27" s="3011">
        <v>33000</v>
      </c>
      <c r="G27" s="3012">
        <f t="shared" si="0"/>
        <v>174.60300000000001</v>
      </c>
      <c r="H27" s="3013"/>
      <c r="I27" s="3014">
        <v>1</v>
      </c>
      <c r="J27" s="3013"/>
      <c r="K27" s="3013"/>
    </row>
    <row r="28" spans="1:11" ht="14.25">
      <c r="A28" s="3007">
        <v>26</v>
      </c>
      <c r="B28" s="3360"/>
      <c r="C28" s="3007" t="s">
        <v>3255</v>
      </c>
      <c r="D28" s="3007" t="s">
        <v>3220</v>
      </c>
      <c r="E28" s="3011">
        <v>75.59</v>
      </c>
      <c r="F28" s="3011">
        <v>33000</v>
      </c>
      <c r="G28" s="3012">
        <f t="shared" si="0"/>
        <v>249.447</v>
      </c>
      <c r="H28" s="3013"/>
      <c r="I28" s="3014">
        <v>1</v>
      </c>
      <c r="J28" s="3013"/>
      <c r="K28" s="3013"/>
    </row>
    <row r="29" spans="1:11" ht="14.25">
      <c r="A29" s="3007">
        <v>27</v>
      </c>
      <c r="B29" s="3360"/>
      <c r="C29" s="3007" t="s">
        <v>3256</v>
      </c>
      <c r="D29" s="3007" t="s">
        <v>3220</v>
      </c>
      <c r="E29" s="3011">
        <v>119.07</v>
      </c>
      <c r="F29" s="3011">
        <v>33000</v>
      </c>
      <c r="G29" s="3012">
        <f t="shared" si="0"/>
        <v>392.93099999999998</v>
      </c>
      <c r="H29" s="3013"/>
      <c r="I29" s="3014">
        <v>1</v>
      </c>
      <c r="J29" s="3013"/>
      <c r="K29" s="3013"/>
    </row>
    <row r="30" spans="1:11" ht="14.25">
      <c r="A30" s="3007">
        <v>28</v>
      </c>
      <c r="B30" s="3360"/>
      <c r="C30" s="3007" t="s">
        <v>3257</v>
      </c>
      <c r="D30" s="3007" t="s">
        <v>3220</v>
      </c>
      <c r="E30" s="3011">
        <v>124.87</v>
      </c>
      <c r="F30" s="3011">
        <v>33000</v>
      </c>
      <c r="G30" s="3012">
        <f t="shared" si="0"/>
        <v>412.07100000000003</v>
      </c>
      <c r="H30" s="3013"/>
      <c r="I30" s="3014">
        <v>1</v>
      </c>
      <c r="J30" s="3013"/>
      <c r="K30" s="3013"/>
    </row>
    <row r="31" spans="1:11" ht="14.25">
      <c r="A31" s="3007">
        <v>29</v>
      </c>
      <c r="B31" s="3360"/>
      <c r="C31" s="3007" t="s">
        <v>3258</v>
      </c>
      <c r="D31" s="3007" t="s">
        <v>3220</v>
      </c>
      <c r="E31" s="3011">
        <v>113.39</v>
      </c>
      <c r="F31" s="3011">
        <v>25000</v>
      </c>
      <c r="G31" s="3012">
        <f t="shared" si="0"/>
        <v>283.47500000000002</v>
      </c>
      <c r="H31" s="3013"/>
      <c r="I31" s="3014">
        <v>1</v>
      </c>
      <c r="J31" s="3013"/>
      <c r="K31" s="3013"/>
    </row>
    <row r="32" spans="1:11" ht="14.25">
      <c r="A32" s="3007">
        <v>30</v>
      </c>
      <c r="B32" s="3360"/>
      <c r="C32" s="3007" t="s">
        <v>3259</v>
      </c>
      <c r="D32" s="3007" t="s">
        <v>3220</v>
      </c>
      <c r="E32" s="3011">
        <v>52.91</v>
      </c>
      <c r="F32" s="3011">
        <v>25000</v>
      </c>
      <c r="G32" s="3012">
        <f t="shared" si="0"/>
        <v>132.27500000000001</v>
      </c>
      <c r="H32" s="3013"/>
      <c r="I32" s="3014">
        <v>1</v>
      </c>
      <c r="J32" s="3013"/>
      <c r="K32" s="3013"/>
    </row>
    <row r="33" spans="1:14" ht="14.25">
      <c r="A33" s="3007">
        <v>31</v>
      </c>
      <c r="B33" s="3360"/>
      <c r="C33" s="3007" t="s">
        <v>3260</v>
      </c>
      <c r="D33" s="3007" t="s">
        <v>3220</v>
      </c>
      <c r="E33" s="3011">
        <v>75.59</v>
      </c>
      <c r="F33" s="3011">
        <v>25000</v>
      </c>
      <c r="G33" s="3012">
        <f t="shared" si="0"/>
        <v>188.97499999999999</v>
      </c>
      <c r="H33" s="3013"/>
      <c r="I33" s="3014">
        <v>1</v>
      </c>
      <c r="J33" s="3013"/>
      <c r="K33" s="3013"/>
    </row>
    <row r="34" spans="1:14" ht="14.25">
      <c r="A34" s="3007">
        <v>32</v>
      </c>
      <c r="B34" s="3360"/>
      <c r="C34" s="3007" t="s">
        <v>3261</v>
      </c>
      <c r="D34" s="3007" t="s">
        <v>3220</v>
      </c>
      <c r="E34" s="3011">
        <v>119.07</v>
      </c>
      <c r="F34" s="3011">
        <v>25000</v>
      </c>
      <c r="G34" s="3012">
        <f t="shared" si="0"/>
        <v>297.67500000000001</v>
      </c>
      <c r="H34" s="3013"/>
      <c r="I34" s="3014">
        <v>1</v>
      </c>
      <c r="J34" s="3013"/>
      <c r="K34" s="3013"/>
    </row>
    <row r="35" spans="1:14" ht="14.25">
      <c r="A35" s="3007">
        <v>33</v>
      </c>
      <c r="B35" s="3360"/>
      <c r="C35" s="3007" t="s">
        <v>3262</v>
      </c>
      <c r="D35" s="3007" t="s">
        <v>3220</v>
      </c>
      <c r="E35" s="3011">
        <v>124.83</v>
      </c>
      <c r="F35" s="3011">
        <v>25000</v>
      </c>
      <c r="G35" s="3012">
        <f t="shared" si="0"/>
        <v>312.07499999999999</v>
      </c>
      <c r="H35" s="3013"/>
      <c r="I35" s="3014">
        <v>1</v>
      </c>
      <c r="J35" s="3013"/>
      <c r="K35" s="3013"/>
    </row>
    <row r="36" spans="1:14" ht="14.25">
      <c r="A36" s="3007">
        <v>34</v>
      </c>
      <c r="B36" s="3360"/>
      <c r="C36" s="3007" t="s">
        <v>3263</v>
      </c>
      <c r="D36" s="3007" t="s">
        <v>3220</v>
      </c>
      <c r="E36" s="3011">
        <v>113.39</v>
      </c>
      <c r="F36" s="3011">
        <v>12000</v>
      </c>
      <c r="G36" s="3012">
        <f t="shared" si="0"/>
        <v>136.06800000000001</v>
      </c>
      <c r="H36" s="3013"/>
      <c r="I36" s="3014">
        <v>1</v>
      </c>
      <c r="J36" s="3013"/>
      <c r="K36" s="3013"/>
    </row>
    <row r="37" spans="1:14" ht="14.25">
      <c r="A37" s="3007">
        <v>35</v>
      </c>
      <c r="B37" s="3360"/>
      <c r="C37" s="3007" t="s">
        <v>3264</v>
      </c>
      <c r="D37" s="3007" t="s">
        <v>3220</v>
      </c>
      <c r="E37" s="3011">
        <v>52.91</v>
      </c>
      <c r="F37" s="3011">
        <v>12000</v>
      </c>
      <c r="G37" s="3012">
        <f t="shared" si="0"/>
        <v>63.491999999999997</v>
      </c>
      <c r="H37" s="3013"/>
      <c r="I37" s="3014">
        <v>1</v>
      </c>
      <c r="J37" s="3013"/>
      <c r="K37" s="3013"/>
    </row>
    <row r="38" spans="1:14" ht="14.25">
      <c r="A38" s="3007">
        <v>36</v>
      </c>
      <c r="B38" s="3360"/>
      <c r="C38" s="3007" t="s">
        <v>3265</v>
      </c>
      <c r="D38" s="3007" t="s">
        <v>3220</v>
      </c>
      <c r="E38" s="3011">
        <v>75.59</v>
      </c>
      <c r="F38" s="3011">
        <v>12000</v>
      </c>
      <c r="G38" s="3012">
        <f t="shared" si="0"/>
        <v>90.707999999999998</v>
      </c>
      <c r="H38" s="3013"/>
      <c r="I38" s="3014">
        <v>1</v>
      </c>
      <c r="J38" s="3013"/>
      <c r="K38" s="3013"/>
    </row>
    <row r="39" spans="1:14" ht="14.25">
      <c r="A39" s="3007">
        <v>37</v>
      </c>
      <c r="B39" s="3360"/>
      <c r="C39" s="3007" t="s">
        <v>3266</v>
      </c>
      <c r="D39" s="3007" t="s">
        <v>3220</v>
      </c>
      <c r="E39" s="3011">
        <v>119.07</v>
      </c>
      <c r="F39" s="3011">
        <v>12000</v>
      </c>
      <c r="G39" s="3012">
        <f t="shared" si="0"/>
        <v>142.88399999999999</v>
      </c>
      <c r="H39" s="3013"/>
      <c r="I39" s="3014">
        <v>1</v>
      </c>
      <c r="J39" s="3013"/>
      <c r="K39" s="3013"/>
    </row>
    <row r="40" spans="1:14" ht="14.25">
      <c r="A40" s="3007">
        <v>38</v>
      </c>
      <c r="B40" s="3360"/>
      <c r="C40" s="3007" t="s">
        <v>3267</v>
      </c>
      <c r="D40" s="3007" t="s">
        <v>3220</v>
      </c>
      <c r="E40" s="3011">
        <v>124.87</v>
      </c>
      <c r="F40" s="3011">
        <v>12000</v>
      </c>
      <c r="G40" s="3012">
        <f t="shared" si="0"/>
        <v>149.84399999999999</v>
      </c>
      <c r="H40" s="3013"/>
      <c r="I40" s="3014">
        <v>1</v>
      </c>
      <c r="J40" s="3013"/>
      <c r="K40" s="3013"/>
    </row>
    <row r="41" spans="1:14" ht="14.25">
      <c r="A41" s="3007">
        <v>39</v>
      </c>
      <c r="B41" s="3360"/>
      <c r="C41" s="3007" t="s">
        <v>3268</v>
      </c>
      <c r="D41" s="3007" t="s">
        <v>3220</v>
      </c>
      <c r="E41" s="3011">
        <v>66.489999999999995</v>
      </c>
      <c r="F41" s="3011">
        <v>12000</v>
      </c>
      <c r="G41" s="3012">
        <f t="shared" si="0"/>
        <v>79.787999999999982</v>
      </c>
      <c r="H41" s="3013"/>
      <c r="I41" s="3014">
        <v>1</v>
      </c>
      <c r="J41" s="3013"/>
      <c r="K41" s="3013"/>
    </row>
    <row r="42" spans="1:14" ht="14.25">
      <c r="A42" s="3007">
        <v>40</v>
      </c>
      <c r="B42" s="3360"/>
      <c r="C42" s="3007" t="s">
        <v>3269</v>
      </c>
      <c r="D42" s="3007" t="s">
        <v>3220</v>
      </c>
      <c r="E42" s="3011">
        <v>66.45</v>
      </c>
      <c r="F42" s="3011">
        <v>12000</v>
      </c>
      <c r="G42" s="3012">
        <f t="shared" si="0"/>
        <v>79.739999999999995</v>
      </c>
      <c r="H42" s="3013"/>
      <c r="I42" s="3014">
        <v>1</v>
      </c>
      <c r="J42" s="3013"/>
      <c r="K42" s="3013"/>
    </row>
    <row r="43" spans="1:14" ht="14.25">
      <c r="A43" s="3016">
        <v>41</v>
      </c>
      <c r="B43" s="3360"/>
      <c r="C43" s="3009" t="s">
        <v>3270</v>
      </c>
      <c r="D43" s="3007" t="s">
        <v>3220</v>
      </c>
      <c r="E43" s="3011">
        <v>56.15</v>
      </c>
      <c r="F43" s="3011">
        <v>30000</v>
      </c>
      <c r="G43" s="3012">
        <f t="shared" si="0"/>
        <v>168.45</v>
      </c>
      <c r="H43" s="3017"/>
      <c r="I43" s="3014">
        <v>1</v>
      </c>
      <c r="J43" s="3017"/>
      <c r="K43" s="3017"/>
      <c r="L43" s="3004">
        <f>SUM(E3:E43)</f>
        <v>4020.0999999999995</v>
      </c>
      <c r="N43" s="3018">
        <f>SUM(G3:G43)</f>
        <v>9203.5326500400006</v>
      </c>
    </row>
    <row r="44" spans="1:14">
      <c r="A44" s="3019" t="s">
        <v>3271</v>
      </c>
      <c r="E44" s="3010">
        <f>SUM(E3:E43)</f>
        <v>4020.0999999999995</v>
      </c>
    </row>
    <row r="174" ht="13.5" customHeight="1"/>
  </sheetData>
  <mergeCells count="2">
    <mergeCell ref="A1:K1"/>
    <mergeCell ref="B3:B4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I93"/>
  <sheetViews>
    <sheetView topLeftCell="A62" workbookViewId="0">
      <selection activeCell="B65" sqref="B65:I93"/>
    </sheetView>
  </sheetViews>
  <sheetFormatPr defaultRowHeight="13.5"/>
  <sheetData>
    <row r="1" spans="2:7" ht="14.25" thickBot="1"/>
    <row r="2" spans="2:7" ht="14.25" thickBot="1">
      <c r="B2" s="3378" t="s">
        <v>3134</v>
      </c>
      <c r="C2" s="3379"/>
      <c r="D2" s="2962" t="s">
        <v>3135</v>
      </c>
      <c r="E2" s="2962" t="s">
        <v>3136</v>
      </c>
      <c r="F2" s="2962" t="s">
        <v>3137</v>
      </c>
      <c r="G2" s="2962" t="s">
        <v>3138</v>
      </c>
    </row>
    <row r="3" spans="2:7" ht="26.25" thickBot="1">
      <c r="B3" s="3380"/>
      <c r="C3" s="3381"/>
      <c r="D3" s="2963" t="s">
        <v>3153</v>
      </c>
      <c r="E3" s="2963" t="s">
        <v>3154</v>
      </c>
      <c r="F3" s="2963" t="s">
        <v>3156</v>
      </c>
      <c r="G3" s="2963" t="s">
        <v>3158</v>
      </c>
    </row>
    <row r="4" spans="2:7" ht="90" thickBot="1">
      <c r="B4" s="3382"/>
      <c r="C4" s="3383"/>
      <c r="D4" s="2964" t="s">
        <v>3160</v>
      </c>
      <c r="E4" s="2965" t="s">
        <v>3155</v>
      </c>
      <c r="F4" s="2965" t="s">
        <v>3157</v>
      </c>
      <c r="G4" s="2965" t="s">
        <v>3159</v>
      </c>
    </row>
    <row r="5" spans="2:7" ht="14.25" thickBot="1">
      <c r="B5" s="3363" t="s">
        <v>3139</v>
      </c>
      <c r="C5" s="3364"/>
      <c r="D5" s="2966">
        <v>43191</v>
      </c>
      <c r="E5" s="2966">
        <v>43191</v>
      </c>
      <c r="F5" s="2966">
        <v>43191</v>
      </c>
      <c r="G5" s="2966">
        <v>43191</v>
      </c>
    </row>
    <row r="6" spans="2:7" ht="14.25" thickBot="1">
      <c r="B6" s="3384" t="s">
        <v>3140</v>
      </c>
      <c r="C6" s="3385"/>
      <c r="D6" s="2965" t="s">
        <v>3079</v>
      </c>
      <c r="E6" s="2965" t="s">
        <v>3079</v>
      </c>
      <c r="F6" s="2965" t="s">
        <v>3079</v>
      </c>
      <c r="G6" s="2965" t="s">
        <v>3079</v>
      </c>
    </row>
    <row r="7" spans="2:7" ht="14.25" thickBot="1">
      <c r="B7" s="3386" t="s">
        <v>3163</v>
      </c>
      <c r="C7" s="2967" t="s">
        <v>1375</v>
      </c>
      <c r="D7" s="2965" t="s">
        <v>3195</v>
      </c>
      <c r="E7" s="2965" t="s">
        <v>3195</v>
      </c>
      <c r="F7" s="2965" t="s">
        <v>3195</v>
      </c>
      <c r="G7" s="2965" t="s">
        <v>3195</v>
      </c>
    </row>
    <row r="8" spans="2:7" ht="26.25" thickBot="1">
      <c r="B8" s="3387"/>
      <c r="C8" s="2967" t="s">
        <v>3141</v>
      </c>
      <c r="D8" s="2965" t="s">
        <v>3161</v>
      </c>
      <c r="E8" s="2965" t="s">
        <v>3161</v>
      </c>
      <c r="F8" s="2965" t="s">
        <v>3161</v>
      </c>
      <c r="G8" s="2965" t="s">
        <v>3161</v>
      </c>
    </row>
    <row r="9" spans="2:7" ht="14.25" thickBot="1">
      <c r="B9" s="3388"/>
      <c r="C9" s="2965" t="s">
        <v>3164</v>
      </c>
      <c r="D9" s="2970">
        <v>5.31</v>
      </c>
      <c r="E9" s="2970">
        <v>4</v>
      </c>
      <c r="F9" s="2970">
        <v>4.09</v>
      </c>
      <c r="G9" s="2970">
        <v>2.2999999999999998</v>
      </c>
    </row>
    <row r="10" spans="2:7" ht="141" thickBot="1">
      <c r="B10" s="3389" t="s">
        <v>3142</v>
      </c>
      <c r="C10" s="2968" t="s">
        <v>3165</v>
      </c>
      <c r="D10" s="2965" t="s">
        <v>3166</v>
      </c>
      <c r="E10" s="2965" t="s">
        <v>3196</v>
      </c>
      <c r="F10" s="2965" t="s">
        <v>3200</v>
      </c>
      <c r="G10" s="2965" t="s">
        <v>3201</v>
      </c>
    </row>
    <row r="11" spans="2:7" ht="60.75" customHeight="1" thickBot="1">
      <c r="B11" s="3373"/>
      <c r="C11" s="2968" t="s">
        <v>3167</v>
      </c>
      <c r="D11" s="2965" t="s">
        <v>3168</v>
      </c>
      <c r="E11" s="2965" t="s">
        <v>3197</v>
      </c>
      <c r="F11" s="2965" t="s">
        <v>3197</v>
      </c>
      <c r="G11" s="2965" t="s">
        <v>3197</v>
      </c>
    </row>
    <row r="12" spans="2:7" ht="201" customHeight="1" thickBot="1">
      <c r="B12" s="3373"/>
      <c r="C12" s="2968" t="s">
        <v>3143</v>
      </c>
      <c r="D12" s="2965" t="s">
        <v>3169</v>
      </c>
      <c r="E12" s="2965" t="s">
        <v>3198</v>
      </c>
      <c r="F12" s="2965" t="s">
        <v>3198</v>
      </c>
      <c r="G12" s="2965" t="s">
        <v>3198</v>
      </c>
    </row>
    <row r="13" spans="2:7" ht="14.25" thickBot="1">
      <c r="B13" s="3373"/>
      <c r="C13" s="2968" t="s">
        <v>3144</v>
      </c>
      <c r="D13" s="2965" t="s">
        <v>3082</v>
      </c>
      <c r="E13" s="2965" t="s">
        <v>3082</v>
      </c>
      <c r="F13" s="2965" t="s">
        <v>3082</v>
      </c>
      <c r="G13" s="2965" t="s">
        <v>3082</v>
      </c>
    </row>
    <row r="14" spans="2:7" ht="90" thickBot="1">
      <c r="B14" s="3373"/>
      <c r="C14" s="2968" t="s">
        <v>3170</v>
      </c>
      <c r="D14" s="2965" t="s">
        <v>3171</v>
      </c>
      <c r="E14" s="2965" t="s">
        <v>3199</v>
      </c>
      <c r="F14" s="2965" t="s">
        <v>3199</v>
      </c>
      <c r="G14" s="2965" t="s">
        <v>3199</v>
      </c>
    </row>
    <row r="15" spans="2:7" ht="14.25" thickBot="1">
      <c r="B15" s="3373"/>
      <c r="C15" s="2968" t="s">
        <v>3172</v>
      </c>
      <c r="D15" s="2965" t="s">
        <v>3173</v>
      </c>
      <c r="E15" s="2965" t="s">
        <v>3173</v>
      </c>
      <c r="F15" s="2965" t="s">
        <v>3173</v>
      </c>
      <c r="G15" s="2965" t="s">
        <v>3173</v>
      </c>
    </row>
    <row r="16" spans="2:7" ht="14.25" thickBot="1">
      <c r="B16" s="3373"/>
      <c r="C16" s="2968" t="s">
        <v>3174</v>
      </c>
      <c r="D16" s="2965" t="s">
        <v>3175</v>
      </c>
      <c r="E16" s="2965" t="s">
        <v>3176</v>
      </c>
      <c r="F16" s="2965" t="s">
        <v>3177</v>
      </c>
      <c r="G16" s="2965" t="s">
        <v>3176</v>
      </c>
    </row>
    <row r="17" spans="2:7" ht="14.25" thickBot="1">
      <c r="B17" s="3373"/>
      <c r="C17" s="2968" t="s">
        <v>3178</v>
      </c>
      <c r="D17" s="2965" t="s">
        <v>3176</v>
      </c>
      <c r="E17" s="2965" t="s">
        <v>3177</v>
      </c>
      <c r="F17" s="2965" t="s">
        <v>3177</v>
      </c>
      <c r="G17" s="2965" t="s">
        <v>3177</v>
      </c>
    </row>
    <row r="18" spans="2:7" ht="14.25" thickBot="1">
      <c r="B18" s="3373"/>
      <c r="C18" s="2968" t="s">
        <v>3067</v>
      </c>
      <c r="D18" s="2965" t="s">
        <v>3179</v>
      </c>
      <c r="E18" s="2965" t="s">
        <v>3179</v>
      </c>
      <c r="F18" s="2965" t="s">
        <v>3179</v>
      </c>
      <c r="G18" s="2965" t="s">
        <v>3179</v>
      </c>
    </row>
    <row r="19" spans="2:7" ht="14.25" thickBot="1">
      <c r="B19" s="3365" t="s">
        <v>3145</v>
      </c>
      <c r="C19" s="2968" t="s">
        <v>3180</v>
      </c>
      <c r="D19" s="2963" t="s">
        <v>3181</v>
      </c>
      <c r="E19" s="2963" t="s">
        <v>3182</v>
      </c>
      <c r="F19" s="2963" t="s">
        <v>3182</v>
      </c>
      <c r="G19" s="2963" t="s">
        <v>3183</v>
      </c>
    </row>
    <row r="20" spans="2:7" ht="14.25" thickBot="1">
      <c r="B20" s="3366"/>
      <c r="C20" s="2968" t="s">
        <v>3146</v>
      </c>
      <c r="D20" s="2963">
        <v>191290</v>
      </c>
      <c r="E20" s="2963">
        <v>80000</v>
      </c>
      <c r="F20" s="2963">
        <v>220000</v>
      </c>
      <c r="G20" s="2963">
        <v>1840017</v>
      </c>
    </row>
    <row r="21" spans="2:7" ht="14.25" thickBot="1">
      <c r="B21" s="3366"/>
      <c r="C21" s="2968" t="s">
        <v>3147</v>
      </c>
      <c r="D21" s="2963" t="s">
        <v>3073</v>
      </c>
      <c r="E21" s="2963" t="s">
        <v>3073</v>
      </c>
      <c r="F21" s="2963" t="s">
        <v>3073</v>
      </c>
      <c r="G21" s="2963" t="s">
        <v>3073</v>
      </c>
    </row>
    <row r="22" spans="2:7" ht="14.25" thickBot="1">
      <c r="B22" s="3366"/>
      <c r="C22" s="2968" t="s">
        <v>3148</v>
      </c>
      <c r="D22" s="2963" t="s">
        <v>3106</v>
      </c>
      <c r="E22" s="2963" t="s">
        <v>3184</v>
      </c>
      <c r="F22" s="2963" t="s">
        <v>3106</v>
      </c>
      <c r="G22" s="2963" t="s">
        <v>3106</v>
      </c>
    </row>
    <row r="23" spans="2:7" ht="14.25" thickBot="1">
      <c r="B23" s="3366"/>
      <c r="C23" s="2968" t="s">
        <v>3149</v>
      </c>
      <c r="D23" s="2969">
        <v>0.95</v>
      </c>
      <c r="E23" s="2969">
        <v>1</v>
      </c>
      <c r="F23" s="2969">
        <v>1</v>
      </c>
      <c r="G23" s="2969">
        <v>1</v>
      </c>
    </row>
    <row r="24" spans="2:7" ht="14.25" thickBot="1">
      <c r="B24" s="3366"/>
      <c r="C24" s="2968" t="s">
        <v>3150</v>
      </c>
      <c r="D24" s="2963" t="s">
        <v>3082</v>
      </c>
      <c r="E24" s="2963" t="s">
        <v>3082</v>
      </c>
      <c r="F24" s="2963" t="s">
        <v>3082</v>
      </c>
      <c r="G24" s="2963" t="s">
        <v>3082</v>
      </c>
    </row>
    <row r="25" spans="2:7" ht="26.25" thickBot="1">
      <c r="B25" s="3366"/>
      <c r="C25" s="2968" t="s">
        <v>3185</v>
      </c>
      <c r="D25" s="2963" t="s">
        <v>3186</v>
      </c>
      <c r="E25" s="2963" t="s">
        <v>3187</v>
      </c>
      <c r="F25" s="2963" t="s">
        <v>3186</v>
      </c>
      <c r="G25" s="2963" t="s">
        <v>3188</v>
      </c>
    </row>
    <row r="26" spans="2:7" ht="14.25" thickBot="1">
      <c r="B26" s="3366"/>
      <c r="C26" s="2968" t="s">
        <v>3189</v>
      </c>
      <c r="D26" s="2963" t="s">
        <v>3190</v>
      </c>
      <c r="E26" s="2963" t="s">
        <v>3190</v>
      </c>
      <c r="F26" s="2963" t="s">
        <v>3190</v>
      </c>
      <c r="G26" s="2963" t="s">
        <v>3190</v>
      </c>
    </row>
    <row r="27" spans="2:7" ht="14.25" thickBot="1">
      <c r="B27" s="3366"/>
      <c r="C27" s="2968" t="s">
        <v>3202</v>
      </c>
      <c r="D27" s="2963">
        <v>168.91</v>
      </c>
      <c r="E27" s="2963">
        <v>143</v>
      </c>
      <c r="F27" s="2963">
        <v>150</v>
      </c>
      <c r="G27" s="2963">
        <v>122</v>
      </c>
    </row>
    <row r="28" spans="2:7" ht="14.25" thickBot="1">
      <c r="B28" s="3366"/>
      <c r="C28" s="2968" t="s">
        <v>3191</v>
      </c>
      <c r="D28" s="2963" t="s">
        <v>3192</v>
      </c>
      <c r="E28" s="2963" t="s">
        <v>3192</v>
      </c>
      <c r="F28" s="2963" t="s">
        <v>3192</v>
      </c>
      <c r="G28" s="2963" t="s">
        <v>3192</v>
      </c>
    </row>
    <row r="29" spans="2:7" ht="14.25" thickBot="1">
      <c r="B29" s="3366"/>
      <c r="C29" s="2968" t="s">
        <v>3151</v>
      </c>
      <c r="D29" s="2963" t="s">
        <v>3193</v>
      </c>
      <c r="E29" s="2963" t="s">
        <v>3194</v>
      </c>
      <c r="F29" s="2963" t="s">
        <v>3194</v>
      </c>
      <c r="G29" s="2963" t="s">
        <v>3194</v>
      </c>
    </row>
    <row r="30" spans="2:7" ht="14.25" thickBot="1">
      <c r="B30" s="3367"/>
      <c r="C30" s="2968" t="s">
        <v>3152</v>
      </c>
      <c r="D30" s="2963" t="s">
        <v>3081</v>
      </c>
      <c r="E30" s="2963" t="s">
        <v>3081</v>
      </c>
      <c r="F30" s="2963" t="s">
        <v>3081</v>
      </c>
      <c r="G30" s="2963" t="s">
        <v>3081</v>
      </c>
    </row>
    <row r="34" spans="2:7">
      <c r="B34" s="3375" t="s">
        <v>3134</v>
      </c>
      <c r="C34" s="3375"/>
      <c r="D34" s="2972" t="s">
        <v>3135</v>
      </c>
      <c r="E34" s="2972" t="s">
        <v>3136</v>
      </c>
      <c r="F34" s="2972" t="s">
        <v>3137</v>
      </c>
      <c r="G34" s="2972" t="s">
        <v>3138</v>
      </c>
    </row>
    <row r="35" spans="2:7">
      <c r="B35" s="3375" t="s">
        <v>3203</v>
      </c>
      <c r="C35" s="3375"/>
      <c r="D35" s="2973">
        <v>100</v>
      </c>
      <c r="E35" s="2973">
        <v>100</v>
      </c>
      <c r="F35" s="2973">
        <v>100</v>
      </c>
      <c r="G35" s="2973">
        <v>100</v>
      </c>
    </row>
    <row r="36" spans="2:7">
      <c r="B36" s="3375" t="s">
        <v>3140</v>
      </c>
      <c r="C36" s="3375"/>
      <c r="D36" s="2973">
        <v>100</v>
      </c>
      <c r="E36" s="2973">
        <v>100</v>
      </c>
      <c r="F36" s="2973">
        <v>100</v>
      </c>
      <c r="G36" s="2973">
        <v>100</v>
      </c>
    </row>
    <row r="37" spans="2:7">
      <c r="B37" s="3376" t="s">
        <v>3162</v>
      </c>
      <c r="C37" s="2974" t="s">
        <v>1375</v>
      </c>
      <c r="D37" s="2973">
        <v>100</v>
      </c>
      <c r="E37" s="2973">
        <v>100</v>
      </c>
      <c r="F37" s="2973">
        <v>100</v>
      </c>
      <c r="G37" s="2973">
        <v>100</v>
      </c>
    </row>
    <row r="38" spans="2:7">
      <c r="B38" s="3376"/>
      <c r="C38" s="2974" t="s">
        <v>3141</v>
      </c>
      <c r="D38" s="2973">
        <v>100</v>
      </c>
      <c r="E38" s="2973">
        <v>100</v>
      </c>
      <c r="F38" s="2973">
        <v>100</v>
      </c>
      <c r="G38" s="2973">
        <v>100</v>
      </c>
    </row>
    <row r="39" spans="2:7">
      <c r="B39" s="3376"/>
      <c r="C39" s="2974" t="s">
        <v>3164</v>
      </c>
      <c r="D39" s="2973">
        <v>100</v>
      </c>
      <c r="E39" s="2973">
        <v>100</v>
      </c>
      <c r="F39" s="2973">
        <v>100</v>
      </c>
      <c r="G39" s="2973">
        <v>105</v>
      </c>
    </row>
    <row r="40" spans="2:7">
      <c r="B40" s="3377" t="s">
        <v>3142</v>
      </c>
      <c r="C40" s="2974" t="str">
        <f>C10</f>
        <v>商业繁华度</v>
      </c>
      <c r="D40" s="2973">
        <v>100</v>
      </c>
      <c r="E40" s="2973">
        <v>97</v>
      </c>
      <c r="F40" s="2973">
        <v>97</v>
      </c>
      <c r="G40" s="2973">
        <v>100</v>
      </c>
    </row>
    <row r="41" spans="2:7">
      <c r="B41" s="3377"/>
      <c r="C41" s="2974" t="str">
        <f t="shared" ref="C41:C48" si="0">C11</f>
        <v>交通便捷度</v>
      </c>
      <c r="D41" s="2973">
        <v>100</v>
      </c>
      <c r="E41" s="2973">
        <v>100</v>
      </c>
      <c r="F41" s="2973">
        <v>100</v>
      </c>
      <c r="G41" s="2973">
        <v>100</v>
      </c>
    </row>
    <row r="42" spans="2:7">
      <c r="B42" s="3377"/>
      <c r="C42" s="2974" t="str">
        <f t="shared" si="0"/>
        <v>公共配套设施</v>
      </c>
      <c r="D42" s="2973">
        <v>100</v>
      </c>
      <c r="E42" s="2973">
        <v>100</v>
      </c>
      <c r="F42" s="2973">
        <v>100</v>
      </c>
      <c r="G42" s="2973">
        <v>100</v>
      </c>
    </row>
    <row r="43" spans="2:7">
      <c r="B43" s="3377"/>
      <c r="C43" s="2974" t="str">
        <f t="shared" si="0"/>
        <v>区域基础设施水平</v>
      </c>
      <c r="D43" s="2973">
        <v>100</v>
      </c>
      <c r="E43" s="2973">
        <v>100</v>
      </c>
      <c r="F43" s="2973">
        <v>100</v>
      </c>
      <c r="G43" s="2973">
        <v>100</v>
      </c>
    </row>
    <row r="44" spans="2:7">
      <c r="B44" s="3377"/>
      <c r="C44" s="2974" t="str">
        <f t="shared" si="0"/>
        <v>自然及人文环境</v>
      </c>
      <c r="D44" s="2973">
        <v>100</v>
      </c>
      <c r="E44" s="2973">
        <v>100</v>
      </c>
      <c r="F44" s="2973">
        <v>100</v>
      </c>
      <c r="G44" s="2973">
        <v>100</v>
      </c>
    </row>
    <row r="45" spans="2:7">
      <c r="B45" s="3377"/>
      <c r="C45" s="2974" t="str">
        <f t="shared" si="0"/>
        <v>临街状况</v>
      </c>
      <c r="D45" s="2973">
        <v>100</v>
      </c>
      <c r="E45" s="2973">
        <v>100</v>
      </c>
      <c r="F45" s="2973">
        <v>100</v>
      </c>
      <c r="G45" s="2973">
        <v>100</v>
      </c>
    </row>
    <row r="46" spans="2:7">
      <c r="B46" s="3377"/>
      <c r="C46" s="2974" t="str">
        <f t="shared" si="0"/>
        <v>可视性</v>
      </c>
      <c r="D46" s="2973">
        <v>100</v>
      </c>
      <c r="E46" s="2973">
        <v>100</v>
      </c>
      <c r="F46" s="2973">
        <v>97</v>
      </c>
      <c r="G46" s="2973">
        <v>100</v>
      </c>
    </row>
    <row r="47" spans="2:7">
      <c r="B47" s="3377"/>
      <c r="C47" s="2974" t="str">
        <f t="shared" si="0"/>
        <v>人流量</v>
      </c>
      <c r="D47" s="2973">
        <v>100</v>
      </c>
      <c r="E47" s="2973">
        <v>99</v>
      </c>
      <c r="F47" s="2973">
        <v>99</v>
      </c>
      <c r="G47" s="2973">
        <v>99</v>
      </c>
    </row>
    <row r="48" spans="2:7">
      <c r="B48" s="3377"/>
      <c r="C48" s="2974" t="str">
        <f t="shared" si="0"/>
        <v>楼层</v>
      </c>
      <c r="D48" s="2973">
        <v>100</v>
      </c>
      <c r="E48" s="2973">
        <v>100</v>
      </c>
      <c r="F48" s="2973">
        <v>100</v>
      </c>
      <c r="G48" s="2973">
        <v>100</v>
      </c>
    </row>
    <row r="49" spans="2:8">
      <c r="B49" s="3376" t="s">
        <v>3145</v>
      </c>
      <c r="C49" s="2974" t="str">
        <f>C19</f>
        <v>商业类型</v>
      </c>
      <c r="D49" s="2973">
        <v>100</v>
      </c>
      <c r="E49" s="2973">
        <v>95</v>
      </c>
      <c r="F49" s="2973">
        <v>95</v>
      </c>
      <c r="G49" s="2973">
        <v>85</v>
      </c>
    </row>
    <row r="50" spans="2:8">
      <c r="B50" s="3376"/>
      <c r="C50" s="2974" t="str">
        <f t="shared" ref="C50:C59" si="1">C20</f>
        <v>项目建筑规模（㎡）</v>
      </c>
      <c r="D50" s="2973">
        <v>100</v>
      </c>
      <c r="E50" s="2973">
        <v>98</v>
      </c>
      <c r="F50" s="2973">
        <v>102</v>
      </c>
      <c r="G50" s="2973">
        <v>100</v>
      </c>
    </row>
    <row r="51" spans="2:8">
      <c r="B51" s="3376"/>
      <c r="C51" s="2974" t="str">
        <f t="shared" si="1"/>
        <v>建筑结构</v>
      </c>
      <c r="D51" s="2973">
        <v>100</v>
      </c>
      <c r="E51" s="2973">
        <v>100</v>
      </c>
      <c r="F51" s="2973">
        <v>100</v>
      </c>
      <c r="G51" s="2973">
        <v>100</v>
      </c>
    </row>
    <row r="52" spans="2:8">
      <c r="B52" s="3376"/>
      <c r="C52" s="2974" t="str">
        <f t="shared" si="1"/>
        <v>公共部分装修</v>
      </c>
      <c r="D52" s="2973">
        <v>100</v>
      </c>
      <c r="E52" s="2973">
        <v>97</v>
      </c>
      <c r="F52" s="2973">
        <v>100</v>
      </c>
      <c r="G52" s="2973">
        <v>100</v>
      </c>
    </row>
    <row r="53" spans="2:8">
      <c r="B53" s="3376"/>
      <c r="C53" s="2974" t="str">
        <f t="shared" si="1"/>
        <v>成新率</v>
      </c>
      <c r="D53" s="2973">
        <v>100</v>
      </c>
      <c r="E53" s="2973">
        <v>100</v>
      </c>
      <c r="F53" s="2973">
        <v>100</v>
      </c>
      <c r="G53" s="2973">
        <v>100</v>
      </c>
    </row>
    <row r="54" spans="2:8">
      <c r="B54" s="3376"/>
      <c r="C54" s="2974" t="str">
        <f t="shared" si="1"/>
        <v>市政基础设施</v>
      </c>
      <c r="D54" s="2973">
        <v>100</v>
      </c>
      <c r="E54" s="2973">
        <v>100</v>
      </c>
      <c r="F54" s="2973">
        <v>100</v>
      </c>
      <c r="G54" s="2973">
        <v>100</v>
      </c>
    </row>
    <row r="55" spans="2:8">
      <c r="B55" s="3376"/>
      <c r="C55" s="2974" t="str">
        <f t="shared" si="1"/>
        <v>业态</v>
      </c>
      <c r="D55" s="2973">
        <v>100</v>
      </c>
      <c r="E55" s="2973">
        <v>95</v>
      </c>
      <c r="F55" s="2973">
        <v>100</v>
      </c>
      <c r="G55" s="2973">
        <v>90</v>
      </c>
    </row>
    <row r="56" spans="2:8">
      <c r="B56" s="3376"/>
      <c r="C56" s="2974" t="str">
        <f t="shared" si="1"/>
        <v>层高</v>
      </c>
      <c r="D56" s="2973">
        <v>100</v>
      </c>
      <c r="E56" s="2973">
        <v>100</v>
      </c>
      <c r="F56" s="2973">
        <v>100</v>
      </c>
      <c r="G56" s="2973">
        <v>100</v>
      </c>
    </row>
    <row r="57" spans="2:8" ht="14.25" thickBot="1">
      <c r="B57" s="3376"/>
      <c r="C57" s="2974" t="str">
        <f t="shared" si="1"/>
        <v>单套建筑面积（平方米）</v>
      </c>
      <c r="D57" s="2973">
        <v>100</v>
      </c>
      <c r="E57" s="2973">
        <v>100</v>
      </c>
      <c r="F57" s="2973">
        <v>100</v>
      </c>
      <c r="G57" s="2973">
        <v>100</v>
      </c>
      <c r="H57" s="2971"/>
    </row>
    <row r="58" spans="2:8">
      <c r="B58" s="3376"/>
      <c r="C58" s="2974" t="str">
        <f t="shared" si="1"/>
        <v>进深比</v>
      </c>
      <c r="D58" s="2973">
        <v>100</v>
      </c>
      <c r="E58" s="2973">
        <v>100</v>
      </c>
      <c r="F58" s="2973">
        <v>100</v>
      </c>
      <c r="G58" s="2973">
        <v>100</v>
      </c>
    </row>
    <row r="59" spans="2:8">
      <c r="B59" s="3376"/>
      <c r="C59" s="2974" t="str">
        <f t="shared" si="1"/>
        <v>内部装修</v>
      </c>
      <c r="D59" s="2973">
        <v>100</v>
      </c>
      <c r="E59" s="2973">
        <v>97</v>
      </c>
      <c r="F59" s="2973">
        <v>97</v>
      </c>
      <c r="G59" s="2973">
        <v>97</v>
      </c>
    </row>
    <row r="60" spans="2:8">
      <c r="B60" s="3376"/>
      <c r="C60" s="2974" t="str">
        <f>C30</f>
        <v>内部装修维护状况</v>
      </c>
      <c r="D60" s="2973">
        <v>100</v>
      </c>
      <c r="E60" s="2973">
        <v>100</v>
      </c>
      <c r="F60" s="2973">
        <v>100</v>
      </c>
      <c r="G60" s="2973">
        <v>100</v>
      </c>
    </row>
    <row r="64" spans="2:8" ht="14.25" thickBot="1"/>
    <row r="65" spans="2:9" ht="14.25" thickBot="1">
      <c r="B65" s="3363" t="s">
        <v>3134</v>
      </c>
      <c r="C65" s="3364"/>
      <c r="D65" s="3368" t="s">
        <v>3136</v>
      </c>
      <c r="E65" s="3369"/>
      <c r="F65" s="3368" t="s">
        <v>3137</v>
      </c>
      <c r="G65" s="3369"/>
      <c r="H65" s="3368" t="s">
        <v>3138</v>
      </c>
      <c r="I65" s="3369"/>
    </row>
    <row r="66" spans="2:9" ht="14.25" thickBot="1">
      <c r="B66" s="3370" t="s">
        <v>3203</v>
      </c>
      <c r="C66" s="3371"/>
      <c r="D66" s="2975" t="s">
        <v>3204</v>
      </c>
      <c r="E66" s="2971">
        <f>E35</f>
        <v>100</v>
      </c>
      <c r="F66" s="2975" t="s">
        <v>3204</v>
      </c>
      <c r="G66" s="2971">
        <f>F35</f>
        <v>100</v>
      </c>
      <c r="H66" s="2975" t="s">
        <v>3204</v>
      </c>
      <c r="I66" s="2971">
        <f>G35</f>
        <v>100</v>
      </c>
    </row>
    <row r="67" spans="2:9" ht="14.25" thickBot="1">
      <c r="B67" s="3370" t="s">
        <v>3140</v>
      </c>
      <c r="C67" s="3371"/>
      <c r="D67" s="2975" t="s">
        <v>3204</v>
      </c>
      <c r="E67" s="2971">
        <f t="shared" ref="E67:E91" si="2">E36</f>
        <v>100</v>
      </c>
      <c r="F67" s="2975" t="s">
        <v>3204</v>
      </c>
      <c r="G67" s="2971">
        <f t="shared" ref="G67:G90" si="3">F36</f>
        <v>100</v>
      </c>
      <c r="H67" s="2975" t="s">
        <v>3204</v>
      </c>
      <c r="I67" s="2971">
        <f t="shared" ref="I67:I91" si="4">G36</f>
        <v>100</v>
      </c>
    </row>
    <row r="68" spans="2:9" ht="14.25" thickBot="1">
      <c r="B68" s="3372" t="s">
        <v>3162</v>
      </c>
      <c r="C68" s="2968" t="str">
        <f>C37</f>
        <v>用途</v>
      </c>
      <c r="D68" s="2975" t="s">
        <v>3204</v>
      </c>
      <c r="E68" s="2971">
        <f t="shared" si="2"/>
        <v>100</v>
      </c>
      <c r="F68" s="2975" t="s">
        <v>3204</v>
      </c>
      <c r="G68" s="2971">
        <f t="shared" si="3"/>
        <v>100</v>
      </c>
      <c r="H68" s="2975" t="s">
        <v>3204</v>
      </c>
      <c r="I68" s="2971">
        <f t="shared" si="4"/>
        <v>100</v>
      </c>
    </row>
    <row r="69" spans="2:9" ht="14.25" thickBot="1">
      <c r="B69" s="3373"/>
      <c r="C69" s="2968" t="str">
        <f t="shared" ref="C69:C70" si="5">C38</f>
        <v>土地使用年限（年）</v>
      </c>
      <c r="D69" s="2975" t="s">
        <v>3204</v>
      </c>
      <c r="E69" s="2971">
        <f t="shared" si="2"/>
        <v>100</v>
      </c>
      <c r="F69" s="2975" t="s">
        <v>3204</v>
      </c>
      <c r="G69" s="2971">
        <f t="shared" si="3"/>
        <v>100</v>
      </c>
      <c r="H69" s="2975" t="s">
        <v>3204</v>
      </c>
      <c r="I69" s="2971">
        <f t="shared" si="4"/>
        <v>100</v>
      </c>
    </row>
    <row r="70" spans="2:9" ht="14.25" thickBot="1">
      <c r="B70" s="3374"/>
      <c r="C70" s="2968" t="str">
        <f t="shared" si="5"/>
        <v>容积率</v>
      </c>
      <c r="D70" s="2975" t="s">
        <v>3204</v>
      </c>
      <c r="E70" s="2971">
        <f t="shared" si="2"/>
        <v>100</v>
      </c>
      <c r="F70" s="2975" t="s">
        <v>3204</v>
      </c>
      <c r="G70" s="2971">
        <f t="shared" si="3"/>
        <v>100</v>
      </c>
      <c r="H70" s="2975" t="s">
        <v>3204</v>
      </c>
      <c r="I70" s="2971">
        <f t="shared" si="4"/>
        <v>105</v>
      </c>
    </row>
    <row r="71" spans="2:9" ht="14.25" thickBot="1">
      <c r="B71" s="3365" t="s">
        <v>3142</v>
      </c>
      <c r="C71" s="2968" t="str">
        <f>C40</f>
        <v>商业繁华度</v>
      </c>
      <c r="D71" s="2975" t="s">
        <v>3204</v>
      </c>
      <c r="E71" s="2971">
        <f t="shared" si="2"/>
        <v>97</v>
      </c>
      <c r="F71" s="2975" t="s">
        <v>3204</v>
      </c>
      <c r="G71" s="2971">
        <f t="shared" si="3"/>
        <v>97</v>
      </c>
      <c r="H71" s="2975" t="s">
        <v>3204</v>
      </c>
      <c r="I71" s="2971">
        <f t="shared" si="4"/>
        <v>100</v>
      </c>
    </row>
    <row r="72" spans="2:9" ht="14.25" thickBot="1">
      <c r="B72" s="3366"/>
      <c r="C72" s="2968" t="str">
        <f t="shared" ref="C72:C79" si="6">C41</f>
        <v>交通便捷度</v>
      </c>
      <c r="D72" s="2975" t="s">
        <v>3204</v>
      </c>
      <c r="E72" s="2971">
        <f t="shared" si="2"/>
        <v>100</v>
      </c>
      <c r="F72" s="2975" t="s">
        <v>3204</v>
      </c>
      <c r="G72" s="2971">
        <f t="shared" si="3"/>
        <v>100</v>
      </c>
      <c r="H72" s="2975" t="s">
        <v>3204</v>
      </c>
      <c r="I72" s="2971">
        <f t="shared" si="4"/>
        <v>100</v>
      </c>
    </row>
    <row r="73" spans="2:9" ht="14.25" thickBot="1">
      <c r="B73" s="3366"/>
      <c r="C73" s="2968" t="str">
        <f t="shared" si="6"/>
        <v>公共配套设施</v>
      </c>
      <c r="D73" s="2975" t="s">
        <v>3204</v>
      </c>
      <c r="E73" s="2971">
        <f t="shared" si="2"/>
        <v>100</v>
      </c>
      <c r="F73" s="2975" t="s">
        <v>3204</v>
      </c>
      <c r="G73" s="2971">
        <f t="shared" si="3"/>
        <v>100</v>
      </c>
      <c r="H73" s="2975" t="s">
        <v>3204</v>
      </c>
      <c r="I73" s="2971">
        <f t="shared" si="4"/>
        <v>100</v>
      </c>
    </row>
    <row r="74" spans="2:9" ht="14.25" thickBot="1">
      <c r="B74" s="3366"/>
      <c r="C74" s="2968" t="str">
        <f t="shared" si="6"/>
        <v>区域基础设施水平</v>
      </c>
      <c r="D74" s="2975" t="s">
        <v>3204</v>
      </c>
      <c r="E74" s="2971">
        <f t="shared" si="2"/>
        <v>100</v>
      </c>
      <c r="F74" s="2975" t="s">
        <v>3204</v>
      </c>
      <c r="G74" s="2971">
        <f t="shared" si="3"/>
        <v>100</v>
      </c>
      <c r="H74" s="2975" t="s">
        <v>3204</v>
      </c>
      <c r="I74" s="2971">
        <f t="shared" si="4"/>
        <v>100</v>
      </c>
    </row>
    <row r="75" spans="2:9" ht="14.25" thickBot="1">
      <c r="B75" s="3366"/>
      <c r="C75" s="2968" t="str">
        <f t="shared" si="6"/>
        <v>自然及人文环境</v>
      </c>
      <c r="D75" s="2975" t="s">
        <v>3204</v>
      </c>
      <c r="E75" s="2971">
        <f t="shared" si="2"/>
        <v>100</v>
      </c>
      <c r="F75" s="2975" t="s">
        <v>3204</v>
      </c>
      <c r="G75" s="2971">
        <f t="shared" si="3"/>
        <v>100</v>
      </c>
      <c r="H75" s="2975" t="s">
        <v>3204</v>
      </c>
      <c r="I75" s="2971">
        <f t="shared" si="4"/>
        <v>100</v>
      </c>
    </row>
    <row r="76" spans="2:9" ht="14.25" thickBot="1">
      <c r="B76" s="3366"/>
      <c r="C76" s="2968" t="str">
        <f t="shared" si="6"/>
        <v>临街状况</v>
      </c>
      <c r="D76" s="2975" t="s">
        <v>3204</v>
      </c>
      <c r="E76" s="2971">
        <f t="shared" si="2"/>
        <v>100</v>
      </c>
      <c r="F76" s="2975" t="s">
        <v>3204</v>
      </c>
      <c r="G76" s="2971">
        <f t="shared" si="3"/>
        <v>100</v>
      </c>
      <c r="H76" s="2975" t="s">
        <v>3204</v>
      </c>
      <c r="I76" s="2971">
        <f t="shared" si="4"/>
        <v>100</v>
      </c>
    </row>
    <row r="77" spans="2:9" ht="14.25" thickBot="1">
      <c r="B77" s="3366"/>
      <c r="C77" s="2968" t="str">
        <f t="shared" si="6"/>
        <v>可视性</v>
      </c>
      <c r="D77" s="2975" t="s">
        <v>3204</v>
      </c>
      <c r="E77" s="2971">
        <f t="shared" si="2"/>
        <v>100</v>
      </c>
      <c r="F77" s="2975" t="s">
        <v>3204</v>
      </c>
      <c r="G77" s="2971">
        <f t="shared" si="3"/>
        <v>97</v>
      </c>
      <c r="H77" s="2975" t="s">
        <v>3204</v>
      </c>
      <c r="I77" s="2971">
        <f t="shared" si="4"/>
        <v>100</v>
      </c>
    </row>
    <row r="78" spans="2:9" ht="14.25" thickBot="1">
      <c r="B78" s="3366"/>
      <c r="C78" s="2968" t="str">
        <f t="shared" si="6"/>
        <v>人流量</v>
      </c>
      <c r="D78" s="2975" t="s">
        <v>3204</v>
      </c>
      <c r="E78" s="2971">
        <f t="shared" si="2"/>
        <v>99</v>
      </c>
      <c r="F78" s="2975" t="s">
        <v>3204</v>
      </c>
      <c r="G78" s="2971">
        <f t="shared" si="3"/>
        <v>99</v>
      </c>
      <c r="H78" s="2975" t="s">
        <v>3204</v>
      </c>
      <c r="I78" s="2971">
        <f t="shared" si="4"/>
        <v>99</v>
      </c>
    </row>
    <row r="79" spans="2:9" ht="14.25" thickBot="1">
      <c r="B79" s="3367"/>
      <c r="C79" s="2968" t="str">
        <f t="shared" si="6"/>
        <v>楼层</v>
      </c>
      <c r="D79" s="2975" t="s">
        <v>3204</v>
      </c>
      <c r="E79" s="2971">
        <f t="shared" si="2"/>
        <v>100</v>
      </c>
      <c r="F79" s="2975" t="s">
        <v>3204</v>
      </c>
      <c r="G79" s="2971">
        <f t="shared" si="3"/>
        <v>100</v>
      </c>
      <c r="H79" s="2975" t="s">
        <v>3204</v>
      </c>
      <c r="I79" s="2971">
        <f t="shared" si="4"/>
        <v>100</v>
      </c>
    </row>
    <row r="80" spans="2:9" ht="14.25" thickBot="1">
      <c r="B80" s="3365" t="s">
        <v>3145</v>
      </c>
      <c r="C80" s="2968" t="str">
        <f>C49</f>
        <v>商业类型</v>
      </c>
      <c r="D80" s="2975" t="s">
        <v>3204</v>
      </c>
      <c r="E80" s="2971">
        <f t="shared" si="2"/>
        <v>95</v>
      </c>
      <c r="F80" s="2975" t="s">
        <v>3204</v>
      </c>
      <c r="G80" s="2971">
        <f t="shared" si="3"/>
        <v>95</v>
      </c>
      <c r="H80" s="2975" t="s">
        <v>3204</v>
      </c>
      <c r="I80" s="2971">
        <f t="shared" si="4"/>
        <v>85</v>
      </c>
    </row>
    <row r="81" spans="2:9" ht="14.25" thickBot="1">
      <c r="B81" s="3366"/>
      <c r="C81" s="2968" t="str">
        <f t="shared" ref="C81:C91" si="7">C50</f>
        <v>项目建筑规模（㎡）</v>
      </c>
      <c r="D81" s="2975" t="s">
        <v>3204</v>
      </c>
      <c r="E81" s="2971">
        <f t="shared" si="2"/>
        <v>98</v>
      </c>
      <c r="F81" s="2975" t="s">
        <v>3204</v>
      </c>
      <c r="G81" s="2971">
        <f t="shared" si="3"/>
        <v>102</v>
      </c>
      <c r="H81" s="2975" t="s">
        <v>3204</v>
      </c>
      <c r="I81" s="2971">
        <f t="shared" si="4"/>
        <v>100</v>
      </c>
    </row>
    <row r="82" spans="2:9" ht="14.25" thickBot="1">
      <c r="B82" s="3366"/>
      <c r="C82" s="2968" t="str">
        <f t="shared" si="7"/>
        <v>建筑结构</v>
      </c>
      <c r="D82" s="2975" t="s">
        <v>3204</v>
      </c>
      <c r="E82" s="2971">
        <f t="shared" si="2"/>
        <v>100</v>
      </c>
      <c r="F82" s="2975" t="s">
        <v>3204</v>
      </c>
      <c r="G82" s="2971">
        <f t="shared" si="3"/>
        <v>100</v>
      </c>
      <c r="H82" s="2975" t="s">
        <v>3204</v>
      </c>
      <c r="I82" s="2971">
        <f t="shared" si="4"/>
        <v>100</v>
      </c>
    </row>
    <row r="83" spans="2:9" ht="14.25" thickBot="1">
      <c r="B83" s="3366"/>
      <c r="C83" s="2968" t="str">
        <f t="shared" si="7"/>
        <v>公共部分装修</v>
      </c>
      <c r="D83" s="2975" t="s">
        <v>3204</v>
      </c>
      <c r="E83" s="2971">
        <f t="shared" si="2"/>
        <v>97</v>
      </c>
      <c r="F83" s="2975" t="s">
        <v>3204</v>
      </c>
      <c r="G83" s="2971">
        <f t="shared" si="3"/>
        <v>100</v>
      </c>
      <c r="H83" s="2975" t="s">
        <v>3204</v>
      </c>
      <c r="I83" s="2971">
        <f t="shared" si="4"/>
        <v>100</v>
      </c>
    </row>
    <row r="84" spans="2:9" ht="14.25" thickBot="1">
      <c r="B84" s="3366"/>
      <c r="C84" s="2968" t="str">
        <f t="shared" si="7"/>
        <v>成新率</v>
      </c>
      <c r="D84" s="2975" t="s">
        <v>3204</v>
      </c>
      <c r="E84" s="2971">
        <f t="shared" si="2"/>
        <v>100</v>
      </c>
      <c r="F84" s="2975" t="s">
        <v>3204</v>
      </c>
      <c r="G84" s="2971">
        <f t="shared" si="3"/>
        <v>100</v>
      </c>
      <c r="H84" s="2975" t="s">
        <v>3204</v>
      </c>
      <c r="I84" s="2971">
        <f t="shared" si="4"/>
        <v>100</v>
      </c>
    </row>
    <row r="85" spans="2:9" ht="14.25" thickBot="1">
      <c r="B85" s="3366"/>
      <c r="C85" s="2968" t="str">
        <f t="shared" si="7"/>
        <v>市政基础设施</v>
      </c>
      <c r="D85" s="2975" t="s">
        <v>3204</v>
      </c>
      <c r="E85" s="2971">
        <f t="shared" si="2"/>
        <v>100</v>
      </c>
      <c r="F85" s="2975" t="s">
        <v>3204</v>
      </c>
      <c r="G85" s="2971">
        <f t="shared" si="3"/>
        <v>100</v>
      </c>
      <c r="H85" s="2975" t="s">
        <v>3204</v>
      </c>
      <c r="I85" s="2971">
        <f t="shared" si="4"/>
        <v>100</v>
      </c>
    </row>
    <row r="86" spans="2:9" ht="14.25" thickBot="1">
      <c r="B86" s="3366"/>
      <c r="C86" s="2968" t="str">
        <f t="shared" si="7"/>
        <v>业态</v>
      </c>
      <c r="D86" s="2975" t="s">
        <v>3204</v>
      </c>
      <c r="E86" s="2971">
        <f t="shared" si="2"/>
        <v>95</v>
      </c>
      <c r="F86" s="2975" t="s">
        <v>3204</v>
      </c>
      <c r="G86" s="2971">
        <f t="shared" si="3"/>
        <v>100</v>
      </c>
      <c r="H86" s="2975" t="s">
        <v>3204</v>
      </c>
      <c r="I86" s="2971">
        <f t="shared" si="4"/>
        <v>90</v>
      </c>
    </row>
    <row r="87" spans="2:9" ht="14.25" thickBot="1">
      <c r="B87" s="3366"/>
      <c r="C87" s="2968" t="str">
        <f t="shared" si="7"/>
        <v>层高</v>
      </c>
      <c r="D87" s="2975" t="s">
        <v>3204</v>
      </c>
      <c r="E87" s="2971">
        <f t="shared" si="2"/>
        <v>100</v>
      </c>
      <c r="F87" s="2975" t="s">
        <v>3204</v>
      </c>
      <c r="G87" s="2971">
        <f t="shared" si="3"/>
        <v>100</v>
      </c>
      <c r="H87" s="2975" t="s">
        <v>3204</v>
      </c>
      <c r="I87" s="2971">
        <f t="shared" si="4"/>
        <v>100</v>
      </c>
    </row>
    <row r="88" spans="2:9" ht="14.25" thickBot="1">
      <c r="B88" s="3366"/>
      <c r="C88" s="2968" t="str">
        <f t="shared" si="7"/>
        <v>单套建筑面积（平方米）</v>
      </c>
      <c r="D88" s="2975" t="s">
        <v>3204</v>
      </c>
      <c r="E88" s="2971">
        <f t="shared" si="2"/>
        <v>100</v>
      </c>
      <c r="F88" s="2975" t="s">
        <v>3204</v>
      </c>
      <c r="G88" s="2971">
        <f t="shared" si="3"/>
        <v>100</v>
      </c>
      <c r="H88" s="2975" t="s">
        <v>3204</v>
      </c>
      <c r="I88" s="2971">
        <f t="shared" si="4"/>
        <v>100</v>
      </c>
    </row>
    <row r="89" spans="2:9" ht="14.25" thickBot="1">
      <c r="B89" s="3366"/>
      <c r="C89" s="2968" t="str">
        <f t="shared" si="7"/>
        <v>进深比</v>
      </c>
      <c r="D89" s="2975" t="s">
        <v>3204</v>
      </c>
      <c r="E89" s="2971">
        <f t="shared" si="2"/>
        <v>100</v>
      </c>
      <c r="F89" s="2975" t="s">
        <v>3204</v>
      </c>
      <c r="G89" s="2971">
        <f t="shared" si="3"/>
        <v>100</v>
      </c>
      <c r="H89" s="2975" t="s">
        <v>3204</v>
      </c>
      <c r="I89" s="2971">
        <f t="shared" si="4"/>
        <v>100</v>
      </c>
    </row>
    <row r="90" spans="2:9" ht="14.25" thickBot="1">
      <c r="B90" s="3366"/>
      <c r="C90" s="2968" t="str">
        <f t="shared" si="7"/>
        <v>内部装修</v>
      </c>
      <c r="D90" s="2975" t="s">
        <v>3204</v>
      </c>
      <c r="E90" s="2971">
        <f t="shared" si="2"/>
        <v>97</v>
      </c>
      <c r="F90" s="2975" t="s">
        <v>3204</v>
      </c>
      <c r="G90" s="2971">
        <f t="shared" si="3"/>
        <v>97</v>
      </c>
      <c r="H90" s="2975" t="s">
        <v>3204</v>
      </c>
      <c r="I90" s="2971">
        <f t="shared" si="4"/>
        <v>97</v>
      </c>
    </row>
    <row r="91" spans="2:9" ht="14.25" thickBot="1">
      <c r="B91" s="3366"/>
      <c r="C91" s="2968" t="str">
        <f t="shared" si="7"/>
        <v>内部装修维护状况</v>
      </c>
      <c r="D91" s="2975" t="s">
        <v>3204</v>
      </c>
      <c r="E91" s="2971">
        <f t="shared" si="2"/>
        <v>100</v>
      </c>
      <c r="F91" s="2975" t="s">
        <v>3204</v>
      </c>
      <c r="G91" s="2971">
        <f>F60</f>
        <v>100</v>
      </c>
      <c r="H91" s="2975" t="s">
        <v>3204</v>
      </c>
      <c r="I91" s="2971">
        <f t="shared" si="4"/>
        <v>100</v>
      </c>
    </row>
    <row r="92" spans="2:9" ht="14.25" thickBot="1">
      <c r="B92" s="3361" t="s">
        <v>3205</v>
      </c>
      <c r="C92" s="3362"/>
      <c r="D92" s="3363">
        <v>36575</v>
      </c>
      <c r="E92" s="3364"/>
      <c r="F92" s="3363">
        <v>38800</v>
      </c>
      <c r="G92" s="3364"/>
      <c r="H92" s="3363">
        <v>40740</v>
      </c>
      <c r="I92" s="3364"/>
    </row>
    <row r="93" spans="2:9" ht="14.25" thickBot="1">
      <c r="B93" s="3361" t="s">
        <v>3206</v>
      </c>
      <c r="C93" s="3362"/>
      <c r="D93" s="3363">
        <v>45768</v>
      </c>
      <c r="E93" s="3364"/>
      <c r="F93" s="3363">
        <v>44316</v>
      </c>
      <c r="G93" s="3364"/>
      <c r="H93" s="3363">
        <v>52816</v>
      </c>
      <c r="I93" s="3364"/>
    </row>
  </sheetData>
  <mergeCells count="29">
    <mergeCell ref="B2:C4"/>
    <mergeCell ref="B5:C5"/>
    <mergeCell ref="B6:C6"/>
    <mergeCell ref="B19:B30"/>
    <mergeCell ref="B7:B9"/>
    <mergeCell ref="B10:B18"/>
    <mergeCell ref="B34:C34"/>
    <mergeCell ref="B35:C35"/>
    <mergeCell ref="B36:C36"/>
    <mergeCell ref="B37:B39"/>
    <mergeCell ref="B49:B60"/>
    <mergeCell ref="B40:B48"/>
    <mergeCell ref="D65:E65"/>
    <mergeCell ref="F65:G65"/>
    <mergeCell ref="H65:I65"/>
    <mergeCell ref="B66:C66"/>
    <mergeCell ref="B68:B70"/>
    <mergeCell ref="B67:C67"/>
    <mergeCell ref="B65:C65"/>
    <mergeCell ref="B71:B79"/>
    <mergeCell ref="B80:B91"/>
    <mergeCell ref="B92:C92"/>
    <mergeCell ref="D92:E92"/>
    <mergeCell ref="H92:I92"/>
    <mergeCell ref="B93:C93"/>
    <mergeCell ref="D93:E93"/>
    <mergeCell ref="F93:G93"/>
    <mergeCell ref="H93:I93"/>
    <mergeCell ref="F92:G9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1640</v>
      </c>
      <c r="B2" s="3041" t="s">
        <v>1641</v>
      </c>
      <c r="C2" s="3041" t="s">
        <v>1642</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46" t="s">
        <v>1637</v>
      </c>
      <c r="E3" s="1046" t="s">
        <v>1643</v>
      </c>
      <c r="F3" s="1046" t="s">
        <v>1637</v>
      </c>
      <c r="G3" s="1046" t="s">
        <v>1638</v>
      </c>
      <c r="H3" s="1046" t="s">
        <v>1637</v>
      </c>
      <c r="I3" s="1046" t="s">
        <v>1638</v>
      </c>
    </row>
    <row r="4" spans="1:9" ht="15">
      <c r="A4" s="1975" t="str">
        <f>项目基本情况!S2</f>
        <v>湖北省武汉市房地产</v>
      </c>
      <c r="B4" s="1046">
        <f>项目基本情况!C17</f>
        <v>4020.0999999999995</v>
      </c>
      <c r="C4" s="1046">
        <f>项目基本情况!C18</f>
        <v>1148.5999999999999</v>
      </c>
      <c r="D4" s="1046" t="e">
        <f ca="1">结果表!D118</f>
        <v>#REF!</v>
      </c>
      <c r="E4" s="1046" t="e">
        <f ca="1">结果表!E118</f>
        <v>#REF!</v>
      </c>
      <c r="F4" s="1046" t="e">
        <f ca="1">结果表!F118</f>
        <v>#REF!</v>
      </c>
      <c r="G4" s="1046" t="e">
        <f ca="1">结果表!G118</f>
        <v>#REF!</v>
      </c>
      <c r="H4" s="1046">
        <f ca="1">结果表!H118</f>
        <v>585</v>
      </c>
      <c r="I4" s="1046">
        <f ca="1">结果表!I118</f>
        <v>29968</v>
      </c>
    </row>
    <row r="5" spans="1:9" ht="30" customHeight="1">
      <c r="A5" s="3042" t="s">
        <v>1639</v>
      </c>
      <c r="B5" s="3042"/>
      <c r="C5" s="3042"/>
      <c r="D5" s="3043" t="e">
        <f ca="1">结果表!D119</f>
        <v>#REF!</v>
      </c>
      <c r="E5" s="3043"/>
      <c r="F5" s="3043" t="e">
        <f ca="1">结果表!F119</f>
        <v>#REF!</v>
      </c>
      <c r="G5" s="3043"/>
      <c r="H5" s="3043" t="str">
        <f ca="1">结果表!H119</f>
        <v>伍佰捌拾伍万元整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1639</v>
      </c>
      <c r="B7" s="3042"/>
      <c r="C7" s="3042"/>
      <c r="D7" s="3045" t="str">
        <f>结果表!D121</f>
        <v>零元整</v>
      </c>
      <c r="E7" s="3046"/>
      <c r="F7" s="3046"/>
      <c r="G7" s="3046"/>
      <c r="H7" s="3046"/>
      <c r="I7" s="3047"/>
    </row>
    <row r="8" spans="1:9" ht="15.75">
      <c r="A8" s="3044" t="str">
        <f>结果表!A122</f>
        <v>房地产抵押价值</v>
      </c>
      <c r="B8" s="3044"/>
      <c r="C8" s="3044"/>
      <c r="D8" s="3044">
        <f ca="1">结果表!D122</f>
        <v>585</v>
      </c>
      <c r="E8" s="3044"/>
      <c r="F8" s="3044"/>
      <c r="G8" s="3044"/>
      <c r="H8" s="3044"/>
      <c r="I8" s="3044"/>
    </row>
    <row r="9" spans="1:9" ht="15">
      <c r="A9" s="3042" t="s">
        <v>1639</v>
      </c>
      <c r="B9" s="3042"/>
      <c r="C9" s="3042"/>
      <c r="D9" s="3043" t="str">
        <f ca="1">结果表!D123</f>
        <v>伍佰捌拾伍万元整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1639</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1639</v>
      </c>
      <c r="B13" s="3048"/>
      <c r="C13" s="3048"/>
      <c r="D13" s="3049" t="e">
        <f>结果表!D127</f>
        <v>#VALUE!</v>
      </c>
      <c r="E13" s="3049"/>
      <c r="F13" s="3049"/>
      <c r="G13" s="3049"/>
      <c r="H13" s="3049"/>
      <c r="I13" s="3049"/>
    </row>
    <row r="14" spans="1:9" ht="15" thickTop="1">
      <c r="A14" s="3050" t="s">
        <v>1644</v>
      </c>
      <c r="B14" s="3050"/>
      <c r="C14" s="3050"/>
      <c r="D14" s="3050"/>
      <c r="E14" s="3050"/>
      <c r="F14" s="3050"/>
      <c r="G14" s="3050"/>
      <c r="H14" s="3050"/>
      <c r="I14" s="3050"/>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51" t="s">
        <v>1661</v>
      </c>
      <c r="B1" s="3051"/>
      <c r="C1" s="3051"/>
      <c r="D1" s="3051"/>
    </row>
    <row r="2" spans="1:4" ht="18">
      <c r="A2" s="3052" t="s">
        <v>1645</v>
      </c>
      <c r="B2" s="3052"/>
      <c r="C2" s="3052"/>
      <c r="D2" s="3052"/>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52" t="s">
        <v>1651</v>
      </c>
      <c r="B6" s="3052"/>
      <c r="C6" s="3052"/>
      <c r="D6" s="3052"/>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53" t="s">
        <v>1654</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（1）根据估价对象《房屋所有权证》原件、《国有土地使用权》原件，截至价值时点，估价对象抵押权未见登记。</v>
      </c>
      <c r="B15" s="3054"/>
      <c r="C15" s="3054"/>
      <c r="D15" s="3054"/>
    </row>
    <row r="16" spans="1:4" ht="30" customHeight="1">
      <c r="A16" s="3057" t="s">
        <v>1655</v>
      </c>
      <c r="B16" s="3057"/>
      <c r="C16" s="3057"/>
      <c r="D16" s="3057"/>
    </row>
    <row r="17" spans="1:4" ht="144" customHeight="1">
      <c r="A17" s="3057" t="s">
        <v>1656</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1657</v>
      </c>
      <c r="B22" s="3059"/>
      <c r="C22" s="3059"/>
      <c r="D22" s="3059"/>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65" t="s">
        <v>1668</v>
      </c>
      <c r="B15" s="3060" t="s">
        <v>136</v>
      </c>
      <c r="C15" s="3061"/>
    </row>
    <row r="16" spans="1:7" ht="13.5">
      <c r="A16" s="3066"/>
      <c r="B16" s="3060" t="s">
        <v>69</v>
      </c>
      <c r="C16" s="3061"/>
    </row>
    <row r="17" spans="1:3" ht="13.5">
      <c r="A17" s="3066"/>
      <c r="B17" s="3063" t="s">
        <v>1669</v>
      </c>
      <c r="C17" s="2002" t="s">
        <v>1668</v>
      </c>
    </row>
    <row r="18" spans="1:3" ht="13.5">
      <c r="A18" s="3066"/>
      <c r="B18" s="3063"/>
      <c r="C18" s="2002" t="s">
        <v>1670</v>
      </c>
    </row>
    <row r="19" spans="1:3" ht="13.5">
      <c r="A19" s="3066"/>
      <c r="B19" s="3063"/>
      <c r="C19" s="2002" t="s">
        <v>1671</v>
      </c>
    </row>
    <row r="20" spans="1:3" ht="13.5">
      <c r="A20" s="3067"/>
      <c r="B20" s="3062" t="s">
        <v>1672</v>
      </c>
      <c r="C20" s="3061"/>
    </row>
    <row r="21" spans="1:3" ht="13.5">
      <c r="A21" s="2003" t="s">
        <v>1673</v>
      </c>
      <c r="B21" s="2004"/>
      <c r="C21" s="2005"/>
    </row>
    <row r="22" spans="1:3" ht="13.5">
      <c r="A22" s="3064" t="s">
        <v>1674</v>
      </c>
      <c r="B22" s="3062" t="s">
        <v>1675</v>
      </c>
      <c r="C22" s="3061"/>
    </row>
    <row r="23" spans="1:3" ht="13.5">
      <c r="A23" s="3064"/>
      <c r="B23" s="3062" t="s">
        <v>1676</v>
      </c>
      <c r="C23" s="3061"/>
    </row>
    <row r="24" spans="1:3" ht="13.5">
      <c r="A24" s="3064"/>
      <c r="B24" s="3062" t="s">
        <v>1677</v>
      </c>
      <c r="C24" s="3061"/>
    </row>
    <row r="25" spans="1:3" ht="13.5">
      <c r="A25" s="3064"/>
      <c r="B25" s="3063" t="s">
        <v>1678</v>
      </c>
      <c r="C25" s="2002" t="s">
        <v>1679</v>
      </c>
    </row>
    <row r="26" spans="1:3" ht="13.5">
      <c r="A26" s="3064"/>
      <c r="B26" s="3063"/>
      <c r="C26" s="2002" t="s">
        <v>1680</v>
      </c>
    </row>
    <row r="27" spans="1:3" ht="13.5">
      <c r="A27" s="3064"/>
      <c r="B27" s="3063"/>
      <c r="C27" s="2002" t="s">
        <v>1681</v>
      </c>
    </row>
    <row r="28" spans="1:3" ht="13.5">
      <c r="A28" s="3064"/>
      <c r="B28" s="3063"/>
      <c r="C28" s="2002" t="s">
        <v>1682</v>
      </c>
    </row>
    <row r="29" spans="1:3" ht="13.5">
      <c r="A29" s="3064"/>
      <c r="B29" s="3063"/>
      <c r="C29" s="2002" t="s">
        <v>1683</v>
      </c>
    </row>
    <row r="30" spans="1:3" ht="13.5">
      <c r="A30" s="3064"/>
      <c r="B30" s="3063"/>
      <c r="C30" s="2002" t="s">
        <v>1684</v>
      </c>
    </row>
    <row r="31" spans="1:3" ht="13.5">
      <c r="A31" s="3064"/>
      <c r="B31" s="3063"/>
      <c r="C31" s="2002" t="s">
        <v>1685</v>
      </c>
    </row>
    <row r="32" spans="1:3" ht="13.5">
      <c r="A32" s="3064"/>
      <c r="B32" s="3063"/>
      <c r="C32" s="2002" t="s">
        <v>1686</v>
      </c>
    </row>
    <row r="33" spans="1:3" ht="13.5">
      <c r="A33" s="3064"/>
      <c r="B33" s="3063"/>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43222</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68" t="s">
        <v>846</v>
      </c>
      <c r="B25" s="3068"/>
      <c r="C25" s="3068"/>
      <c r="D25" s="3068"/>
      <c r="E25" s="3068"/>
      <c r="F25" s="3068"/>
      <c r="G25" s="3068"/>
    </row>
    <row r="26" spans="1:7" s="1027" customFormat="1" ht="24" customHeight="1">
      <c r="A26" s="3069" t="s">
        <v>847</v>
      </c>
      <c r="B26" s="3069"/>
      <c r="C26" s="3070"/>
      <c r="D26" s="3071" t="s">
        <v>848</v>
      </c>
      <c r="E26" s="3069"/>
      <c r="F26" s="306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2018-05-02T07:07:17Z</dcterms:modified>
</cp:coreProperties>
</file>