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690" yWindow="75" windowWidth="16110" windowHeight="1248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2)" sheetId="79"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8"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1">'收益法 (2)'!$A$1:$F$43,'收益法 (2)'!$H$3:$M$29,'收益法 (2)'!$A$46:$F$71,'收益法 (2)'!$I$46:$N$65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 i="70" l="1"/>
  <c r="I3" i="70"/>
  <c r="I4" i="70"/>
  <c r="I5" i="70"/>
  <c r="I1" i="70"/>
  <c r="E19" i="6" l="1"/>
  <c r="L14" i="1" l="1"/>
  <c r="M17" i="3"/>
  <c r="L7" i="1"/>
  <c r="G38" i="39"/>
  <c r="N6" i="1"/>
  <c r="D4" i="78" l="1"/>
  <c r="C38" i="39" l="1"/>
  <c r="P71" i="39"/>
  <c r="I46" i="39"/>
  <c r="G46" i="39"/>
  <c r="E46" i="39"/>
  <c r="I38" i="39"/>
  <c r="E38" i="39"/>
  <c r="F19" i="6" l="1"/>
  <c r="Q72" i="79" l="1"/>
  <c r="Q59" i="79"/>
  <c r="K59" i="79"/>
  <c r="P74" i="79" s="1"/>
  <c r="F59" i="79"/>
  <c r="Q58" i="79"/>
  <c r="Q51" i="79"/>
  <c r="J50" i="79"/>
  <c r="J51" i="79" s="1"/>
  <c r="M47" i="79"/>
  <c r="D46" i="79"/>
  <c r="F34" i="79"/>
  <c r="F62" i="79" s="1"/>
  <c r="F33" i="79"/>
  <c r="F61" i="79" s="1"/>
  <c r="F32" i="79"/>
  <c r="F60" i="79" s="1"/>
  <c r="F31" i="79"/>
  <c r="F28" i="79"/>
  <c r="F23" i="79"/>
  <c r="D24" i="79" s="1"/>
  <c r="F21" i="79"/>
  <c r="M20" i="79"/>
  <c r="F20" i="79"/>
  <c r="M19" i="79"/>
  <c r="M18" i="79"/>
  <c r="F18" i="79"/>
  <c r="M17" i="79"/>
  <c r="F17" i="79"/>
  <c r="F15" i="79"/>
  <c r="G1" i="79"/>
  <c r="N7" i="1"/>
  <c r="Y6" i="1"/>
  <c r="D118" i="39"/>
  <c r="E118" i="39" s="1"/>
  <c r="F118" i="39" s="1"/>
  <c r="D117" i="39"/>
  <c r="E117" i="39" s="1"/>
  <c r="F117" i="39" s="1"/>
  <c r="D71" i="39"/>
  <c r="E71" i="39" s="1"/>
  <c r="F71" i="39" s="1"/>
  <c r="G71" i="39" s="1"/>
  <c r="H71" i="39" s="1"/>
  <c r="I71" i="39" s="1"/>
  <c r="J71" i="39" s="1"/>
  <c r="K71" i="39" s="1"/>
  <c r="L71" i="39" s="1"/>
  <c r="M71" i="39" s="1"/>
  <c r="N71" i="39" s="1"/>
  <c r="O71" i="39" s="1"/>
  <c r="I7" i="39"/>
  <c r="G7" i="39"/>
  <c r="I5" i="39"/>
  <c r="G5" i="39"/>
  <c r="E7" i="39"/>
  <c r="E5" i="39"/>
  <c r="D3" i="4"/>
  <c r="C76" i="79"/>
  <c r="D22" i="79" l="1"/>
  <c r="Y7" i="1"/>
  <c r="N14" i="1"/>
  <c r="D23" i="79"/>
  <c r="Q71" i="79"/>
  <c r="P61" i="79"/>
  <c r="AH5" i="71"/>
  <c r="AG5" i="71"/>
  <c r="AE5" i="71"/>
  <c r="AF5" i="71" s="1"/>
  <c r="AD5" i="71"/>
  <c r="Q5" i="71"/>
  <c r="P5" i="71"/>
  <c r="O5" i="71"/>
  <c r="N5" i="71"/>
  <c r="M27" i="79"/>
  <c r="F13" i="79"/>
  <c r="M6" i="79"/>
  <c r="F16" i="79"/>
  <c r="M26" i="79"/>
  <c r="M8" i="79"/>
  <c r="L47" i="79"/>
  <c r="F40" i="79"/>
  <c r="F9" i="79"/>
  <c r="J15" i="79"/>
  <c r="F42" i="79"/>
  <c r="F37" i="79"/>
  <c r="M9" i="79"/>
  <c r="F36" i="79"/>
  <c r="M28" i="79"/>
  <c r="M23" i="79"/>
  <c r="M24" i="79"/>
  <c r="M22" i="79"/>
  <c r="F8" i="79"/>
  <c r="F38" i="79"/>
  <c r="F6" i="79"/>
  <c r="F26" i="79"/>
  <c r="F68" i="79" l="1"/>
  <c r="F66" i="79"/>
  <c r="F64" i="79"/>
  <c r="N59" i="79"/>
  <c r="L59" i="79"/>
  <c r="F51" i="79"/>
  <c r="F65" i="79"/>
  <c r="C27" i="79"/>
  <c r="AH6" i="71"/>
  <c r="AG6" i="71"/>
  <c r="AE6" i="71"/>
  <c r="AF6" i="71" s="1"/>
  <c r="AD6" i="71"/>
  <c r="Q6" i="71"/>
  <c r="AB5" i="71" s="1"/>
  <c r="P6" i="71"/>
  <c r="AA5" i="71" s="1"/>
  <c r="O6" i="71"/>
  <c r="Y5" i="71" s="1"/>
  <c r="Z5" i="71" s="1"/>
  <c r="N6" i="71"/>
  <c r="X5" i="71" s="1"/>
  <c r="Q61" i="79" l="1"/>
  <c r="Q74" i="79"/>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C10" i="39" s="1"/>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L35" i="3" s="1"/>
  <c r="AZ35" i="3" s="1"/>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L19" i="3" s="1"/>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7" i="1" s="1"/>
  <c r="E15" i="4"/>
  <c r="D15" i="4"/>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C3" i="7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C4" i="78"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E20" i="6" s="1"/>
  <c r="K7" i="1"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H31" i="39"/>
  <c r="AB31" i="39" s="1"/>
  <c r="F31" i="39"/>
  <c r="AA31" i="39" s="1"/>
  <c r="E101" i="39"/>
  <c r="H17" i="39"/>
  <c r="AB17" i="39" s="1"/>
  <c r="F17" i="39"/>
  <c r="AA17" i="39" s="1"/>
  <c r="J23" i="40"/>
  <c r="AC23" i="40"/>
  <c r="F21" i="40"/>
  <c r="AA21" i="40"/>
  <c r="J21" i="40"/>
  <c r="W21" i="40"/>
  <c r="H42" i="39"/>
  <c r="AB42" i="39" s="1"/>
  <c r="J34" i="39"/>
  <c r="AC34" i="39" s="1"/>
  <c r="G109" i="39"/>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G101" i="39"/>
  <c r="H37" i="39"/>
  <c r="AB37" i="39" s="1"/>
  <c r="AC37" i="39"/>
  <c r="W37" i="39"/>
  <c r="H25" i="39"/>
  <c r="AB25" i="39" s="1"/>
  <c r="J25" i="39"/>
  <c r="F25" i="39"/>
  <c r="AA25" i="39" s="1"/>
  <c r="H15" i="39"/>
  <c r="U15" i="39" s="1"/>
  <c r="J15" i="39"/>
  <c r="W15" i="39" s="1"/>
  <c r="H41" i="39"/>
  <c r="AB41" i="39" s="1"/>
  <c r="S42" i="39"/>
  <c r="W14" i="39"/>
  <c r="W9" i="39"/>
  <c r="W8" i="39"/>
  <c r="J19" i="40"/>
  <c r="AC19" i="40"/>
  <c r="J50" i="40"/>
  <c r="H103" i="9"/>
  <c r="D8" i="53" s="1"/>
  <c r="B16" i="53"/>
  <c r="B33" i="72" s="1"/>
  <c r="C7" i="37"/>
  <c r="C7" i="34"/>
  <c r="C7" i="36"/>
  <c r="W35" i="40"/>
  <c r="A118" i="9"/>
  <c r="A4" i="52"/>
  <c r="B41" i="72" s="1"/>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26"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F107" i="39"/>
  <c r="G107" i="39"/>
  <c r="U25" i="39"/>
  <c r="AB27" i="39"/>
  <c r="U31" i="39"/>
  <c r="S25" i="39"/>
  <c r="J21" i="39"/>
  <c r="W21" i="39" s="1"/>
  <c r="H21" i="39"/>
  <c r="AB21" i="39" s="1"/>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s="1"/>
  <c r="G13" i="3"/>
  <c r="BA13" i="3"/>
  <c r="BL17" i="3"/>
  <c r="BL13" i="3"/>
  <c r="J56" i="9"/>
  <c r="J57" i="9" s="1"/>
  <c r="J59" i="9" s="1"/>
  <c r="J61" i="9" s="1"/>
  <c r="A24" i="51"/>
  <c r="B18" i="72" s="1"/>
  <c r="U29" i="34"/>
  <c r="E5" i="6"/>
  <c r="D9" i="11" s="1"/>
  <c r="C9" i="11" s="1"/>
  <c r="E32" i="6"/>
  <c r="L19" i="6"/>
  <c r="G1" i="68"/>
  <c r="K1" i="12"/>
  <c r="AQ12"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A27" i="39"/>
  <c r="S27"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W32" i="39" s="1"/>
  <c r="H107" i="39"/>
  <c r="I107" i="39" s="1"/>
  <c r="J107" i="39" s="1"/>
  <c r="K107" i="39" s="1"/>
  <c r="L107" i="39" s="1"/>
  <c r="M107" i="39" s="1"/>
  <c r="H32" i="39"/>
  <c r="AB32" i="39" s="1"/>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D124" i="9" s="1"/>
  <c r="H110" i="9"/>
  <c r="D18" i="53" s="1"/>
  <c r="B35" i="72" s="1"/>
  <c r="D16" i="53"/>
  <c r="B34" i="72" s="1"/>
  <c r="H112" i="9"/>
  <c r="D21" i="53" s="1"/>
  <c r="B39" i="72" s="1"/>
  <c r="H111" i="9"/>
  <c r="D126" i="9"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J15" i="67"/>
  <c r="D5" i="73"/>
  <c r="F20" i="31"/>
  <c r="F38" i="67"/>
  <c r="AO8" i="1"/>
  <c r="B11" i="76"/>
  <c r="J15" i="15"/>
  <c r="F35" i="67"/>
  <c r="C76" i="67"/>
  <c r="M24" i="67"/>
  <c r="B9" i="76"/>
  <c r="F26" i="67"/>
  <c r="F8" i="67"/>
  <c r="F43" i="67"/>
  <c r="B12" i="76"/>
  <c r="F42" i="15"/>
  <c r="L48" i="67"/>
  <c r="D2" i="33"/>
  <c r="D6" i="73"/>
  <c r="M28" i="67"/>
  <c r="D2" i="35"/>
  <c r="M28" i="15"/>
  <c r="M6" i="67"/>
  <c r="AO12" i="1"/>
  <c r="E8" i="76"/>
  <c r="M24" i="15"/>
  <c r="F13" i="67"/>
  <c r="L48" i="15"/>
  <c r="E2" i="68"/>
  <c r="D2" i="37"/>
  <c r="AO9" i="1"/>
  <c r="F5" i="73"/>
  <c r="F37" i="15"/>
  <c r="AO11" i="1"/>
  <c r="L47" i="67"/>
  <c r="D2" i="34"/>
  <c r="F36" i="15"/>
  <c r="M26" i="15"/>
  <c r="F16" i="67"/>
  <c r="F7" i="79"/>
  <c r="M26" i="67"/>
  <c r="F6" i="73"/>
  <c r="F40" i="15"/>
  <c r="M23" i="67"/>
  <c r="M23" i="15"/>
  <c r="M27" i="67"/>
  <c r="M27" i="15"/>
  <c r="F7" i="73"/>
  <c r="F37" i="67"/>
  <c r="L48" i="79"/>
  <c r="F36" i="67"/>
  <c r="M29" i="67"/>
  <c r="F9" i="67"/>
  <c r="F40" i="67"/>
  <c r="M21" i="67"/>
  <c r="F4" i="73"/>
  <c r="F9" i="15"/>
  <c r="D2" i="21"/>
  <c r="AO13" i="1"/>
  <c r="F41" i="67"/>
  <c r="E13" i="76"/>
  <c r="E12" i="76"/>
  <c r="D4" i="73"/>
  <c r="M22" i="67"/>
  <c r="E9" i="76"/>
  <c r="F26" i="15"/>
  <c r="AO10" i="1"/>
  <c r="M8" i="67"/>
  <c r="F38" i="15"/>
  <c r="E7" i="76"/>
  <c r="D2" i="36"/>
  <c r="F13" i="15"/>
  <c r="F43" i="79"/>
  <c r="E11" i="76"/>
  <c r="C76" i="15"/>
  <c r="M29" i="79"/>
  <c r="F16" i="15"/>
  <c r="F8" i="15"/>
  <c r="E10" i="76"/>
  <c r="L47" i="15"/>
  <c r="D3" i="73"/>
  <c r="F3" i="73"/>
  <c r="D7" i="73"/>
  <c r="M9" i="15"/>
  <c r="M22" i="15"/>
  <c r="M6" i="15"/>
  <c r="B7" i="76"/>
  <c r="F6" i="67"/>
  <c r="B10" i="76"/>
  <c r="B13" i="76"/>
  <c r="B8" i="76"/>
  <c r="F42" i="67"/>
  <c r="F7" i="67"/>
  <c r="M8" i="15"/>
  <c r="E2" i="69"/>
  <c r="M9" i="67"/>
  <c r="C18" i="9" l="1"/>
  <c r="D18" i="9" s="1"/>
  <c r="AZ17" i="3"/>
  <c r="W19" i="39"/>
  <c r="AA41" i="39"/>
  <c r="F21" i="39"/>
  <c r="S21" i="39" s="1"/>
  <c r="W27" i="39"/>
  <c r="AC15" i="39"/>
  <c r="S17" i="39"/>
  <c r="S23" i="39"/>
  <c r="AB23" i="39"/>
  <c r="W23" i="39"/>
  <c r="U40" i="39"/>
  <c r="AB34" i="39"/>
  <c r="AA39" i="39"/>
  <c r="U32" i="39"/>
  <c r="AA32" i="39"/>
  <c r="AC29" i="39"/>
  <c r="S35" i="39"/>
  <c r="S34" i="39"/>
  <c r="U21" i="39"/>
  <c r="F89" i="39"/>
  <c r="G89" i="39" s="1"/>
  <c r="F15" i="39"/>
  <c r="U29" i="39"/>
  <c r="U17" i="39"/>
  <c r="AA21" i="39"/>
  <c r="S29" i="39"/>
  <c r="L57" i="79"/>
  <c r="J53" i="79"/>
  <c r="J59" i="79"/>
  <c r="L56" i="79"/>
  <c r="J57" i="79"/>
  <c r="J55" i="79" s="1"/>
  <c r="J58" i="79" s="1"/>
  <c r="Q50" i="79" s="1"/>
  <c r="J60" i="79"/>
  <c r="Q48" i="79" s="1"/>
  <c r="L60" i="79"/>
  <c r="L58" i="79"/>
  <c r="I54" i="79"/>
  <c r="L46" i="79"/>
  <c r="D70" i="39"/>
  <c r="E68" i="39"/>
  <c r="F68" i="39" s="1"/>
  <c r="C13" i="12"/>
  <c r="G7" i="1"/>
  <c r="C40" i="68"/>
  <c r="C21" i="68"/>
  <c r="C40" i="69"/>
  <c r="G19" i="3"/>
  <c r="E29" i="6"/>
  <c r="K15" i="1" s="1"/>
  <c r="F30" i="6"/>
  <c r="BL18" i="3"/>
  <c r="AQ13" i="1"/>
  <c r="AR10" i="1"/>
  <c r="AZ13" i="3"/>
  <c r="G7" i="79"/>
  <c r="F81" i="39"/>
  <c r="H19" i="39"/>
  <c r="AB19" i="39" s="1"/>
  <c r="F71" i="79"/>
  <c r="M7" i="79"/>
  <c r="J6" i="79" s="1"/>
  <c r="J18" i="79" s="1"/>
  <c r="C6" i="79"/>
  <c r="F50" i="79"/>
  <c r="C49" i="79" s="1"/>
  <c r="BB5" i="3"/>
  <c r="E8" i="6" s="1"/>
  <c r="L27" i="6"/>
  <c r="G27" i="6"/>
  <c r="BA14" i="3"/>
  <c r="AZ14" i="3" s="1"/>
  <c r="I4" i="6"/>
  <c r="H5" i="3"/>
  <c r="AR8" i="1"/>
  <c r="T8" i="1"/>
  <c r="G16" i="3"/>
  <c r="G5" i="3" s="1"/>
  <c r="B3" i="3" s="1"/>
  <c r="E157" i="3" s="1"/>
  <c r="C5" i="78"/>
  <c r="D5" i="78" s="1"/>
  <c r="U6" i="1" s="1"/>
  <c r="G17" i="43"/>
  <c r="C16" i="43" s="1"/>
  <c r="C5" i="43" s="1"/>
  <c r="H53" i="43"/>
  <c r="D5" i="43"/>
  <c r="C35" i="43" s="1"/>
  <c r="H50" i="43"/>
  <c r="C5" i="11"/>
  <c r="P61" i="15"/>
  <c r="C92" i="9"/>
  <c r="C94"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G93" i="39"/>
  <c r="F19" i="39"/>
  <c r="AA19" i="39" s="1"/>
  <c r="S38" i="39"/>
  <c r="U9" i="39"/>
  <c r="AB8" i="39"/>
  <c r="E10" i="6"/>
  <c r="T9" i="1"/>
  <c r="AQ9" i="1"/>
  <c r="T12" i="1"/>
  <c r="BA20" i="3"/>
  <c r="AZ20" i="3" s="1"/>
  <c r="C36" i="69"/>
  <c r="K6" i="1"/>
  <c r="G16" i="1" s="1"/>
  <c r="F10" i="39" s="1"/>
  <c r="M7" i="1"/>
  <c r="BA19" i="3"/>
  <c r="AZ19" i="3" s="1"/>
  <c r="BA18" i="3"/>
  <c r="AZ18" i="3" s="1"/>
  <c r="E12" i="6"/>
  <c r="E57" i="40" s="1"/>
  <c r="BL5" i="3"/>
  <c r="AZ15" i="3"/>
  <c r="T10" i="1"/>
  <c r="E15" i="6"/>
  <c r="D19" i="12"/>
  <c r="C19" i="12" s="1"/>
  <c r="T13" i="1"/>
  <c r="AR11" i="1"/>
  <c r="E62" i="39"/>
  <c r="O12" i="1"/>
  <c r="P12" i="1" s="1"/>
  <c r="G30" i="6"/>
  <c r="G31" i="6" s="1"/>
  <c r="E28" i="6"/>
  <c r="P7" i="1"/>
  <c r="D9" i="68"/>
  <c r="C9" i="68" s="1"/>
  <c r="D9" i="69"/>
  <c r="C9" i="69" s="1"/>
  <c r="O11" i="1"/>
  <c r="P11" i="1" s="1"/>
  <c r="O9" i="1"/>
  <c r="P9" i="1" s="1"/>
  <c r="O8" i="1"/>
  <c r="A19" i="51"/>
  <c r="B14" i="72" s="1"/>
  <c r="T35" i="4"/>
  <c r="D19" i="53"/>
  <c r="I14" i="74"/>
  <c r="B8" i="74" s="1"/>
  <c r="D127" i="9"/>
  <c r="D13" i="52" s="1"/>
  <c r="D12" i="52"/>
  <c r="D10" i="52"/>
  <c r="D125" i="9"/>
  <c r="D11" i="52" s="1"/>
  <c r="H14" i="74"/>
  <c r="B7" i="74" s="1"/>
  <c r="D17" i="53"/>
  <c r="B36" i="72"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C36" i="43"/>
  <c r="E36" i="43" s="1"/>
  <c r="C39" i="43"/>
  <c r="B9" i="71"/>
  <c r="B8" i="71" s="1"/>
  <c r="B7" i="71" s="1"/>
  <c r="B6" i="71" s="1"/>
  <c r="B5" i="71" s="1"/>
  <c r="X9" i="71"/>
  <c r="AB9" i="71"/>
  <c r="Z8" i="71"/>
  <c r="Y3" i="71"/>
  <c r="Z3" i="71" s="1"/>
  <c r="D9" i="71"/>
  <c r="F9" i="71"/>
  <c r="F8" i="71" s="1"/>
  <c r="F7" i="71" s="1"/>
  <c r="F6" i="71" s="1"/>
  <c r="F5" i="71" s="1"/>
  <c r="AF3" i="71"/>
  <c r="P22" i="43" s="1"/>
  <c r="C34" i="43"/>
  <c r="C33" i="43"/>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M29" i="15"/>
  <c r="F6" i="15"/>
  <c r="C14" i="67"/>
  <c r="G1" i="73"/>
  <c r="F43" i="15"/>
  <c r="C17" i="67"/>
  <c r="F7" i="15"/>
  <c r="C16" i="79"/>
  <c r="S19" i="39" l="1"/>
  <c r="AA15" i="39"/>
  <c r="S15" i="39"/>
  <c r="U19" i="39"/>
  <c r="Q73" i="79"/>
  <c r="Q60" i="79"/>
  <c r="Q52" i="79"/>
  <c r="F1" i="79"/>
  <c r="Q57" i="79"/>
  <c r="Q66" i="79"/>
  <c r="E13" i="6"/>
  <c r="E63" i="39" s="1"/>
  <c r="E11" i="6"/>
  <c r="E61" i="39" s="1"/>
  <c r="E423" i="3"/>
  <c r="E161" i="3"/>
  <c r="E130" i="3"/>
  <c r="E407" i="3"/>
  <c r="E358" i="3"/>
  <c r="E569" i="3"/>
  <c r="E260" i="3"/>
  <c r="E578" i="3"/>
  <c r="E128" i="3"/>
  <c r="E545" i="3"/>
  <c r="E553" i="3"/>
  <c r="E191" i="3"/>
  <c r="E294" i="3"/>
  <c r="E551" i="3"/>
  <c r="E229" i="3"/>
  <c r="E239" i="3"/>
  <c r="E415" i="3"/>
  <c r="E518" i="3"/>
  <c r="E352" i="3"/>
  <c r="N6" i="3"/>
  <c r="E125" i="3"/>
  <c r="E263" i="3"/>
  <c r="E135" i="3"/>
  <c r="E230" i="3"/>
  <c r="E320" i="3"/>
  <c r="V6" i="3"/>
  <c r="E559" i="3"/>
  <c r="E151" i="3"/>
  <c r="E396" i="3"/>
  <c r="E516" i="3"/>
  <c r="E550" i="3"/>
  <c r="E395" i="3"/>
  <c r="E114" i="3"/>
  <c r="AI6" i="3"/>
  <c r="E385" i="3"/>
  <c r="E205" i="3"/>
  <c r="E510" i="3"/>
  <c r="E329" i="3"/>
  <c r="E282" i="3"/>
  <c r="E366" i="3"/>
  <c r="G3" i="43"/>
  <c r="AE11" i="43" s="1"/>
  <c r="AE13" i="43" s="1"/>
  <c r="C11" i="39"/>
  <c r="G81" i="39"/>
  <c r="H81" i="39" s="1"/>
  <c r="I81" i="39" s="1"/>
  <c r="J81" i="39" s="1"/>
  <c r="K81" i="39" s="1"/>
  <c r="L81" i="39" s="1"/>
  <c r="M81" i="39" s="1"/>
  <c r="F11" i="39"/>
  <c r="E14" i="6"/>
  <c r="F27" i="6"/>
  <c r="F31" i="6" s="1"/>
  <c r="E56" i="39"/>
  <c r="O7" i="1"/>
  <c r="C33" i="79"/>
  <c r="C32" i="79"/>
  <c r="F11" i="79"/>
  <c r="M11" i="79"/>
  <c r="J10" i="79" s="1"/>
  <c r="J5" i="79" s="1"/>
  <c r="E51" i="40"/>
  <c r="E56" i="40"/>
  <c r="AZ5" i="3"/>
  <c r="E3" i="6" s="1"/>
  <c r="F71" i="15"/>
  <c r="M7" i="15"/>
  <c r="J6" i="15" s="1"/>
  <c r="J18" i="15" s="1"/>
  <c r="F50" i="15"/>
  <c r="C49" i="15" s="1"/>
  <c r="C6" i="15"/>
  <c r="C32" i="15" s="1"/>
  <c r="E382" i="3"/>
  <c r="E245" i="3"/>
  <c r="E61" i="3"/>
  <c r="E290" i="3"/>
  <c r="E117" i="3"/>
  <c r="E189" i="3"/>
  <c r="E215" i="3"/>
  <c r="E335" i="3"/>
  <c r="E387" i="3"/>
  <c r="AB6" i="3"/>
  <c r="M6" i="3"/>
  <c r="E570" i="3"/>
  <c r="E514" i="3"/>
  <c r="E311" i="3"/>
  <c r="E201" i="3"/>
  <c r="E247" i="3"/>
  <c r="E431" i="3"/>
  <c r="E579" i="3"/>
  <c r="E509" i="3"/>
  <c r="E535" i="3"/>
  <c r="E445" i="3"/>
  <c r="E172" i="3"/>
  <c r="E563" i="3"/>
  <c r="E278" i="3"/>
  <c r="E69" i="3"/>
  <c r="E586" i="3"/>
  <c r="AN6" i="3"/>
  <c r="E495" i="3"/>
  <c r="E353" i="3"/>
  <c r="E165" i="3"/>
  <c r="E227" i="3"/>
  <c r="E461" i="3"/>
  <c r="E567" i="3"/>
  <c r="E539" i="3"/>
  <c r="AJ6" i="3"/>
  <c r="E322" i="3"/>
  <c r="E268" i="3"/>
  <c r="E526" i="3"/>
  <c r="E217" i="3"/>
  <c r="M6" i="1"/>
  <c r="T14" i="43"/>
  <c r="V14" i="43" s="1"/>
  <c r="T12" i="43"/>
  <c r="V12" i="43" s="1"/>
  <c r="T9" i="43"/>
  <c r="V9" i="43" s="1"/>
  <c r="T10" i="43"/>
  <c r="V10" i="43" s="1"/>
  <c r="T16" i="43"/>
  <c r="V16" i="43" s="1"/>
  <c r="T8" i="43"/>
  <c r="V8" i="43" s="1"/>
  <c r="T11" i="43"/>
  <c r="V11" i="43" s="1"/>
  <c r="T15" i="43"/>
  <c r="V15" i="43" s="1"/>
  <c r="T13" i="43"/>
  <c r="V13" i="43" s="1"/>
  <c r="E35" i="43"/>
  <c r="G35" i="43"/>
  <c r="I35" i="43" s="1"/>
  <c r="C37" i="43"/>
  <c r="E37" i="43" s="1"/>
  <c r="F48" i="68"/>
  <c r="C48" i="68"/>
  <c r="C30" i="68"/>
  <c r="C48" i="11"/>
  <c r="C30" i="11"/>
  <c r="F48" i="69"/>
  <c r="C30" i="69"/>
  <c r="C48" i="69"/>
  <c r="E402" i="3"/>
  <c r="E350" i="3"/>
  <c r="E303" i="3"/>
  <c r="E301" i="3"/>
  <c r="E159" i="3"/>
  <c r="E134" i="3"/>
  <c r="E254" i="3"/>
  <c r="E91" i="3"/>
  <c r="E221" i="3"/>
  <c r="E180"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E237"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188" i="3"/>
  <c r="BA5" i="3"/>
  <c r="E27" i="6" s="1"/>
  <c r="K20" i="6" s="1"/>
  <c r="E296" i="3"/>
  <c r="H16" i="1"/>
  <c r="Q16" i="1"/>
  <c r="E136" i="3"/>
  <c r="E181" i="3"/>
  <c r="E306" i="3"/>
  <c r="E262" i="3"/>
  <c r="E99" i="3"/>
  <c r="E228" i="3"/>
  <c r="E434" i="3"/>
  <c r="E453" i="3"/>
  <c r="E244" i="3"/>
  <c r="E156" i="3"/>
  <c r="E148" i="3"/>
  <c r="E122"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368" i="3"/>
  <c r="E196" i="3"/>
  <c r="E236" i="3"/>
  <c r="E269"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59" i="3"/>
  <c r="E255" i="3"/>
  <c r="E374" i="3"/>
  <c r="I3" i="6"/>
  <c r="E566" i="3"/>
  <c r="AP6" i="3"/>
  <c r="E500" i="3"/>
  <c r="E554" i="3"/>
  <c r="E582" i="3"/>
  <c r="E517" i="3"/>
  <c r="E413" i="3"/>
  <c r="E435" i="3"/>
  <c r="E460"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0" i="40"/>
  <c r="E65" i="39"/>
  <c r="E30" i="6"/>
  <c r="K14" i="1"/>
  <c r="P8" i="1"/>
  <c r="J10" i="40"/>
  <c r="W10" i="40" s="1"/>
  <c r="G36" i="43"/>
  <c r="I36" i="43" s="1"/>
  <c r="H10" i="39"/>
  <c r="U10" i="39" s="1"/>
  <c r="F10" i="40"/>
  <c r="AA10" i="40" s="1"/>
  <c r="J10" i="39"/>
  <c r="AC10" i="39" s="1"/>
  <c r="H10" i="40"/>
  <c r="AB10" i="40" s="1"/>
  <c r="B38" i="72"/>
  <c r="D20" i="53"/>
  <c r="B40" i="72" s="1"/>
  <c r="G70" i="39"/>
  <c r="H68" i="39"/>
  <c r="H7" i="37"/>
  <c r="AB7" i="37" s="1"/>
  <c r="T42" i="37" s="1"/>
  <c r="G42" i="37" s="1"/>
  <c r="B40" i="1"/>
  <c r="F24" i="79" s="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AE7" i="1"/>
  <c r="C16" i="15"/>
  <c r="K22" i="6" l="1"/>
  <c r="M22" i="6" s="1"/>
  <c r="I22" i="6" s="1"/>
  <c r="S22" i="6" s="1"/>
  <c r="K21" i="6"/>
  <c r="M21" i="6" s="1"/>
  <c r="I21" i="6" s="1"/>
  <c r="S21" i="6" s="1"/>
  <c r="E31" i="6"/>
  <c r="K26" i="6"/>
  <c r="M26" i="6" s="1"/>
  <c r="I26" i="6" s="1"/>
  <c r="S26" i="6" s="1"/>
  <c r="K23" i="6"/>
  <c r="M23" i="6" s="1"/>
  <c r="I23" i="6" s="1"/>
  <c r="S23" i="6" s="1"/>
  <c r="E16" i="6"/>
  <c r="E58" i="40"/>
  <c r="H6" i="3"/>
  <c r="Z7" i="43"/>
  <c r="AY6" i="3"/>
  <c r="D3" i="21"/>
  <c r="C17" i="4"/>
  <c r="B4" i="52" s="1"/>
  <c r="B43" i="72" s="1"/>
  <c r="D3" i="37"/>
  <c r="E6" i="6"/>
  <c r="M18" i="9"/>
  <c r="B118" i="9" s="1"/>
  <c r="B14" i="74" s="1"/>
  <c r="B1" i="74" s="1"/>
  <c r="C7" i="74" s="1"/>
  <c r="D37" i="11"/>
  <c r="C37" i="11" s="1"/>
  <c r="D19" i="11"/>
  <c r="C19" i="11" s="1"/>
  <c r="C20" i="11" s="1"/>
  <c r="L18" i="9"/>
  <c r="D3" i="34"/>
  <c r="D14" i="12"/>
  <c r="C14" i="12" s="1"/>
  <c r="D3" i="33"/>
  <c r="L101" i="43"/>
  <c r="G22" i="43"/>
  <c r="J22" i="43"/>
  <c r="Z11" i="43"/>
  <c r="Z13" i="43" s="1"/>
  <c r="C101" i="43"/>
  <c r="AF11" i="43"/>
  <c r="AF13" i="43" s="1"/>
  <c r="AC11" i="43"/>
  <c r="AC13" i="43" s="1"/>
  <c r="E22" i="43"/>
  <c r="AH11" i="43"/>
  <c r="AH13" i="43" s="1"/>
  <c r="F22" i="43"/>
  <c r="F101" i="43"/>
  <c r="AJ11" i="43"/>
  <c r="AJ13" i="43" s="1"/>
  <c r="AG11" i="43"/>
  <c r="AG13" i="43" s="1"/>
  <c r="B113" i="43"/>
  <c r="I101" i="43"/>
  <c r="AI11" i="43"/>
  <c r="AI13" i="43" s="1"/>
  <c r="E101" i="43"/>
  <c r="H101" i="43"/>
  <c r="J101" i="43"/>
  <c r="N101" i="43"/>
  <c r="D101" i="43"/>
  <c r="AB11" i="43"/>
  <c r="AB13" i="43" s="1"/>
  <c r="Y11" i="43"/>
  <c r="Y13" i="43" s="1"/>
  <c r="N104" i="46"/>
  <c r="AD11" i="43"/>
  <c r="AD13" i="43" s="1"/>
  <c r="AA11" i="43"/>
  <c r="AA13" i="43" s="1"/>
  <c r="M101" i="43"/>
  <c r="H22" i="43"/>
  <c r="G101" i="43"/>
  <c r="K101" i="43"/>
  <c r="H11" i="39"/>
  <c r="J11" i="39"/>
  <c r="AA11" i="39"/>
  <c r="S11" i="39"/>
  <c r="J10" i="15"/>
  <c r="J5" i="15" s="1"/>
  <c r="J24" i="15" s="1"/>
  <c r="E64" i="39"/>
  <c r="E66" i="39" s="1"/>
  <c r="E59" i="40"/>
  <c r="L107" i="43"/>
  <c r="L103" i="43"/>
  <c r="L106" i="43"/>
  <c r="C24" i="79"/>
  <c r="J26" i="79"/>
  <c r="J24" i="79"/>
  <c r="C53" i="79"/>
  <c r="C48" i="79" s="1"/>
  <c r="C10" i="79"/>
  <c r="C5" i="79" s="1"/>
  <c r="M20" i="6"/>
  <c r="I20" i="6" s="1"/>
  <c r="S20" i="6" s="1"/>
  <c r="S7" i="1"/>
  <c r="AY176" i="3"/>
  <c r="AY131" i="3"/>
  <c r="AY318" i="3"/>
  <c r="AY395" i="3"/>
  <c r="AY569" i="3"/>
  <c r="AY31" i="3"/>
  <c r="AY244" i="3"/>
  <c r="AY52" i="3"/>
  <c r="AY291" i="3"/>
  <c r="AY368" i="3"/>
  <c r="AY121" i="3"/>
  <c r="AY370" i="3"/>
  <c r="AY483" i="3"/>
  <c r="AY406" i="3"/>
  <c r="AY572" i="3"/>
  <c r="AY543" i="3"/>
  <c r="AY81" i="3"/>
  <c r="AY153" i="3"/>
  <c r="AY396" i="3"/>
  <c r="AY320" i="3"/>
  <c r="AY434" i="3"/>
  <c r="AY489" i="3"/>
  <c r="AY540" i="3"/>
  <c r="AY138" i="3"/>
  <c r="AY214" i="3"/>
  <c r="AY24" i="3"/>
  <c r="AY349" i="3"/>
  <c r="AY427" i="3"/>
  <c r="AY584" i="3"/>
  <c r="AY129" i="3"/>
  <c r="AY487" i="3"/>
  <c r="AY399" i="3"/>
  <c r="AY537" i="3"/>
  <c r="AY110" i="3"/>
  <c r="AY140" i="3"/>
  <c r="AY216" i="3"/>
  <c r="AY482" i="3"/>
  <c r="AY528" i="3"/>
  <c r="AY22" i="3"/>
  <c r="AY288" i="3"/>
  <c r="AY284" i="3"/>
  <c r="AY478" i="3"/>
  <c r="AY190" i="3"/>
  <c r="AY133" i="3"/>
  <c r="AY247" i="3"/>
  <c r="AY397" i="3"/>
  <c r="AY109" i="3"/>
  <c r="AY166" i="3"/>
  <c r="AY242" i="3"/>
  <c r="AY348" i="3"/>
  <c r="AY462" i="3"/>
  <c r="BQ6" i="3"/>
  <c r="AY495" i="3"/>
  <c r="AY582" i="3"/>
  <c r="AY194" i="3"/>
  <c r="AY251" i="3"/>
  <c r="AY329" i="3"/>
  <c r="AY468" i="3"/>
  <c r="AY439" i="3"/>
  <c r="AY506" i="3"/>
  <c r="AY524" i="3"/>
  <c r="AY542" i="3"/>
  <c r="AY578" i="3"/>
  <c r="AY63" i="3"/>
  <c r="AY192" i="3"/>
  <c r="AY135" i="3"/>
  <c r="AY249" i="3"/>
  <c r="AY378" i="3"/>
  <c r="AY346" i="3"/>
  <c r="AY456" i="3"/>
  <c r="AY558" i="3"/>
  <c r="BL6" i="3"/>
  <c r="AY55" i="3"/>
  <c r="AY184" i="3"/>
  <c r="AY128" i="3"/>
  <c r="AY241" i="3"/>
  <c r="AY391" i="3"/>
  <c r="AY338" i="3"/>
  <c r="AY448" i="3"/>
  <c r="BD6" i="3"/>
  <c r="AY477" i="3"/>
  <c r="BC6" i="3"/>
  <c r="AY498" i="3"/>
  <c r="AY322" i="3"/>
  <c r="AY15" i="3"/>
  <c r="AY583" i="3"/>
  <c r="AY375" i="3"/>
  <c r="AY400" i="3"/>
  <c r="AY429" i="3"/>
  <c r="AY354" i="3"/>
  <c r="AY277" i="3"/>
  <c r="AY38" i="3"/>
  <c r="AY560" i="3"/>
  <c r="AY469" i="3"/>
  <c r="AY232" i="3"/>
  <c r="AY156" i="3"/>
  <c r="AY99" i="3"/>
  <c r="AY565" i="3"/>
  <c r="AY407" i="3"/>
  <c r="AY312" i="3"/>
  <c r="AY137" i="3"/>
  <c r="AY501" i="3"/>
  <c r="AY398" i="3"/>
  <c r="AY353" i="3"/>
  <c r="AY56" i="3"/>
  <c r="AY230" i="3"/>
  <c r="AY154" i="3"/>
  <c r="AY497" i="3"/>
  <c r="AY175" i="3"/>
  <c r="AY421" i="3"/>
  <c r="AY296" i="3"/>
  <c r="AY548" i="3"/>
  <c r="AY418" i="3"/>
  <c r="AY80" i="3"/>
  <c r="AY488" i="3"/>
  <c r="AY554" i="3"/>
  <c r="AY28" i="3"/>
  <c r="AY123" i="3"/>
  <c r="AY337" i="3"/>
  <c r="AY21" i="3"/>
  <c r="AY520" i="3"/>
  <c r="AY449" i="3"/>
  <c r="AY258" i="3"/>
  <c r="AY238" i="3"/>
  <c r="AY562" i="3"/>
  <c r="AY77" i="3"/>
  <c r="AY106" i="3"/>
  <c r="AY160" i="3"/>
  <c r="O6" i="1"/>
  <c r="P6" i="1" s="1"/>
  <c r="C23" i="43"/>
  <c r="C21" i="43" s="1"/>
  <c r="C29" i="43" s="1"/>
  <c r="S4" i="43"/>
  <c r="T4" i="43" s="1"/>
  <c r="V4" i="43" s="1"/>
  <c r="S2" i="43"/>
  <c r="T2" i="43" s="1"/>
  <c r="V2" i="43" s="1"/>
  <c r="C26" i="43" s="1"/>
  <c r="S3" i="43"/>
  <c r="T3" i="43" s="1"/>
  <c r="V3" i="43" s="1"/>
  <c r="S7" i="43"/>
  <c r="T7" i="43" s="1"/>
  <c r="V7" i="43" s="1"/>
  <c r="S6" i="43"/>
  <c r="T6" i="43" s="1"/>
  <c r="V6" i="43" s="1"/>
  <c r="S5" i="43"/>
  <c r="T5" i="43" s="1"/>
  <c r="V5" i="43" s="1"/>
  <c r="AY87" i="3"/>
  <c r="AY51" i="3"/>
  <c r="AY34" i="3"/>
  <c r="AY207" i="3"/>
  <c r="AY144" i="3"/>
  <c r="AY124" i="3"/>
  <c r="AY67" i="3"/>
  <c r="AY196" i="3"/>
  <c r="AY139"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191" i="3"/>
  <c r="AY90" i="3"/>
  <c r="AY163" i="3"/>
  <c r="AY75" i="3"/>
  <c r="AY237" i="3"/>
  <c r="AY387" i="3"/>
  <c r="AY334" i="3"/>
  <c r="AY444" i="3"/>
  <c r="AY526" i="3"/>
  <c r="AY269" i="3"/>
  <c r="AY390"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83" i="3"/>
  <c r="AY23" i="3"/>
  <c r="AY155" i="3"/>
  <c r="AY50" i="3"/>
  <c r="AY115" i="3"/>
  <c r="AY188" i="3"/>
  <c r="AY276" i="3"/>
  <c r="AY297" i="3"/>
  <c r="AY225" i="3"/>
  <c r="AY335" i="3"/>
  <c r="AY470" i="3"/>
  <c r="AY409" i="3"/>
  <c r="AY180" i="3"/>
  <c r="AY228" i="3"/>
  <c r="AY358" i="3"/>
  <c r="AY465" i="3"/>
  <c r="AY433" i="3"/>
  <c r="BK6" i="3"/>
  <c r="AY541" i="3"/>
  <c r="AY108" i="3"/>
  <c r="AY45" i="3"/>
  <c r="AY132" i="3"/>
  <c r="AY292" i="3"/>
  <c r="AY220" i="3"/>
  <c r="AY486" i="3"/>
  <c r="AY199" i="3"/>
  <c r="AY355" i="3"/>
  <c r="AY404" i="3"/>
  <c r="BO6" i="3"/>
  <c r="AY53" i="3"/>
  <c r="AY20" i="3"/>
  <c r="AY193" i="3"/>
  <c r="AY173" i="3"/>
  <c r="AY134" i="3"/>
  <c r="AY286" i="3"/>
  <c r="AY270" i="3"/>
  <c r="AY227" i="3"/>
  <c r="AY373" i="3"/>
  <c r="AY507"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98" i="3"/>
  <c r="AY74" i="3"/>
  <c r="AY204" i="3"/>
  <c r="AY363" i="3"/>
  <c r="AY412" i="3"/>
  <c r="AY229" i="3"/>
  <c r="AY326" i="3"/>
  <c r="AY557" i="3"/>
  <c r="AY105"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89" i="3"/>
  <c r="AY261" i="3"/>
  <c r="AY209" i="3"/>
  <c r="AY455" i="3"/>
  <c r="AY116" i="3"/>
  <c r="AY343" i="3"/>
  <c r="AY417" i="3"/>
  <c r="AY539" i="3"/>
  <c r="AY84" i="3"/>
  <c r="AY33" i="3"/>
  <c r="BT6" i="3"/>
  <c r="AY566" i="3"/>
  <c r="AY413" i="3"/>
  <c r="AY474" i="3"/>
  <c r="AY339" i="3"/>
  <c r="AY208" i="3"/>
  <c r="AY586" i="3"/>
  <c r="AY511" i="3"/>
  <c r="AY521" i="3"/>
  <c r="AY443" i="3"/>
  <c r="AY307" i="3"/>
  <c r="AY38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M19" i="9" s="1"/>
  <c r="C118" i="9" s="1"/>
  <c r="C14" i="74" s="1"/>
  <c r="B2" i="74" s="1"/>
  <c r="AY499" i="3"/>
  <c r="AY579" i="3"/>
  <c r="AY423" i="3"/>
  <c r="AY410"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44" i="3"/>
  <c r="AY573" i="3"/>
  <c r="AY212" i="3"/>
  <c r="AY319" i="3"/>
  <c r="AY183" i="3"/>
  <c r="AY272" i="3"/>
  <c r="AY136" i="3"/>
  <c r="AY195" i="3"/>
  <c r="AY39" i="3"/>
  <c r="AY576" i="3"/>
  <c r="AY13" i="3"/>
  <c r="AY440" i="3"/>
  <c r="AY330" i="3"/>
  <c r="AY383" i="3"/>
  <c r="AY233" i="3"/>
  <c r="AY120" i="3"/>
  <c r="AY203" i="3"/>
  <c r="AY47" i="3"/>
  <c r="AY563" i="3"/>
  <c r="AY530" i="3"/>
  <c r="AY575" i="3"/>
  <c r="AY17" i="3"/>
  <c r="AY431" i="3"/>
  <c r="AY453" i="3"/>
  <c r="AY313" i="3"/>
  <c r="AY266" i="3"/>
  <c r="AY189" i="3"/>
  <c r="AY519" i="3"/>
  <c r="AY510" i="3"/>
  <c r="BM6" i="3"/>
  <c r="AY446" i="3"/>
  <c r="AY332" i="3"/>
  <c r="AY210" i="3"/>
  <c r="AY177" i="3"/>
  <c r="AY104" i="3"/>
  <c r="AY381" i="3"/>
  <c r="AY231" i="3"/>
  <c r="AY118" i="3"/>
  <c r="AY201" i="3"/>
  <c r="AY69" i="3"/>
  <c r="AY436" i="3"/>
  <c r="AY43" i="3"/>
  <c r="AY252" i="3"/>
  <c r="AY171" i="3"/>
  <c r="AY445" i="3"/>
  <c r="AY479" i="3"/>
  <c r="AY305" i="3"/>
  <c r="AY361" i="3"/>
  <c r="AY250" i="3"/>
  <c r="AY113" i="3"/>
  <c r="AY174" i="3"/>
  <c r="AY64" i="3"/>
  <c r="AY523" i="3"/>
  <c r="AY532" i="3"/>
  <c r="AY552" i="3"/>
  <c r="AY536" i="3"/>
  <c r="AY580" i="3"/>
  <c r="AY419" i="3"/>
  <c r="AY438" i="3"/>
  <c r="AY480" i="3"/>
  <c r="AY324" i="3"/>
  <c r="AY341" i="3"/>
  <c r="AY215" i="3"/>
  <c r="AY275" i="3"/>
  <c r="AY181" i="3"/>
  <c r="BB6" i="3"/>
  <c r="AY384" i="3"/>
  <c r="AY255" i="3"/>
  <c r="AY141" i="3"/>
  <c r="AY198" i="3"/>
  <c r="AY89" i="3"/>
  <c r="AY481" i="3"/>
  <c r="AY425" i="3"/>
  <c r="AY147" i="3"/>
  <c r="AY82" i="3"/>
  <c r="AY553" i="3"/>
  <c r="AY513" i="3"/>
  <c r="AY342" i="3"/>
  <c r="AY245" i="3"/>
  <c r="AY428" i="3"/>
  <c r="AY371" i="3"/>
  <c r="AY58" i="3"/>
  <c r="AY59" i="3"/>
  <c r="AY103" i="3"/>
  <c r="AY66" i="3"/>
  <c r="AC6" i="3"/>
  <c r="E6" i="3" s="1"/>
  <c r="K25" i="6"/>
  <c r="M25" i="6" s="1"/>
  <c r="I25" i="6" s="1"/>
  <c r="S25" i="6" s="1"/>
  <c r="K19" i="6"/>
  <c r="K24" i="6"/>
  <c r="M24" i="6" s="1"/>
  <c r="I24" i="6" s="1"/>
  <c r="S24" i="6" s="1"/>
  <c r="F27" i="69"/>
  <c r="F27" i="11"/>
  <c r="F28" i="12"/>
  <c r="C29" i="12" s="1"/>
  <c r="D28" i="12" s="1"/>
  <c r="F27" i="68"/>
  <c r="C8" i="74"/>
  <c r="U10" i="40"/>
  <c r="M14" i="1"/>
  <c r="C34" i="69"/>
  <c r="K16" i="1"/>
  <c r="S10" i="40"/>
  <c r="D10" i="68"/>
  <c r="D10" i="69"/>
  <c r="D10" i="11"/>
  <c r="C10" i="11" s="1"/>
  <c r="D20" i="12"/>
  <c r="C20" i="12" s="1"/>
  <c r="D19" i="6"/>
  <c r="C18" i="4"/>
  <c r="D23" i="6"/>
  <c r="D5" i="6"/>
  <c r="D11" i="6"/>
  <c r="D28" i="6"/>
  <c r="H23" i="6"/>
  <c r="H20" i="6"/>
  <c r="D15" i="6"/>
  <c r="D21" i="6"/>
  <c r="D20" i="6"/>
  <c r="D9" i="6"/>
  <c r="L19" i="9"/>
  <c r="H25" i="6"/>
  <c r="H21" i="6"/>
  <c r="AB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79"/>
  <c r="C17" i="79"/>
  <c r="F41" i="15"/>
  <c r="D17" i="12" l="1"/>
  <c r="C17" i="12" s="1"/>
  <c r="F69" i="79"/>
  <c r="J29" i="79"/>
  <c r="AY268" i="3"/>
  <c r="AY350" i="3"/>
  <c r="AY72" i="3"/>
  <c r="AY503" i="3"/>
  <c r="AY267" i="3"/>
  <c r="AY379" i="3"/>
  <c r="AY290" i="3"/>
  <c r="AY369" i="3"/>
  <c r="AY30" i="3"/>
  <c r="AY102" i="3"/>
  <c r="AY100" i="3"/>
  <c r="AY360" i="3"/>
  <c r="AY475" i="3"/>
  <c r="AY65" i="3"/>
  <c r="AY426" i="3"/>
  <c r="AY570" i="3"/>
  <c r="AY285" i="3"/>
  <c r="AY437" i="3"/>
  <c r="AY148" i="3"/>
  <c r="AY490" i="3"/>
  <c r="AY504" i="3"/>
  <c r="AY567" i="3"/>
  <c r="AY452" i="3"/>
  <c r="AY162" i="3"/>
  <c r="AY309" i="3"/>
  <c r="AY496" i="3"/>
  <c r="AY476" i="3"/>
  <c r="AY294" i="3"/>
  <c r="BF6" i="3"/>
  <c r="AY564" i="3"/>
  <c r="AY347" i="3"/>
  <c r="AY18" i="3"/>
  <c r="AY283" i="3"/>
  <c r="AY295" i="3"/>
  <c r="AY534" i="3"/>
  <c r="AY380" i="3"/>
  <c r="AY14" i="3"/>
  <c r="AY46" i="3"/>
  <c r="AY362" i="3"/>
  <c r="AY91" i="3"/>
  <c r="AY224" i="3"/>
  <c r="AY351" i="3"/>
  <c r="AY432" i="3"/>
  <c r="L105" i="43"/>
  <c r="L104" i="43"/>
  <c r="L109" i="43"/>
  <c r="L102" i="43"/>
  <c r="C107" i="43"/>
  <c r="C106" i="43"/>
  <c r="C104" i="43"/>
  <c r="C102" i="43"/>
  <c r="C103" i="43"/>
  <c r="C105" i="43"/>
  <c r="C109" i="43"/>
  <c r="AC11" i="39"/>
  <c r="W11" i="39"/>
  <c r="K103" i="43"/>
  <c r="K105" i="43"/>
  <c r="K106" i="43"/>
  <c r="K104" i="43"/>
  <c r="K102" i="43"/>
  <c r="K109" i="43"/>
  <c r="K107" i="43"/>
  <c r="U11" i="39"/>
  <c r="AB11" i="39"/>
  <c r="G107" i="43"/>
  <c r="G106" i="43"/>
  <c r="G103" i="43"/>
  <c r="G105" i="43"/>
  <c r="G104" i="43"/>
  <c r="G102" i="43"/>
  <c r="G109" i="43"/>
  <c r="M109" i="43"/>
  <c r="M106" i="43"/>
  <c r="M104" i="43"/>
  <c r="M105" i="43"/>
  <c r="M102" i="43"/>
  <c r="M103" i="43"/>
  <c r="M107" i="43"/>
  <c r="D103" i="43"/>
  <c r="D106" i="43"/>
  <c r="D102" i="43"/>
  <c r="D107" i="43"/>
  <c r="D104" i="43"/>
  <c r="D105" i="43"/>
  <c r="D109" i="43"/>
  <c r="J104" i="43"/>
  <c r="J102" i="43"/>
  <c r="J106" i="43"/>
  <c r="J103" i="43"/>
  <c r="J107" i="43"/>
  <c r="J109" i="43"/>
  <c r="J105" i="43"/>
  <c r="E102" i="43"/>
  <c r="E103" i="43"/>
  <c r="E107" i="43"/>
  <c r="E109" i="43"/>
  <c r="E106" i="43"/>
  <c r="E104" i="43"/>
  <c r="E105" i="43"/>
  <c r="I106" i="43"/>
  <c r="I105" i="43"/>
  <c r="I102" i="43"/>
  <c r="I107" i="43"/>
  <c r="I104" i="43"/>
  <c r="I109" i="43"/>
  <c r="I103" i="43"/>
  <c r="F109" i="43"/>
  <c r="F105" i="43"/>
  <c r="F107" i="43"/>
  <c r="F106" i="43"/>
  <c r="F102" i="43"/>
  <c r="F104" i="43"/>
  <c r="F103" i="43"/>
  <c r="N105" i="43"/>
  <c r="N109" i="43"/>
  <c r="N103" i="43"/>
  <c r="N102" i="43"/>
  <c r="N104" i="43"/>
  <c r="N107" i="43"/>
  <c r="N106" i="43"/>
  <c r="H103" i="43"/>
  <c r="H109" i="43"/>
  <c r="H106" i="43"/>
  <c r="H102" i="43"/>
  <c r="H104" i="43"/>
  <c r="H107" i="43"/>
  <c r="H105" i="43"/>
  <c r="I117" i="43"/>
  <c r="J117" i="43" s="1"/>
  <c r="K117" i="43" s="1"/>
  <c r="L117" i="43" s="1"/>
  <c r="M117" i="43" s="1"/>
  <c r="D117" i="43"/>
  <c r="E117" i="43" s="1"/>
  <c r="F117" i="43" s="1"/>
  <c r="G117" i="43" s="1"/>
  <c r="H117" i="43" s="1"/>
  <c r="D116" i="43"/>
  <c r="E116" i="43" s="1"/>
  <c r="F116" i="43" s="1"/>
  <c r="G116" i="43" s="1"/>
  <c r="H116" i="43" s="1"/>
  <c r="B116" i="43"/>
  <c r="C116" i="43" s="1"/>
  <c r="D118" i="43"/>
  <c r="E118" i="43" s="1"/>
  <c r="F118" i="43" s="1"/>
  <c r="B115" i="43"/>
  <c r="C115" i="43" s="1"/>
  <c r="B117" i="43"/>
  <c r="C117" i="43" s="1"/>
  <c r="I118" i="43"/>
  <c r="J118" i="43" s="1"/>
  <c r="K118" i="43" s="1"/>
  <c r="L118" i="43" s="1"/>
  <c r="M118" i="43" s="1"/>
  <c r="I116" i="43"/>
  <c r="J116" i="43" s="1"/>
  <c r="K116" i="43" s="1"/>
  <c r="L116" i="43" s="1"/>
  <c r="M116" i="43" s="1"/>
  <c r="I115" i="43"/>
  <c r="J115" i="43" s="1"/>
  <c r="K115" i="43" s="1"/>
  <c r="L115" i="43" s="1"/>
  <c r="M115" i="43" s="1"/>
  <c r="G118" i="43"/>
  <c r="H118" i="43" s="1"/>
  <c r="D115" i="43"/>
  <c r="E115" i="43" s="1"/>
  <c r="F115" i="43" s="1"/>
  <c r="G115" i="43" s="1"/>
  <c r="H115" i="43" s="1"/>
  <c r="B118" i="43"/>
  <c r="C118" i="43" s="1"/>
  <c r="D22" i="43"/>
  <c r="J26" i="15"/>
  <c r="J29" i="15" s="1"/>
  <c r="F69" i="15"/>
  <c r="R20" i="6"/>
  <c r="R7" i="1" s="1"/>
  <c r="E7" i="70"/>
  <c r="H24" i="6"/>
  <c r="H22" i="6"/>
  <c r="D29" i="6"/>
  <c r="D30" i="6" s="1"/>
  <c r="D10" i="6"/>
  <c r="D6" i="6"/>
  <c r="D24" i="6"/>
  <c r="D22" i="6"/>
  <c r="D25" i="6"/>
  <c r="H26" i="6"/>
  <c r="E61" i="40"/>
  <c r="D13" i="6"/>
  <c r="D12" i="6"/>
  <c r="D14" i="6"/>
  <c r="D8" i="6"/>
  <c r="D26" i="6"/>
  <c r="C28" i="11"/>
  <c r="C27" i="11" s="1"/>
  <c r="C38" i="79"/>
  <c r="C66" i="79"/>
  <c r="C60" i="79"/>
  <c r="AR7" i="1"/>
  <c r="AQ7" i="1"/>
  <c r="T7" i="1"/>
  <c r="C30" i="43"/>
  <c r="E30" i="43" s="1"/>
  <c r="C27" i="43" s="1"/>
  <c r="E29" i="43"/>
  <c r="S6" i="1"/>
  <c r="M19" i="6"/>
  <c r="K27" i="6"/>
  <c r="F45" i="69"/>
  <c r="C29" i="69"/>
  <c r="D27" i="69" s="1"/>
  <c r="C47" i="69"/>
  <c r="D45" i="69" s="1"/>
  <c r="F45" i="68"/>
  <c r="C29" i="68"/>
  <c r="D27" i="68" s="1"/>
  <c r="C47" i="68"/>
  <c r="D45" i="68" s="1"/>
  <c r="C29" i="11"/>
  <c r="D27" i="11" s="1"/>
  <c r="C47" i="11"/>
  <c r="D45" i="11" s="1"/>
  <c r="R25" i="6"/>
  <c r="C35" i="69"/>
  <c r="C38" i="69"/>
  <c r="M16" i="1"/>
  <c r="N16" i="1" s="1"/>
  <c r="O14" i="1"/>
  <c r="R23" i="6"/>
  <c r="A7" i="51"/>
  <c r="B7" i="72" s="1"/>
  <c r="C4" i="52"/>
  <c r="B45" i="72" s="1"/>
  <c r="A10" i="51"/>
  <c r="B9" i="72" s="1"/>
  <c r="D27" i="6"/>
  <c r="C10" i="69"/>
  <c r="C8" i="69" s="1"/>
  <c r="C5" i="69" s="1"/>
  <c r="C23" i="69" s="1"/>
  <c r="D19" i="69"/>
  <c r="R21" i="6"/>
  <c r="R26" i="6"/>
  <c r="D7" i="74"/>
  <c r="D8" i="74"/>
  <c r="C10" i="68"/>
  <c r="B29" i="1" s="1"/>
  <c r="C8" i="68" s="1"/>
  <c r="D19" i="68"/>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9"/>
  <c r="B6" i="76"/>
  <c r="C17" i="15"/>
  <c r="E6" i="76"/>
  <c r="R22" i="6" l="1"/>
  <c r="R24" i="6"/>
  <c r="D113" i="43"/>
  <c r="D16" i="6"/>
  <c r="C18" i="79"/>
  <c r="C15" i="79"/>
  <c r="E6" i="70"/>
  <c r="E2" i="70" s="1"/>
  <c r="C18" i="12"/>
  <c r="E2" i="76"/>
  <c r="I19" i="6"/>
  <c r="M27" i="6"/>
  <c r="AR6" i="1"/>
  <c r="S16" i="1"/>
  <c r="AQ6" i="1"/>
  <c r="T6" i="1"/>
  <c r="D31" i="6"/>
  <c r="I5" i="6" s="1"/>
  <c r="F50" i="69"/>
  <c r="F50" i="11"/>
  <c r="F50" i="68"/>
  <c r="P14" i="1"/>
  <c r="P16" i="1" s="1"/>
  <c r="C11" i="12" s="1"/>
  <c r="O16" i="1"/>
  <c r="L16" i="1"/>
  <c r="C34" i="11"/>
  <c r="C34" i="68"/>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Q49" i="67"/>
  <c r="J59" i="67"/>
  <c r="J60" i="67" s="1"/>
  <c r="C14" i="15"/>
  <c r="I6" i="6" l="1"/>
  <c r="C19" i="79"/>
  <c r="C20" i="79" s="1"/>
  <c r="C15" i="15"/>
  <c r="C18" i="15"/>
  <c r="T16" i="1"/>
  <c r="B3" i="76"/>
  <c r="C20" i="69"/>
  <c r="C25" i="69" s="1"/>
  <c r="C22" i="69" s="1"/>
  <c r="H19" i="6"/>
  <c r="S19" i="6"/>
  <c r="S27" i="6" s="1"/>
  <c r="I27" i="6"/>
  <c r="C38" i="68"/>
  <c r="C35" i="68"/>
  <c r="C15" i="12"/>
  <c r="C12" i="12"/>
  <c r="C38" i="11"/>
  <c r="C35" i="11"/>
  <c r="C24" i="68"/>
  <c r="C39" i="69"/>
  <c r="C43" i="69" s="1"/>
  <c r="C42" i="69"/>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L51" i="67"/>
  <c r="F7" i="21" l="1"/>
  <c r="S7" i="21" s="1"/>
  <c r="C26" i="79"/>
  <c r="C23" i="79"/>
  <c r="C19" i="15"/>
  <c r="C20" i="15" s="1"/>
  <c r="C26" i="15" s="1"/>
  <c r="C41" i="69"/>
  <c r="C28" i="69"/>
  <c r="C27" i="69" s="1"/>
  <c r="C31" i="69" s="1"/>
  <c r="H27" i="6"/>
  <c r="R19" i="6"/>
  <c r="C33" i="11"/>
  <c r="C39" i="11" s="1"/>
  <c r="C16" i="12"/>
  <c r="C21" i="12" s="1"/>
  <c r="C22" i="12" s="1"/>
  <c r="C30" i="12" s="1"/>
  <c r="C28" i="12" s="1"/>
  <c r="C33" i="68"/>
  <c r="C39" i="68" s="1"/>
  <c r="C46" i="69"/>
  <c r="C45" i="69" s="1"/>
  <c r="J7" i="21"/>
  <c r="AC7" i="21" s="1"/>
  <c r="V48" i="21" s="1"/>
  <c r="I48" i="21" s="1"/>
  <c r="L70" i="39"/>
  <c r="M68" i="39"/>
  <c r="U7" i="21"/>
  <c r="AB7" i="21"/>
  <c r="T48" i="21" s="1"/>
  <c r="G48" i="21" s="1"/>
  <c r="AA7" i="21"/>
  <c r="R48" i="21" s="1"/>
  <c r="J63" i="40"/>
  <c r="I65" i="40"/>
  <c r="K48" i="35"/>
  <c r="L48" i="35" s="1"/>
  <c r="M48" i="35" s="1"/>
  <c r="N48" i="35" s="1"/>
  <c r="O48" i="35" s="1"/>
  <c r="H7" i="35" s="1"/>
  <c r="J7" i="35"/>
  <c r="W7" i="21"/>
  <c r="J16" i="67"/>
  <c r="J25" i="67" s="1"/>
  <c r="C80" i="67"/>
  <c r="C79" i="67" s="1"/>
  <c r="C58" i="67"/>
  <c r="C67" i="67" s="1"/>
  <c r="C68" i="67" s="1"/>
  <c r="Q69" i="67"/>
  <c r="Q68" i="67" s="1"/>
  <c r="C40" i="67"/>
  <c r="C29" i="79" l="1"/>
  <c r="C23" i="15"/>
  <c r="C29" i="15" s="1"/>
  <c r="C49" i="69"/>
  <c r="C51" i="69" s="1"/>
  <c r="C52" i="69" s="1"/>
  <c r="B2" i="69" s="1"/>
  <c r="B3" i="69" s="1"/>
  <c r="R6" i="1"/>
  <c r="R27" i="6"/>
  <c r="C42" i="68"/>
  <c r="C27" i="12"/>
  <c r="C25" i="12" s="1"/>
  <c r="C32" i="12" s="1"/>
  <c r="B2" i="12" s="1"/>
  <c r="B3" i="12" s="1"/>
  <c r="C42" i="11"/>
  <c r="C46" i="68"/>
  <c r="C45" i="68" s="1"/>
  <c r="C43" i="68"/>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79"/>
  <c r="M21" i="79"/>
  <c r="M21" i="15"/>
  <c r="F35" i="15"/>
  <c r="C57" i="79" l="1"/>
  <c r="C13" i="79"/>
  <c r="J14" i="79"/>
  <c r="J19" i="79"/>
  <c r="C36" i="79"/>
  <c r="Q49" i="79"/>
  <c r="J20" i="79"/>
  <c r="F63" i="79"/>
  <c r="C62" i="79" s="1"/>
  <c r="C34" i="79"/>
  <c r="C31" i="79" s="1"/>
  <c r="C57" i="15"/>
  <c r="Q49" i="15"/>
  <c r="J14" i="15"/>
  <c r="C36" i="15"/>
  <c r="C13" i="15"/>
  <c r="J19" i="15"/>
  <c r="J20" i="15"/>
  <c r="C34" i="15"/>
  <c r="C31" i="15" s="1"/>
  <c r="F63" i="15"/>
  <c r="C62" i="15" s="1"/>
  <c r="R16" i="1"/>
  <c r="C41" i="11"/>
  <c r="C49" i="11" s="1"/>
  <c r="C51" i="11" s="1"/>
  <c r="C52" i="11" s="1"/>
  <c r="B2" i="11" s="1"/>
  <c r="B3" i="11" s="1"/>
  <c r="C41" i="68"/>
  <c r="C49" i="68" s="1"/>
  <c r="C51"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6" i="79" l="1"/>
  <c r="C65" i="79" s="1"/>
  <c r="C37" i="79"/>
  <c r="C30" i="79" s="1"/>
  <c r="C39" i="79" s="1"/>
  <c r="Q70" i="79"/>
  <c r="C75" i="79"/>
  <c r="J17" i="79"/>
  <c r="J13" i="79"/>
  <c r="J23" i="79" s="1"/>
  <c r="J22" i="79"/>
  <c r="C64" i="79"/>
  <c r="C61" i="79"/>
  <c r="C59" i="79" s="1"/>
  <c r="J17" i="15"/>
  <c r="C56" i="15"/>
  <c r="C65" i="15" s="1"/>
  <c r="C37" i="15"/>
  <c r="C30" i="15" s="1"/>
  <c r="C39" i="15" s="1"/>
  <c r="Q70" i="15"/>
  <c r="C75" i="15"/>
  <c r="J22" i="15"/>
  <c r="J13" i="15"/>
  <c r="J23" i="15" s="1"/>
  <c r="C64" i="15"/>
  <c r="C61" i="15"/>
  <c r="C59" i="15" s="1"/>
  <c r="L57" i="15"/>
  <c r="L60" i="15" s="1"/>
  <c r="C56" i="11"/>
  <c r="C57" i="11" s="1"/>
  <c r="H7" i="39"/>
  <c r="J7" i="39"/>
  <c r="AA7" i="39"/>
  <c r="R47" i="39" s="1"/>
  <c r="S7" i="39"/>
  <c r="R39" i="35"/>
  <c r="E38" i="35"/>
  <c r="M63" i="40"/>
  <c r="L65" i="40"/>
  <c r="L51" i="15"/>
  <c r="L51" i="79"/>
  <c r="C40" i="79" l="1"/>
  <c r="Q47" i="79" s="1"/>
  <c r="Q53" i="79" s="1"/>
  <c r="Q69" i="79"/>
  <c r="Q68" i="79" s="1"/>
  <c r="C80" i="79"/>
  <c r="C79" i="79" s="1"/>
  <c r="C58" i="79"/>
  <c r="C67" i="79" s="1"/>
  <c r="C68" i="79" s="1"/>
  <c r="C71" i="79" s="1"/>
  <c r="J16" i="79"/>
  <c r="J25" i="79" s="1"/>
  <c r="Q67" i="79"/>
  <c r="C80" i="15"/>
  <c r="C79" i="15" s="1"/>
  <c r="C58" i="15"/>
  <c r="C67" i="15" s="1"/>
  <c r="C68" i="15" s="1"/>
  <c r="C71" i="15" s="1"/>
  <c r="J16" i="15"/>
  <c r="J25" i="15" s="1"/>
  <c r="Q67" i="15"/>
  <c r="Q69" i="15"/>
  <c r="Q68" i="15" s="1"/>
  <c r="C40" i="15"/>
  <c r="C43" i="15" s="1"/>
  <c r="L46" i="15"/>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B2" i="79" l="1"/>
  <c r="B3" i="79" s="1"/>
  <c r="C43" i="79"/>
  <c r="Q65" i="79"/>
  <c r="Q75" i="79" s="1"/>
  <c r="C83" i="79"/>
  <c r="C82" i="79" s="1"/>
  <c r="Q56" i="79"/>
  <c r="Q62" i="79" s="1"/>
  <c r="C46" i="79"/>
  <c r="C46" i="15"/>
  <c r="B2" i="15"/>
  <c r="B3" i="15" s="1"/>
  <c r="Q47" i="15"/>
  <c r="Q53" i="15" s="1"/>
  <c r="C83" i="15"/>
  <c r="C82" i="15" s="1"/>
  <c r="Q56" i="15"/>
  <c r="Q62" i="15" s="1"/>
  <c r="Q65" i="15"/>
  <c r="Q75" i="15" s="1"/>
  <c r="R48" i="39"/>
  <c r="C48" i="39" s="1"/>
  <c r="E52" i="39"/>
  <c r="F52" i="39" s="1"/>
  <c r="E51" i="39"/>
  <c r="F51" i="39" s="1"/>
  <c r="G51" i="39"/>
  <c r="H51" i="39" s="1"/>
  <c r="G52" i="39"/>
  <c r="H52" i="39" s="1"/>
  <c r="I51" i="39"/>
  <c r="J51" i="39" s="1"/>
  <c r="I52" i="39"/>
  <c r="J52" i="39" s="1"/>
  <c r="O63" i="40"/>
  <c r="O65" i="40" s="1"/>
  <c r="N65" i="40"/>
  <c r="AO7" i="1"/>
  <c r="AO6" i="1"/>
  <c r="B7" i="70" l="1"/>
  <c r="B6" i="70"/>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B2" i="70" l="1"/>
  <c r="F66" i="39"/>
  <c r="B2" i="39" s="1"/>
  <c r="U7" i="40"/>
  <c r="AB7" i="40"/>
  <c r="T42" i="40" s="1"/>
  <c r="G42" i="40" s="1"/>
  <c r="AA7" i="40"/>
  <c r="R42" i="40" s="1"/>
  <c r="S7" i="40"/>
  <c r="AC7" i="40"/>
  <c r="V42" i="40" s="1"/>
  <c r="I42" i="40" s="1"/>
  <c r="W7" i="40"/>
  <c r="D19" i="9"/>
  <c r="D102" i="9" l="1"/>
  <c r="D21" i="9"/>
  <c r="B3" i="70"/>
  <c r="B3" i="39"/>
  <c r="C6" i="68"/>
  <c r="C7" i="68" s="1"/>
  <c r="C5" i="68" s="1"/>
  <c r="I46" i="40"/>
  <c r="J46" i="40" s="1"/>
  <c r="R43" i="40"/>
  <c r="E42" i="40"/>
  <c r="G47" i="40"/>
  <c r="H47" i="40" s="1"/>
  <c r="G46" i="40"/>
  <c r="H46" i="40" s="1"/>
  <c r="D20" i="9"/>
  <c r="D103" i="9" l="1"/>
  <c r="C23" i="68"/>
  <c r="C20" i="68"/>
  <c r="C25" i="68" s="1"/>
  <c r="C42" i="40"/>
  <c r="C43" i="40"/>
  <c r="E47" i="40"/>
  <c r="F47" i="40" s="1"/>
  <c r="E46" i="40"/>
  <c r="F46" i="40" s="1"/>
  <c r="I47" i="40"/>
  <c r="J47" i="40" s="1"/>
  <c r="C28" i="68" l="1"/>
  <c r="C27" i="68" s="1"/>
  <c r="C22"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C19" i="9"/>
  <c r="C57" i="68" l="1"/>
  <c r="C56" i="68" s="1"/>
  <c r="G19" i="9"/>
  <c r="C21" i="9"/>
  <c r="D22" i="9"/>
  <c r="C102" i="9"/>
  <c r="B3" i="68"/>
  <c r="C20" i="9"/>
  <c r="D34" i="9"/>
  <c r="D35" i="9"/>
  <c r="I20" i="9" l="1"/>
  <c r="G6" i="70"/>
  <c r="C32" i="9"/>
  <c r="H118" i="9" s="1"/>
  <c r="G21" i="9"/>
  <c r="G20" i="9"/>
  <c r="C103" i="9"/>
  <c r="G7" i="70" l="1"/>
  <c r="J1" i="70"/>
  <c r="K1" i="70" s="1"/>
  <c r="L1" i="70" s="1"/>
  <c r="C35" i="9"/>
  <c r="C34" i="9" s="1"/>
  <c r="D118" i="9" s="1"/>
  <c r="D119" i="9" s="1"/>
  <c r="D5" i="52" s="1"/>
  <c r="B49" i="72" s="1"/>
  <c r="H4" i="52"/>
  <c r="I118" i="9"/>
  <c r="C104" i="9"/>
  <c r="H101" i="9"/>
  <c r="H119" i="9"/>
  <c r="H5" i="52" s="1"/>
  <c r="D14" i="74"/>
  <c r="J4" i="70" l="1"/>
  <c r="K4" i="70" s="1"/>
  <c r="L4" i="70" s="1"/>
  <c r="J2" i="70"/>
  <c r="K2" i="70" s="1"/>
  <c r="L2" i="70" s="1"/>
  <c r="J3" i="70"/>
  <c r="K3" i="70" s="1"/>
  <c r="L3" i="70" s="1"/>
  <c r="D4" i="52"/>
  <c r="B47" i="72" s="1"/>
  <c r="F118" i="9"/>
  <c r="F4" i="52" s="1"/>
  <c r="B51" i="72" s="1"/>
  <c r="E14" i="74"/>
  <c r="F14" i="74"/>
  <c r="B5" i="74"/>
  <c r="M48" i="9"/>
  <c r="D5" i="53"/>
  <c r="D45" i="9"/>
  <c r="H107" i="9"/>
  <c r="C105" i="9"/>
  <c r="H102" i="9"/>
  <c r="D7" i="53" s="1"/>
  <c r="B21" i="72" s="1"/>
  <c r="I4" i="52"/>
  <c r="K5" i="70" l="1"/>
  <c r="F119" i="9"/>
  <c r="F5" i="52" s="1"/>
  <c r="B53" i="72" s="1"/>
  <c r="G118" i="9"/>
  <c r="E118" i="9" s="1"/>
  <c r="E4" i="52" s="1"/>
  <c r="B48" i="72" s="1"/>
  <c r="D13" i="53"/>
  <c r="H108" i="9"/>
  <c r="D15" i="53" s="1"/>
  <c r="B31" i="72" s="1"/>
  <c r="D122" i="9"/>
  <c r="M49" i="9"/>
  <c r="B20" i="72"/>
  <c r="D6" i="53"/>
  <c r="B22" i="72" s="1"/>
  <c r="C5" i="74"/>
  <c r="D5" i="74"/>
  <c r="D55" i="9"/>
  <c r="M53" i="9" s="1"/>
  <c r="D53" i="9"/>
  <c r="C78" i="9"/>
  <c r="C73" i="9" s="1"/>
  <c r="C93" i="9"/>
  <c r="C86" i="9" s="1"/>
  <c r="C64" i="9"/>
  <c r="C63" i="9" s="1"/>
  <c r="C67" i="9" s="1"/>
  <c r="C85" i="9"/>
  <c r="D52" i="9"/>
  <c r="C72" i="9"/>
  <c r="J5" i="70" l="1"/>
  <c r="L5" i="70"/>
  <c r="G4" i="52"/>
  <c r="B52" i="72" s="1"/>
  <c r="C95" i="9"/>
  <c r="C96" i="9" s="1"/>
  <c r="E96" i="9" s="1"/>
  <c r="E97" i="9" s="1"/>
  <c r="C79" i="9"/>
  <c r="L64" i="9"/>
  <c r="M64" i="9" s="1"/>
  <c r="L67" i="9"/>
  <c r="M67" i="9" s="1"/>
  <c r="L68" i="9"/>
  <c r="M68" i="9" s="1"/>
  <c r="L65" i="9"/>
  <c r="M65" i="9" s="1"/>
  <c r="L63" i="9"/>
  <c r="M63" i="9" s="1"/>
  <c r="L66" i="9"/>
  <c r="M66" i="9" s="1"/>
  <c r="C68" i="9"/>
  <c r="D54" i="9" s="1"/>
  <c r="D59" i="9"/>
  <c r="M55" i="9" s="1"/>
  <c r="G14" i="74"/>
  <c r="D123" i="9"/>
  <c r="D9" i="52" s="1"/>
  <c r="D8" i="52"/>
  <c r="B30" i="72"/>
  <c r="D14" i="53"/>
  <c r="B32" i="72" s="1"/>
  <c r="B6" i="74" l="1"/>
  <c r="D6" i="74" s="1"/>
  <c r="M69" i="9"/>
  <c r="N69" i="9" s="1"/>
  <c r="C97" i="9"/>
  <c r="D58" i="9" s="1"/>
  <c r="D56" i="9" s="1"/>
  <c r="M54" i="9" s="1"/>
  <c r="N57" i="9" s="1"/>
  <c r="P57" i="9" s="1"/>
  <c r="C80" i="9"/>
  <c r="E80" i="9" s="1"/>
  <c r="E81" i="9" s="1"/>
  <c r="C6" i="74"/>
  <c r="N59" i="9" l="1"/>
  <c r="C81"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<sst xmlns="http://schemas.openxmlformats.org/spreadsheetml/2006/main" count="8280" uniqueCount="3313">
  <si>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</si>
  <si>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</si>
  <si>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</si>
  <si>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</si>
  <si>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</si>
  <si>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</si>
  <si>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</si>
  <si>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</si>
  <si>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</si>
  <si>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</si>
  <si>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</si>
  <si>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</si>
  <si>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</si>
  <si>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</si>
  <si>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</si>
  <si>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</si>
  <si>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</si>
  <si>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</si>
  <si>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</si>
  <si>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</si>
  <si>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</si>
  <si>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</si>
  <si>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</si>
  <si>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</si>
  <si>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</si>
  <si>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</si>
  <si>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</si>
  <si>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</si>
  <si>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</si>
  <si>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</si>
  <si>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</si>
  <si>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</si>
  <si>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</si>
  <si>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</si>
  <si>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</si>
  <si>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</si>
  <si>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</si>
  <si>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</si>
  <si>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</si>
  <si>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</si>
  <si>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</si>
  <si>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</si>
  <si>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</si>
  <si>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</si>
  <si>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</si>
  <si>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</si>
  <si>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</si>
  <si>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</si>
  <si>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</si>
  <si>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</si>
  <si>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</si>
  <si>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</si>
  <si>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</si>
  <si>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</si>
  <si>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</si>
  <si>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</si>
  <si>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</si>
  <si>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</si>
  <si>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</si>
  <si>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</si>
  <si>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</si>
  <si>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</si>
  <si>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</si>
  <si>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</si>
  <si>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</si>
  <si>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</si>
  <si>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</si>
  <si>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</si>
  <si>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</si>
  <si>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</si>
  <si>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</si>
  <si>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</si>
  <si>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</si>
  <si>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</si>
  <si>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</si>
  <si>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</si>
  <si>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</si>
  <si>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</si>
  <si>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</si>
  <si>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</si>
  <si>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</si>
  <si>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</si>
  <si>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</si>
  <si>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</si>
  <si>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</si>
  <si>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</si>
  <si>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</si>
  <si>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</si>
  <si>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</si>
  <si>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</si>
  <si>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</si>
  <si>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</si>
  <si>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</si>
  <si>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</si>
  <si>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</si>
  <si>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</si>
  <si>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</si>
  <si>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</si>
  <si>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</si>
  <si>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</si>
  <si>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</si>
  <si>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</si>
  <si>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</si>
  <si>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</si>
  <si>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</si>
  <si>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</si>
  <si>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</si>
  <si>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</si>
  <si>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</si>
  <si>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</si>
  <si>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</si>
  <si>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</si>
  <si>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</si>
  <si>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</si>
  <si>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</si>
  <si>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</si>
  <si>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</si>
  <si>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</si>
  <si>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</si>
  <si>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</si>
  <si>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</si>
  <si>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</si>
  <si>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</si>
  <si>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</si>
  <si>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</si>
  <si>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</si>
  <si>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</si>
  <si>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</si>
  <si>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</si>
  <si>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</si>
  <si>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</si>
  <si>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</si>
  <si>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</si>
  <si>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</si>
  <si>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</si>
  <si>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</si>
  <si>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</si>
  <si>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</si>
  <si>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</si>
  <si>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</si>
  <si>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</si>
  <si>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</si>
  <si>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</si>
  <si>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</si>
  <si>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</si>
  <si>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</si>
  <si>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</si>
  <si>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</si>
  <si>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</si>
  <si>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</si>
  <si>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</si>
  <si>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</si>
  <si>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</si>
  <si>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</si>
  <si>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</si>
  <si>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</si>
  <si>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</si>
  <si>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</si>
  <si>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</si>
  <si>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</si>
  <si>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</si>
  <si>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</si>
  <si>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</si>
  <si>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</si>
  <si>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</si>
  <si>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</si>
  <si>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</si>
  <si>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</si>
  <si>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</si>
  <si>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</si>
  <si>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</si>
  <si>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</si>
  <si>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</si>
  <si>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</si>
  <si>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</si>
  <si>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</si>
  <si>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</si>
  <si>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</si>
  <si>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</si>
  <si>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</si>
  <si>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</si>
  <si>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</si>
  <si>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</si>
  <si>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</si>
  <si>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</si>
  <si>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</si>
  <si>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</si>
  <si>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</si>
  <si>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</si>
  <si>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</si>
  <si>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</si>
  <si>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</si>
  <si>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</si>
  <si>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</si>
  <si>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</si>
  <si>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</si>
  <si>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</si>
  <si>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</si>
  <si>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</si>
  <si>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</si>
  <si>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</si>
  <si>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</si>
  <si>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</si>
  <si>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</si>
  <si>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</si>
  <si>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</si>
  <si>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</si>
  <si>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</si>
  <si>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</si>
  <si>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</si>
  <si>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</si>
  <si>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</si>
  <si>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</si>
  <si>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</si>
  <si>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</si>
  <si>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</si>
  <si>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</si>
  <si>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</si>
  <si>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</si>
  <si>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</si>
  <si>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</si>
  <si>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</si>
  <si>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</si>
  <si>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</si>
  <si>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</si>
  <si>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</si>
  <si>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</si>
  <si>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</si>
  <si>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</si>
  <si>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</si>
  <si>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</si>
  <si>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</si>
  <si>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</si>
  <si>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</si>
  <si>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</si>
  <si>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</si>
  <si>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</si>
  <si>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</si>
  <si>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</si>
  <si>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</si>
  <si>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</si>
  <si>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</si>
  <si>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</si>
  <si>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</si>
  <si>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</si>
  <si>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</si>
  <si>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</si>
  <si>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</si>
  <si>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</si>
  <si>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</si>
  <si>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</si>
  <si>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</si>
  <si>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</si>
  <si>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</si>
  <si>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</si>
  <si>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</si>
  <si>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</si>
  <si>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</si>
  <si>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</si>
  <si>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</si>
  <si>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</si>
  <si>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</si>
  <si>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</si>
  <si>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</si>
  <si>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</si>
  <si>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</si>
  <si>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</si>
  <si>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</si>
  <si>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</si>
  <si>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</si>
  <si>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</si>
  <si>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</si>
  <si>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</si>
  <si>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</si>
  <si>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</si>
  <si>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</si>
  <si>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</si>
  <si>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</si>
  <si>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</si>
  <si>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</si>
  <si>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</si>
  <si>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</si>
  <si>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</si>
  <si>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</si>
  <si>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</si>
  <si>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</si>
  <si>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</si>
  <si>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</si>
  <si>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</si>
  <si>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</si>
  <si>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</si>
  <si>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</si>
  <si>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</si>
  <si>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</si>
  <si>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</si>
  <si>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</si>
  <si>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</si>
  <si>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</si>
  <si>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</si>
  <si>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</si>
  <si>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</si>
  <si>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</si>
  <si>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</si>
  <si>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</si>
  <si>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</si>
  <si>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</si>
  <si>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</si>
  <si>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</si>
  <si>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</si>
  <si>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</si>
  <si>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</si>
  <si>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</si>
  <si>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</si>
  <si>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</si>
  <si>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</si>
  <si>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</si>
  <si>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</si>
  <si>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</si>
  <si>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</si>
  <si>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</si>
  <si>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</si>
  <si>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</si>
  <si>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</si>
  <si>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</si>
  <si>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</si>
  <si>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</si>
  <si>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</si>
  <si>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</si>
  <si>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</si>
  <si>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</si>
  <si>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</si>
  <si>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</si>
  <si>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</si>
  <si>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</si>
  <si>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</si>
  <si>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</si>
  <si>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</si>
  <si>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</si>
  <si>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</si>
  <si>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</si>
  <si>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</si>
  <si>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</si>
  <si>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</si>
  <si>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</si>
  <si>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</si>
  <si>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</si>
  <si>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</si>
  <si>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</si>
  <si>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</si>
  <si>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</si>
  <si>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</si>
  <si>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</si>
  <si>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</si>
  <si>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</si>
  <si>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</si>
  <si>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</si>
  <si>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</si>
  <si>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</si>
  <si>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</si>
  <si>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</si>
  <si>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</si>
  <si>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</si>
  <si>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</si>
  <si>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</si>
  <si>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</si>
  <si>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</si>
  <si>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</si>
  <si>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</si>
  <si>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</si>
  <si>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</si>
  <si>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</si>
  <si>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</si>
  <si>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</si>
  <si>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</si>
  <si>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</si>
  <si>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</si>
  <si>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</si>
  <si>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</si>
  <si>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</si>
  <si>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</si>
  <si>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</si>
  <si>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</si>
  <si>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</si>
  <si>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</si>
  <si>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</si>
  <si>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</si>
  <si>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</si>
  <si>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</si>
  <si>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</si>
  <si>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</si>
  <si>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</si>
  <si>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</si>
  <si>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</si>
  <si>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</si>
  <si>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</si>
  <si>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</si>
  <si>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</si>
  <si>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</si>
  <si>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</si>
  <si>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</si>
  <si>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</si>
  <si>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</si>
  <si>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</si>
  <si>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</si>
  <si>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</si>
  <si>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</si>
  <si>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</si>
  <si>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</si>
  <si>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</si>
  <si>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</si>
  <si>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</si>
  <si>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</si>
  <si>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</si>
  <si>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</si>
  <si>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</si>
  <si>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</si>
  <si>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</si>
  <si>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</si>
  <si>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</si>
  <si>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</si>
  <si>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</si>
  <si>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</si>
  <si>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</si>
  <si>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</si>
  <si>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</si>
  <si>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</si>
  <si>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</si>
  <si>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</si>
  <si>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</si>
  <si>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</si>
  <si>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</si>
  <si>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</si>
  <si>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</si>
  <si>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</si>
  <si>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</si>
  <si>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</si>
  <si>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</si>
  <si>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</si>
  <si>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</si>
  <si>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</si>
  <si>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</si>
  <si>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</si>
  <si>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</si>
  <si>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</si>
  <si>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</si>
  <si>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</si>
  <si>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</si>
  <si>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</si>
  <si>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</si>
  <si>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</si>
  <si>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</si>
  <si>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</si>
  <si>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</si>
  <si>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</si>
  <si>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</si>
  <si>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</si>
  <si>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</si>
  <si>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</si>
  <si>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</si>
  <si>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</si>
  <si>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</si>
  <si>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</si>
  <si>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</si>
  <si>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</si>
  <si>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</si>
  <si>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</si>
  <si>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</si>
  <si>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</si>
  <si>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</si>
  <si>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</si>
  <si>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</si>
  <si>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</si>
  <si>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</si>
  <si>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</si>
  <si>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</si>
  <si>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</si>
  <si>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</si>
  <si>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</si>
  <si>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</si>
  <si>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</si>
  <si>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</si>
  <si>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</si>
  <si>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</si>
  <si>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</si>
  <si>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</si>
  <si>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</si>
  <si>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</si>
  <si>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</si>
  <si>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</si>
  <si>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</si>
  <si>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</si>
  <si>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</si>
  <si>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</si>
  <si>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</si>
  <si>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</si>
  <si>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</si>
  <si>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</si>
  <si>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</si>
  <si>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</si>
  <si>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</si>
  <si>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</si>
  <si>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</si>
  <si>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</si>
  <si>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</si>
  <si>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</si>
  <si>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</si>
  <si>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</si>
  <si>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</si>
  <si>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</si>
  <si>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</si>
  <si>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</si>
  <si>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</si>
  <si>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</si>
  <si>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</si>
  <si>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</si>
  <si>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</si>
  <si>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</si>
  <si>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</si>
  <si>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</si>
  <si>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</si>
  <si>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</si>
  <si>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</si>
  <si>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</si>
  <si>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</si>
  <si>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</si>
  <si>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</si>
  <si>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</si>
  <si>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</si>
  <si>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</si>
  <si>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</si>
  <si>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</si>
  <si>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</si>
  <si>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</si>
  <si>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</si>
  <si>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</si>
  <si>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</si>
  <si>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</si>
  <si>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</si>
  <si>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</si>
  <si>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</si>
  <si>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</si>
  <si>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</si>
  <si>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</si>
  <si>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</si>
  <si>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</si>
  <si>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</si>
  <si>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</si>
  <si>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</si>
  <si>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</si>
  <si>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</si>
  <si>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</si>
  <si>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</si>
  <si>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</si>
  <si>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</si>
  <si>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</si>
  <si>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</si>
  <si>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</si>
  <si>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</si>
  <si>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</si>
  <si>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</si>
  <si>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</si>
  <si>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</si>
  <si>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</si>
  <si>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</si>
  <si>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</si>
  <si>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</si>
  <si>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</si>
  <si>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</si>
  <si>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</si>
  <si>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</si>
  <si>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</si>
  <si>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</si>
  <si>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</si>
  <si>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</si>
  <si>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</si>
  <si>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</si>
  <si>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</si>
  <si>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</si>
  <si>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</si>
  <si>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</si>
  <si>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</si>
  <si>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</si>
  <si>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</si>
  <si>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</si>
  <si>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</si>
  <si>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</si>
  <si>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</si>
  <si>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</si>
  <si>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</si>
  <si>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</si>
  <si>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</si>
  <si>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</si>
  <si>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</si>
  <si>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</si>
  <si>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</si>
  <si>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</si>
  <si>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</si>
  <si>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</si>
  <si>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</si>
  <si>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</si>
  <si>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</si>
  <si>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</si>
  <si>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</si>
  <si>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</si>
  <si>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</si>
  <si>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</si>
  <si>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</si>
  <si>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</si>
  <si>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</si>
  <si>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</si>
  <si>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</si>
  <si>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</si>
  <si>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</si>
  <si>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</si>
  <si>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</si>
  <si>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</si>
  <si>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</si>
  <si>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</si>
  <si>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</si>
  <si>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</si>
  <si>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</si>
  <si>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</si>
  <si>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</si>
  <si>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</si>
  <si>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</si>
  <si>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</si>
  <si>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</si>
  <si>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</si>
  <si>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</si>
  <si>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</si>
  <si>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</si>
  <si>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</si>
  <si>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</si>
  <si>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</si>
  <si>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</si>
  <si>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</si>
  <si>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</si>
  <si>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</si>
  <si>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</si>
  <si>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</si>
  <si>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</si>
  <si>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</si>
  <si>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</si>
  <si>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</si>
  <si>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</si>
  <si>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</si>
  <si>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</si>
  <si>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</si>
  <si>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</si>
  <si>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</si>
  <si>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</si>
  <si>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</si>
  <si>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</si>
  <si>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</si>
  <si>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</si>
  <si>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</si>
  <si>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</si>
  <si>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</si>
  <si>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</si>
  <si>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</si>
  <si>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</si>
  <si>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</si>
  <si>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</si>
  <si>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</si>
  <si>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</si>
  <si>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</si>
  <si>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</si>
  <si>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</si>
  <si>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</si>
  <si>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</si>
  <si>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</si>
  <si>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</si>
  <si>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</si>
  <si>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</si>
  <si>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</si>
  <si>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</si>
  <si>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</si>
  <si>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</si>
  <si>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</si>
  <si>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</si>
  <si>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</si>
  <si>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</si>
  <si>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</si>
  <si>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</si>
  <si>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</si>
  <si>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</si>
  <si>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</si>
  <si>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</si>
  <si>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</si>
  <si>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</si>
  <si>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</si>
  <si>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</si>
  <si>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</si>
  <si>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</si>
  <si>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</si>
  <si>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</si>
  <si>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</si>
  <si>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</si>
  <si>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</si>
  <si>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</si>
  <si>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</si>
  <si>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</si>
  <si>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</si>
  <si>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</si>
  <si>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</si>
  <si>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</si>
  <si>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</si>
  <si>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</si>
  <si>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</si>
  <si>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</si>
  <si>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</si>
  <si>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</si>
  <si>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</si>
  <si>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</si>
  <si>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</si>
  <si>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</si>
  <si>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</si>
  <si>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</si>
  <si>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</si>
  <si>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</si>
  <si>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</si>
  <si>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</si>
  <si>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</si>
  <si>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</si>
  <si>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</si>
  <si>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</si>
  <si>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</si>
  <si>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</si>
  <si>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</si>
  <si>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</si>
  <si>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</si>
  <si>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</si>
  <si>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</si>
  <si>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</si>
  <si>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</si>
  <si>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</si>
  <si>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</si>
  <si>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</si>
  <si>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</si>
  <si>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</si>
  <si>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</si>
  <si>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</si>
  <si>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</si>
  <si>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</si>
  <si>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</si>
  <si>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</si>
  <si>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</si>
  <si>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</si>
  <si>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</si>
  <si>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</si>
  <si>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</si>
  <si>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</si>
  <si>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</si>
  <si>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</si>
  <si>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</si>
  <si>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</si>
  <si>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</si>
  <si>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</si>
  <si>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</si>
  <si>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</si>
  <si>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</si>
  <si>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</si>
  <si>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</si>
  <si>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</si>
  <si>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</si>
  <si>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</si>
  <si>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</si>
  <si>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</si>
  <si>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</si>
  <si>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</si>
  <si>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</si>
  <si>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</si>
  <si>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</si>
  <si>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</si>
  <si>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</si>
  <si>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</si>
  <si>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</si>
  <si>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</si>
  <si>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</si>
  <si>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</si>
  <si>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</si>
  <si>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</si>
  <si>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</si>
  <si>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</si>
  <si>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</si>
  <si>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</si>
  <si>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</si>
  <si>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</si>
  <si>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</si>
  <si>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</si>
  <si>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</si>
  <si>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</si>
  <si>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</si>
  <si>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</si>
  <si>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</si>
  <si>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</si>
  <si>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</si>
  <si>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</si>
  <si>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</si>
  <si>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</si>
  <si>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</si>
  <si>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</si>
  <si>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</si>
  <si>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</si>
  <si>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</si>
  <si>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</si>
  <si>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</si>
  <si>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</si>
  <si>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</si>
  <si>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</si>
  <si>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</si>
  <si>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</si>
  <si>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</si>
  <si>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</si>
  <si>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</si>
  <si>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</si>
  <si>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</si>
  <si>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</si>
  <si>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</si>
  <si>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</si>
  <si>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</si>
  <si>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</si>
  <si>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</si>
  <si>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</si>
  <si>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</si>
  <si>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</si>
  <si>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</si>
  <si>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</si>
  <si>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</si>
  <si>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</si>
  <si>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</si>
  <si>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</si>
  <si>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</si>
  <si>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</si>
  <si>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</si>
  <si>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</si>
  <si>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</si>
  <si>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</si>
  <si>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</si>
  <si>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</si>
  <si>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</si>
  <si>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</si>
  <si>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</si>
  <si>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</si>
  <si>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</si>
  <si>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</si>
  <si>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</si>
  <si>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</si>
  <si>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</si>
  <si>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</si>
  <si>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</si>
  <si>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</si>
  <si>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</si>
  <si>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</si>
  <si>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</si>
  <si>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</si>
  <si>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</si>
  <si>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</si>
  <si>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</si>
  <si>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</si>
  <si>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</si>
  <si>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</si>
  <si>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</si>
  <si>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</si>
  <si>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</si>
  <si>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</si>
  <si>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</si>
  <si>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</si>
  <si>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</si>
  <si>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</si>
  <si>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</si>
  <si>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</si>
  <si>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</si>
  <si>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</si>
  <si>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</si>
  <si>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</si>
  <si>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</si>
  <si>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</si>
  <si>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</si>
  <si>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</si>
  <si>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</si>
  <si>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</si>
  <si>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</si>
  <si>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</si>
  <si>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</si>
  <si>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</si>
  <si>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</si>
  <si>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</si>
  <si>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</si>
  <si>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</si>
  <si>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</si>
  <si>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</si>
  <si>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</si>
  <si>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</si>
  <si>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</si>
  <si>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</si>
  <si>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</si>
  <si>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</si>
  <si>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</si>
  <si>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</si>
  <si>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</si>
  <si>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</si>
  <si>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</si>
  <si>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</si>
  <si>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</si>
  <si>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</si>
  <si>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</si>
  <si>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</si>
  <si>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</si>
  <si>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</si>
  <si>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</si>
  <si>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</si>
  <si>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</si>
  <si>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</si>
  <si>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</si>
  <si>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</si>
  <si>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</si>
  <si>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</si>
  <si>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</si>
  <si>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</si>
  <si>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</si>
  <si>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</si>
  <si>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</si>
  <si>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</si>
  <si>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</si>
  <si>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</si>
  <si>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</si>
  <si>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</si>
  <si>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</si>
  <si>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</si>
  <si>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</si>
  <si>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</si>
  <si>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</si>
  <si>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</si>
  <si>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</si>
  <si>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</si>
  <si>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</si>
  <si>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</si>
  <si>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</si>
  <si>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</si>
  <si>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</si>
  <si>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</si>
  <si>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</si>
  <si>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</si>
  <si>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</si>
  <si>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</si>
  <si>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</si>
  <si>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</si>
  <si>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</si>
  <si>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</si>
  <si>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</si>
  <si>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</si>
  <si>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</si>
  <si>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</si>
  <si>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</si>
  <si>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</si>
  <si>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</si>
  <si>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</si>
  <si>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</si>
  <si>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</si>
  <si>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</si>
  <si>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</si>
  <si>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</si>
  <si>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</si>
  <si>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</si>
  <si>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</si>
  <si>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</si>
  <si>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</si>
  <si>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</si>
  <si>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</si>
  <si>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</si>
  <si>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</si>
  <si>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</si>
  <si>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</si>
  <si>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</si>
  <si>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</si>
  <si>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</si>
  <si>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</si>
  <si>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</si>
  <si>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</si>
  <si>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</si>
  <si>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</si>
  <si>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</si>
  <si>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</si>
  <si>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</si>
  <si>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</si>
  <si>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</si>
  <si>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</si>
  <si>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</si>
  <si>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</si>
  <si>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</si>
  <si>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</si>
  <si>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</si>
  <si>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</si>
  <si>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</si>
  <si>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</si>
  <si>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</si>
  <si>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</si>
  <si>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</si>
  <si>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</si>
  <si>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</si>
  <si>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</si>
  <si>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</si>
  <si>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</si>
  <si>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</si>
  <si>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</si>
  <si>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</si>
  <si>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</si>
  <si>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</si>
  <si>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</si>
  <si>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</si>
  <si>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</si>
  <si>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</si>
  <si>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</si>
  <si>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</si>
  <si>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</si>
  <si>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</si>
  <si>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</si>
  <si>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</si>
  <si>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</si>
  <si>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</si>
  <si>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</si>
  <si>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</si>
  <si>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</si>
  <si>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</si>
  <si>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</si>
  <si>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</si>
  <si>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</si>
  <si>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</si>
  <si>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</si>
  <si>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</si>
  <si>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</si>
  <si>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</si>
  <si>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</si>
  <si>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</si>
  <si>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</si>
  <si>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</si>
  <si>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</si>
  <si>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</si>
  <si>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</si>
  <si>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</si>
  <si>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</si>
  <si>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</si>
  <si>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</si>
  <si>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</si>
  <si>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</si>
  <si>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</si>
  <si>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</si>
  <si>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</si>
  <si>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</si>
  <si>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</si>
  <si>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</si>
  <si>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</si>
  <si>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</si>
  <si>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</si>
  <si>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</si>
  <si>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</si>
  <si>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</si>
  <si>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</si>
  <si>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</si>
  <si>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</si>
  <si>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</si>
  <si>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</si>
  <si>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</si>
  <si>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</si>
  <si>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</si>
  <si>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</si>
  <si>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</si>
  <si>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</si>
  <si>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</si>
  <si>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</si>
  <si>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</si>
  <si>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</si>
  <si>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</si>
  <si>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</si>
  <si>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</si>
  <si>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</si>
  <si>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</si>
  <si>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</si>
  <si>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</si>
  <si>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</si>
  <si>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</si>
  <si>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</si>
  <si>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</si>
  <si>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</si>
  <si>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</si>
  <si>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</si>
  <si>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</si>
  <si>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</si>
  <si>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</si>
  <si>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</si>
  <si>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</si>
  <si>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</si>
  <si>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</si>
  <si>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</si>
  <si>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</si>
  <si>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</si>
  <si>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</si>
  <si>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</si>
  <si>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</si>
  <si>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</si>
  <si>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</si>
  <si>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</si>
  <si>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</si>
  <si>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</si>
  <si>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</si>
  <si>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</si>
  <si>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</si>
  <si>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</si>
  <si>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</si>
  <si>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</si>
  <si>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</si>
  <si>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</si>
  <si>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</si>
  <si>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</si>
  <si>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</si>
  <si>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</si>
  <si>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</si>
  <si>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</si>
  <si>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</si>
  <si>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</si>
  <si>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</si>
  <si>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</si>
  <si>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</si>
  <si>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</si>
  <si>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</si>
  <si>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</si>
  <si>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</si>
  <si>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</si>
  <si>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</si>
  <si>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</si>
  <si>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</si>
  <si>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</si>
  <si>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</si>
  <si>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</si>
  <si>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</si>
  <si>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</si>
  <si>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</si>
  <si>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</si>
  <si>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</si>
  <si>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</si>
  <si>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</si>
  <si>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</si>
  <si>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</si>
  <si>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</si>
  <si>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</si>
  <si>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</si>
  <si>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</si>
  <si>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</si>
  <si>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</si>
  <si>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</si>
  <si>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</si>
  <si>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</si>
  <si>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</si>
  <si>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</si>
  <si>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</si>
  <si>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</si>
  <si>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</si>
  <si>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</si>
  <si>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</si>
  <si>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</si>
  <si>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</si>
  <si>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</si>
  <si>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</si>
  <si>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</si>
  <si>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</si>
  <si>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</si>
  <si>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</si>
  <si>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</si>
  <si>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</si>
  <si>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</si>
  <si>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</si>
  <si>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</si>
  <si>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</si>
  <si>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</si>
  <si>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</si>
  <si>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</si>
  <si>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</si>
  <si>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</si>
  <si>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</si>
  <si>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</si>
  <si>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</si>
  <si>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</si>
  <si>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</si>
  <si>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</si>
  <si>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</si>
  <si>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</si>
  <si>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</si>
  <si>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</si>
  <si>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</si>
  <si>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</si>
  <si>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</si>
  <si>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</si>
  <si>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</si>
  <si>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</si>
  <si>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</si>
  <si>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</si>
  <si>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</si>
  <si>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</si>
  <si>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</si>
  <si>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</si>
  <si>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</si>
  <si>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</si>
  <si>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</si>
  <si>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</si>
  <si>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</si>
  <si>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</si>
  <si>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</si>
  <si>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</si>
  <si>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</si>
  <si>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</si>
  <si>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</si>
  <si>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</si>
  <si>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</si>
  <si>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</si>
  <si>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</si>
  <si>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</si>
  <si>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</si>
  <si>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</si>
  <si>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</si>
  <si>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</si>
  <si>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</si>
  <si>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</si>
  <si>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</si>
  <si>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</si>
  <si>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</si>
  <si>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</si>
  <si>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</si>
  <si>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</si>
  <si>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</si>
  <si>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</si>
  <si>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</si>
  <si>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</si>
  <si>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</si>
  <si>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</si>
  <si>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</si>
  <si>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</si>
  <si>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</si>
  <si>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</si>
  <si>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</si>
  <si>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</si>
  <si>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</si>
  <si>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</si>
  <si>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</si>
  <si>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</si>
  <si>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</si>
  <si>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</si>
  <si>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</si>
  <si>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</si>
  <si>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</si>
  <si>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</si>
  <si>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</si>
  <si>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</si>
  <si>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</si>
  <si>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</si>
  <si>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</si>
  <si>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</si>
  <si>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</si>
  <si>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</si>
  <si>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</si>
  <si>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</si>
  <si>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</si>
  <si>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</si>
  <si>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</si>
  <si>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</si>
  <si>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</si>
  <si>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</si>
  <si>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</si>
  <si>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</si>
  <si>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</si>
  <si>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</si>
  <si>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</si>
  <si>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</si>
  <si>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</si>
  <si>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</si>
  <si>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</si>
  <si>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</si>
  <si>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</si>
  <si>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</si>
  <si>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</si>
  <si>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</si>
  <si>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</si>
  <si>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</si>
  <si>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</si>
  <si>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</si>
  <si>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</si>
  <si>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</si>
  <si>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</si>
  <si>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</si>
  <si>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</si>
  <si>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</si>
  <si>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</si>
  <si>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</si>
  <si>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</si>
  <si>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</si>
  <si>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</si>
  <si>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</si>
  <si>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</si>
  <si>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</si>
  <si>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</si>
  <si>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</si>
  <si>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</si>
  <si>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</si>
  <si>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</si>
  <si>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</si>
  <si>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</si>
  <si>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</si>
  <si>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</si>
  <si>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</si>
  <si>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</si>
  <si>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</si>
  <si>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</si>
  <si>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</si>
  <si>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</si>
  <si>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</si>
  <si>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</si>
  <si>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</si>
  <si>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</si>
  <si>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</si>
  <si>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</si>
  <si>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</si>
  <si>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</si>
  <si>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</si>
  <si>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</si>
  <si>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</si>
  <si>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</si>
  <si>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</si>
  <si>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</si>
  <si>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</si>
  <si>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</si>
  <si>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</si>
  <si>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</si>
  <si>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</si>
  <si>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</si>
  <si>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</si>
  <si>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</si>
  <si>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</si>
  <si>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</si>
  <si>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</si>
  <si>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</si>
  <si>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</si>
  <si>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</si>
  <si>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</si>
  <si>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</si>
  <si>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</si>
  <si>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</si>
  <si>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</si>
  <si>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</si>
  <si>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</si>
  <si>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</si>
  <si>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</si>
  <si>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</si>
  <si>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</si>
  <si>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</si>
  <si>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</si>
  <si>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</si>
  <si>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</si>
  <si>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</si>
  <si>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</si>
  <si>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</si>
  <si>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</si>
  <si>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</si>
  <si>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</si>
  <si>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</si>
  <si>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</si>
  <si>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</si>
  <si>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</si>
  <si>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</si>
  <si>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</si>
  <si>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</si>
  <si>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</si>
  <si>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</si>
  <si>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</si>
  <si>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</si>
  <si>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</si>
  <si>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</si>
  <si>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</si>
  <si>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</si>
  <si>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</si>
  <si>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</si>
  <si>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</si>
  <si>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</si>
  <si>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</si>
  <si>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</si>
  <si>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</si>
  <si>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</si>
  <si>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</si>
  <si>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</si>
  <si>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</si>
  <si>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</si>
  <si>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</si>
  <si>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</si>
  <si>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</si>
  <si>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</si>
  <si>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</si>
  <si>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</si>
  <si>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</si>
  <si>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</si>
  <si>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</si>
  <si>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</si>
  <si>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</si>
  <si>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</si>
  <si>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</si>
  <si>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</si>
  <si>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</si>
  <si>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</si>
  <si>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</si>
  <si>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</si>
  <si>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</si>
  <si>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</si>
  <si>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</si>
  <si>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</si>
  <si>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</si>
  <si>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</si>
  <si>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</si>
  <si>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</si>
  <si>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</si>
  <si>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</si>
  <si>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</si>
  <si>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</si>
  <si>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</si>
  <si>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</si>
  <si>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</si>
  <si>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</si>
  <si>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</si>
  <si>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</si>
  <si>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</si>
  <si>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</si>
  <si>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</si>
  <si>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</si>
  <si>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</si>
  <si>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</si>
  <si>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</si>
  <si>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</si>
  <si>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</si>
  <si>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</si>
  <si>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</si>
  <si>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</si>
  <si>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</si>
  <si>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</si>
  <si>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</si>
  <si>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</si>
  <si>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</si>
  <si>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</si>
  <si>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</si>
  <si>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</si>
  <si>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</si>
  <si>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</si>
  <si>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</si>
  <si>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</si>
  <si>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</si>
  <si>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</si>
  <si>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</si>
  <si>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</si>
  <si>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</si>
  <si>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</si>
  <si>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</si>
  <si>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</si>
  <si>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</si>
  <si>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</si>
  <si>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</si>
  <si>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</si>
  <si>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</si>
  <si>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</si>
  <si>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</si>
  <si>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</si>
  <si>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</si>
  <si>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</si>
  <si>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</si>
  <si>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</si>
  <si>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</si>
  <si>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</si>
  <si>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</si>
  <si>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</si>
  <si>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</si>
  <si>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</si>
  <si>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</si>
  <si>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</si>
  <si>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</si>
  <si>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</si>
  <si>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</si>
  <si>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</si>
  <si>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</si>
  <si>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</si>
  <si>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</si>
  <si>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</si>
  <si>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</si>
  <si>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</si>
  <si>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</si>
  <si>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</si>
  <si>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</si>
  <si>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</si>
  <si>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</si>
  <si>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</si>
  <si>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</si>
  <si>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</si>
  <si>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</si>
  <si>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</si>
  <si>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</si>
  <si>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</si>
  <si>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</si>
  <si>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</si>
  <si>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</si>
  <si>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</si>
  <si>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</si>
  <si>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</si>
  <si>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</si>
  <si>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</si>
  <si>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</si>
  <si>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</si>
  <si>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</si>
  <si>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</si>
  <si>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</si>
  <si>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</si>
  <si>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</si>
  <si>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</si>
  <si>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</si>
  <si>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</si>
  <si>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</si>
  <si>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</si>
  <si>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</si>
  <si>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</si>
  <si>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</si>
  <si>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</si>
  <si>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</si>
  <si>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</si>
  <si>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</si>
  <si>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</si>
  <si>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</si>
  <si>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</si>
  <si>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</si>
  <si>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</si>
  <si>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</si>
  <si>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</si>
  <si>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</si>
  <si>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</si>
  <si>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</si>
  <si>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</si>
  <si>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</si>
  <si>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</si>
  <si>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</si>
  <si>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</si>
  <si>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</si>
  <si>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</si>
  <si>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</si>
  <si>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</si>
  <si>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</si>
  <si>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</si>
  <si>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</si>
  <si>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</si>
  <si>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</si>
  <si>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</si>
  <si>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</si>
  <si>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</si>
  <si>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</si>
  <si>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</si>
  <si>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</si>
  <si>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</si>
  <si>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</si>
  <si>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</si>
  <si>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</si>
  <si>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</si>
  <si>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</si>
  <si>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</si>
  <si>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</si>
  <si>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</si>
  <si>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</si>
  <si>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</si>
  <si>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</si>
  <si>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</si>
  <si>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</si>
  <si>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</si>
  <si>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</si>
  <si>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</si>
  <si>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</si>
  <si>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</si>
  <si>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</si>
  <si>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</si>
  <si>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</si>
  <si>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</si>
  <si>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</si>
  <si>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</si>
  <si>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</si>
  <si>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</si>
  <si>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</si>
  <si>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</si>
  <si>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</si>
  <si>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</si>
  <si>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</si>
  <si>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</si>
  <si>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</si>
  <si>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</si>
  <si>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</si>
  <si>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</si>
  <si>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</si>
  <si>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</si>
  <si>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</si>
  <si>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</si>
  <si>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</si>
  <si>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</si>
  <si>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</si>
  <si>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</si>
  <si>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</si>
  <si>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</si>
  <si>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</si>
  <si>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</si>
  <si>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</si>
  <si>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</si>
  <si>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</si>
  <si>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</si>
  <si>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</si>
  <si>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</si>
  <si>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</si>
  <si>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</si>
  <si>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</si>
  <si>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</si>
  <si>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</si>
  <si>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</si>
  <si>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</si>
  <si>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</si>
  <si>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</si>
  <si>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</si>
  <si>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</si>
  <si>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</si>
  <si>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</si>
  <si>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</si>
  <si>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</si>
  <si>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</si>
  <si>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</si>
  <si>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</si>
  <si>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</si>
  <si>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</si>
  <si>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</si>
  <si>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</si>
  <si>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</si>
  <si>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</si>
  <si>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</si>
  <si>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</si>
  <si>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</si>
  <si>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</si>
  <si>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</si>
  <si>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</si>
  <si>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</si>
  <si>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</si>
  <si>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</si>
  <si>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</si>
  <si>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</si>
  <si>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</si>
  <si>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</si>
  <si>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</si>
  <si>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</si>
  <si>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</si>
  <si>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</si>
  <si>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</si>
  <si>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</si>
  <si>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</si>
  <si>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</si>
  <si>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</si>
  <si>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</si>
  <si>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</si>
  <si>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</si>
  <si>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</si>
  <si>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</si>
  <si>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</si>
  <si>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</si>
  <si>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</si>
  <si>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</si>
  <si>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</si>
  <si>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</si>
  <si>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</si>
  <si>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</si>
  <si>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</si>
  <si>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</si>
  <si>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</si>
  <si>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</si>
  <si>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</si>
  <si>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</si>
  <si>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</si>
  <si>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</si>
  <si>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</si>
  <si>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</si>
  <si>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</si>
  <si>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</si>
  <si>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</si>
  <si>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</si>
  <si>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</si>
  <si>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</si>
  <si>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</si>
  <si>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</si>
  <si>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</si>
  <si>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</si>
  <si>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</si>
  <si>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</si>
  <si>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</si>
  <si>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</si>
  <si>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</si>
  <si>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</si>
  <si>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</si>
  <si>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</si>
  <si>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</si>
  <si>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</si>
  <si>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</si>
  <si>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</si>
  <si>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</si>
  <si>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</si>
  <si>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</si>
  <si>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</si>
  <si>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</si>
  <si>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</si>
  <si>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</si>
  <si>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</si>
  <si>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</si>
  <si>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</si>
  <si>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</si>
  <si>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</si>
  <si>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</si>
  <si>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</si>
  <si>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</si>
  <si>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</si>
  <si>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</si>
  <si>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</si>
  <si>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</si>
  <si>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</si>
  <si>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</si>
  <si>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</si>
  <si>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</si>
  <si>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</si>
  <si>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</si>
  <si>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</si>
  <si>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</si>
  <si>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</si>
  <si>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</si>
  <si>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</si>
  <si>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</si>
  <si>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</si>
  <si>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</si>
  <si>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</si>
  <si>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</si>
  <si>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</si>
  <si>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</si>
  <si>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</si>
  <si>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</si>
  <si>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</si>
  <si>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</si>
  <si>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</si>
  <si>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</si>
  <si>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</si>
  <si>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</si>
  <si>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</si>
  <si>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</si>
  <si>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</si>
  <si>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</si>
  <si>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</si>
  <si>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</si>
  <si>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</si>
  <si>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</si>
  <si>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</si>
  <si>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</si>
  <si>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</si>
  <si>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</si>
  <si>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</si>
  <si>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</si>
  <si>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</si>
  <si>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</si>
  <si>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</si>
  <si>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</si>
  <si>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</si>
  <si>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</si>
  <si>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</si>
  <si>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</si>
  <si>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</si>
  <si>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</si>
  <si>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</si>
  <si>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</si>
  <si>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</si>
  <si>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</si>
  <si>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</si>
  <si>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</si>
  <si>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</si>
  <si>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</si>
  <si>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</si>
  <si>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</si>
  <si>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</si>
  <si>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</si>
  <si>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</si>
  <si>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</si>
  <si>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</si>
  <si>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</si>
  <si>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</si>
  <si>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</si>
  <si>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</si>
  <si>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</si>
  <si>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</si>
  <si>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</si>
  <si>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</si>
  <si>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</si>
  <si>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</si>
  <si>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</si>
  <si>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</si>
  <si>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</si>
  <si>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</si>
  <si>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</si>
  <si>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</si>
  <si>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</si>
  <si>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</si>
  <si>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</si>
  <si>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</si>
  <si>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</si>
  <si>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</si>
  <si>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</si>
  <si>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</si>
  <si>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</si>
  <si>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</si>
  <si>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</si>
  <si>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</si>
  <si>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</si>
  <si>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</si>
  <si>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</si>
  <si>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</si>
  <si>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</si>
  <si>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</si>
  <si>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</si>
  <si>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</si>
  <si>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</si>
  <si>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</si>
  <si>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</si>
  <si>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</si>
  <si>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</si>
  <si>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</si>
  <si>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</si>
  <si>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</si>
  <si>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</si>
  <si>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</si>
  <si>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</si>
  <si>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</si>
  <si>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</si>
  <si>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</si>
  <si>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</si>
  <si>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</si>
  <si>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</si>
  <si>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</si>
  <si>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</si>
  <si>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</si>
  <si>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</si>
  <si>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</si>
  <si>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</si>
  <si>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</si>
  <si>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</si>
  <si>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</si>
  <si>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</si>
  <si>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</si>
  <si>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</si>
  <si>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</si>
  <si>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</si>
  <si>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</si>
  <si>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</si>
  <si>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</si>
  <si>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</si>
  <si>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</si>
  <si>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</si>
  <si>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</si>
  <si>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</si>
  <si>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</si>
  <si>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</si>
  <si>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</si>
  <si>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</si>
  <si>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</si>
  <si>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</si>
  <si>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</si>
  <si>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</si>
  <si>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</si>
  <si>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</si>
  <si>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</si>
  <si>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</si>
  <si>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</si>
  <si>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</si>
  <si>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</si>
  <si>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</si>
  <si>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</si>
  <si>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</si>
  <si>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</si>
  <si>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</si>
  <si>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</si>
  <si>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</si>
  <si>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</si>
  <si>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</si>
  <si>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</si>
  <si>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</si>
  <si>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</si>
  <si>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</si>
  <si>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</si>
  <si>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</si>
  <si>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</si>
  <si>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</si>
  <si>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</si>
  <si>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</si>
  <si>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</si>
  <si>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</si>
  <si>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</si>
  <si>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</si>
  <si>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</si>
  <si>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</si>
  <si>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</si>
  <si>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</si>
  <si>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</si>
  <si>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</si>
  <si>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</si>
  <si>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</si>
  <si>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</si>
  <si>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</si>
  <si>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</si>
  <si>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</si>
  <si>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</si>
  <si>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</si>
  <si>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</si>
  <si>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</si>
  <si>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</si>
  <si>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</si>
  <si>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</si>
  <si>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</si>
  <si>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</si>
  <si>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</si>
  <si>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</si>
  <si>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</si>
  <si>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</si>
  <si>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</si>
  <si>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</si>
  <si>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</si>
  <si>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</si>
  <si>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</si>
  <si>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</si>
  <si>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</si>
  <si>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</si>
  <si>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</si>
  <si>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</si>
  <si>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</si>
  <si>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</si>
  <si>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</si>
  <si>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</si>
  <si>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</si>
  <si>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</si>
  <si>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</si>
  <si>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</si>
  <si>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</si>
  <si>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</si>
  <si>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</si>
  <si>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</si>
  <si>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</si>
  <si>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</si>
  <si>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</si>
  <si>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</si>
  <si>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</si>
  <si>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</si>
  <si>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</si>
  <si>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</si>
  <si>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</si>
  <si>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</si>
  <si>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</si>
  <si>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</si>
  <si>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</si>
  <si>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</si>
  <si>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</si>
  <si>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</si>
  <si>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</si>
  <si>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</si>
  <si>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</si>
  <si>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</si>
  <si>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</si>
  <si>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</si>
  <si>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</si>
  <si>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</si>
  <si>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</si>
  <si>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</si>
  <si>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</si>
  <si>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</si>
  <si>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</si>
  <si>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</si>
  <si>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</si>
  <si>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</si>
  <si>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</si>
  <si>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</si>
  <si>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</si>
  <si>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</si>
  <si>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</si>
  <si>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</si>
  <si>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</si>
  <si>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</si>
  <si>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</si>
  <si>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</si>
  <si>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</si>
  <si>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</si>
  <si>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</si>
  <si>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</si>
  <si>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</si>
  <si>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</si>
  <si>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</si>
  <si>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</si>
  <si>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</si>
  <si>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</si>
  <si>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</si>
  <si>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</si>
  <si>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</si>
  <si>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</si>
  <si>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</si>
  <si>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</si>
  <si>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</si>
  <si>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</si>
  <si>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</si>
  <si>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</si>
  <si>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</si>
  <si>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</si>
  <si>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</si>
  <si>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</si>
  <si>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</si>
  <si>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</si>
  <si>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</si>
  <si>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</si>
  <si>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</si>
  <si>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</si>
  <si>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</si>
  <si>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</si>
  <si>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</si>
  <si>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</si>
  <si>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</si>
  <si>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</si>
  <si>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</si>
  <si>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</si>
  <si>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</si>
  <si>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</si>
  <si>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</si>
  <si>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</si>
  <si>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</si>
  <si>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</si>
  <si>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</si>
  <si>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</si>
  <si>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</si>
  <si>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</si>
  <si>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</si>
  <si>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</si>
  <si>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</si>
  <si>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</si>
  <si>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</si>
  <si>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</si>
  <si>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</si>
  <si>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</si>
  <si>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</si>
  <si>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</si>
  <si>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</si>
  <si>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</si>
  <si>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</si>
  <si>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</si>
  <si>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</si>
  <si>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</si>
  <si>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</si>
  <si>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</si>
  <si>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</si>
  <si>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</si>
  <si>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</si>
  <si>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</si>
  <si>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</si>
  <si>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</si>
  <si>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</si>
  <si>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</si>
  <si>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</si>
  <si>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</si>
  <si>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</si>
  <si>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</si>
  <si>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</si>
  <si>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</si>
  <si>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</si>
  <si>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</si>
  <si>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</si>
  <si>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</si>
  <si>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</si>
  <si>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</si>
  <si>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</si>
  <si>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</si>
  <si>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</si>
  <si>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</si>
  <si>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</si>
  <si>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</si>
  <si>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</si>
  <si>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</si>
  <si>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</si>
  <si>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</si>
  <si>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</si>
  <si>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</si>
  <si>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</si>
  <si>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</si>
  <si>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</si>
  <si>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</si>
  <si>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</si>
  <si>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</si>
  <si>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</si>
  <si>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</si>
  <si>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</si>
  <si>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</si>
  <si>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</si>
  <si>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</si>
  <si>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</si>
  <si>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</si>
  <si>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</si>
  <si>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</si>
  <si>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</si>
  <si>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</si>
  <si>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</si>
  <si>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</si>
  <si>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</si>
  <si>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</si>
  <si>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</si>
  <si>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</si>
  <si>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</si>
  <si>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</si>
  <si>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</si>
  <si>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</si>
  <si>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</si>
  <si>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</si>
  <si>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</si>
  <si>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</si>
  <si>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</si>
  <si>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</si>
  <si>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</si>
  <si>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</si>
  <si>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</si>
  <si>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</si>
  <si>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</si>
  <si>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</si>
  <si>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</si>
  <si>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</si>
  <si>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</si>
  <si>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</si>
  <si>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</si>
  <si>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</si>
  <si>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</si>
  <si>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</si>
  <si>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</si>
  <si>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</si>
  <si>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</si>
  <si>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</si>
  <si>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</si>
  <si>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</si>
  <si>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</si>
  <si>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</si>
  <si>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</si>
  <si>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</si>
  <si>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</si>
  <si>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</si>
  <si>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</si>
  <si>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</si>
  <si>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</si>
  <si>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</si>
  <si>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</si>
  <si>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</si>
  <si>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</si>
  <si>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</si>
  <si>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</si>
  <si>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</si>
  <si>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</si>
  <si>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</si>
  <si>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</si>
  <si>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</si>
  <si>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</si>
  <si>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</si>
  <si>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</si>
  <si>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</si>
  <si>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</si>
  <si>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</si>
  <si>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</si>
  <si>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</si>
  <si>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</si>
  <si>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</si>
  <si>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</si>
  <si>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</si>
  <si>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</si>
  <si>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</si>
  <si>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</si>
  <si>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</si>
  <si>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</si>
  <si>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</si>
  <si>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</si>
  <si>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</si>
  <si>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</si>
  <si>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</si>
  <si>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</si>
  <si>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</si>
  <si>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</si>
  <si>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</si>
  <si>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</si>
  <si>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</si>
  <si>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</si>
  <si>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</si>
  <si>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</si>
  <si>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</si>
  <si>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</si>
  <si>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</si>
  <si>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</si>
  <si>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</si>
  <si>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</si>
  <si>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</si>
  <si>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</si>
  <si>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</si>
  <si>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</si>
  <si>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</si>
  <si>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</si>
  <si>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</si>
  <si>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</si>
  <si>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</si>
  <si>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</si>
  <si>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</si>
  <si>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</si>
  <si>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</si>
  <si>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</si>
  <si>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</si>
  <si>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</si>
  <si>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</si>
  <si>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</si>
  <si>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</si>
  <si>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</si>
  <si>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</si>
  <si>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</si>
  <si>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</si>
  <si>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</si>
  <si>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</si>
  <si>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</si>
  <si>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</si>
  <si>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</si>
  <si>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</si>
  <si>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</si>
  <si>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</si>
  <si>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</si>
  <si>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</si>
  <si>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</si>
  <si>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</si>
  <si>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</si>
  <si>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</si>
  <si>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</si>
  <si>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</si>
  <si>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</si>
  <si>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</si>
  <si>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</si>
  <si>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</si>
  <si>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</si>
  <si>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</si>
  <si>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</si>
  <si>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</si>
  <si>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</si>
  <si>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</si>
  <si>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</si>
  <si>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</si>
  <si>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</si>
  <si>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</si>
  <si>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</si>
  <si>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</si>
  <si>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</si>
  <si>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</si>
  <si>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</si>
  <si>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</si>
  <si>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</si>
  <si>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</si>
  <si>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</si>
  <si>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</si>
  <si>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</si>
  <si>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</si>
  <si>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</si>
  <si>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</si>
  <si>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</si>
  <si>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</si>
  <si>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</si>
  <si>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</si>
  <si>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</si>
  <si>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</si>
  <si>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</si>
  <si>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</si>
  <si>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</si>
  <si>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</si>
  <si>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</si>
  <si>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</si>
  <si>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</si>
  <si>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</si>
  <si>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</si>
  <si>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</si>
  <si>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</si>
  <si>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</si>
  <si>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</si>
  <si>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</si>
  <si>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</si>
  <si>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</si>
  <si>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</si>
  <si>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</si>
  <si>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</si>
  <si>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</si>
  <si>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</si>
  <si>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</si>
  <si>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</si>
  <si>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</si>
  <si>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</si>
  <si>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</si>
  <si>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</si>
  <si>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</si>
  <si>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</si>
  <si>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</si>
  <si>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</si>
  <si>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</si>
  <si>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</si>
  <si>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</si>
  <si>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</si>
  <si>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</si>
  <si>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</si>
  <si>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</si>
  <si>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</si>
  <si>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</si>
  <si>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</si>
  <si>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</si>
  <si>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</si>
  <si>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</si>
  <si>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</si>
  <si>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</si>
  <si>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</si>
  <si>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</si>
  <si>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</si>
  <si>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</si>
  <si>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</si>
  <si>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</si>
  <si>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</si>
  <si>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</si>
  <si>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</si>
  <si>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</si>
  <si>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</si>
  <si>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</si>
  <si>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</si>
  <si>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</si>
  <si>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</si>
  <si>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</si>
  <si>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</si>
  <si>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</si>
  <si>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</si>
  <si>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</si>
  <si>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</si>
  <si>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</si>
  <si>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</si>
  <si>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</si>
  <si>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</si>
  <si>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</si>
  <si>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</si>
  <si>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</si>
  <si>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</si>
  <si>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</si>
  <si>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</si>
  <si>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</si>
  <si>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</si>
  <si>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</si>
  <si>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</si>
  <si>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</si>
  <si>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</si>
  <si>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</si>
  <si>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</si>
  <si>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</si>
  <si>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</si>
  <si>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</si>
  <si>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</si>
  <si>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</si>
  <si>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</si>
  <si>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</si>
  <si>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</si>
  <si>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</si>
  <si>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</si>
  <si>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</si>
  <si>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</si>
  <si>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</si>
  <si>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</si>
  <si>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</si>
  <si>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</si>
  <si>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</si>
  <si>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</si>
  <si>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</si>
  <si>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</si>
  <si>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</si>
  <si>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</si>
  <si>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</si>
  <si>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</si>
  <si>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</si>
  <si>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</si>
  <si>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</si>
  <si>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</si>
  <si>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</si>
  <si>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</si>
  <si>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</si>
  <si>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</si>
  <si>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</si>
  <si>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</si>
  <si>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</si>
  <si>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</si>
  <si>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</si>
  <si>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</si>
  <si>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</si>
  <si>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</si>
  <si>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</si>
  <si>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</si>
  <si>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</si>
  <si>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</si>
  <si>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</si>
  <si>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</si>
  <si>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</si>
  <si>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</si>
  <si>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</si>
  <si>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</si>
  <si>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</si>
  <si>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</si>
  <si>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</si>
  <si>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</si>
  <si>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</si>
  <si>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</si>
  <si>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</si>
  <si>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</si>
  <si>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</si>
  <si>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</si>
  <si>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</si>
  <si>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</si>
  <si>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</si>
  <si>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</si>
  <si>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</si>
  <si>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</si>
  <si>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</si>
  <si>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</si>
  <si>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</si>
  <si>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</si>
  <si>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</si>
  <si>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</si>
  <si>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</si>
  <si>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</si>
  <si>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</si>
  <si>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</si>
  <si>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</si>
  <si>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</si>
  <si>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</si>
  <si>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</si>
  <si>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</si>
  <si>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</si>
  <si>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</si>
  <si>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</si>
  <si>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</si>
  <si>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</si>
  <si>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</si>
  <si>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</si>
  <si>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</si>
  <si>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</si>
  <si>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</si>
  <si>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</si>
  <si>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</si>
  <si>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</si>
  <si>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</si>
  <si>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</si>
  <si>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</si>
  <si>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</si>
  <si>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</si>
  <si>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</si>
  <si>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</si>
  <si>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</si>
  <si>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</si>
  <si>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</si>
  <si>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</si>
  <si>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</si>
  <si>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</si>
  <si>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</si>
  <si>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</si>
  <si>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</si>
  <si>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</si>
  <si>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</si>
  <si>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</si>
  <si>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</si>
  <si>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</si>
  <si>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</si>
  <si>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</si>
  <si>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</si>
  <si>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</si>
  <si>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</si>
  <si>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</si>
  <si>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</si>
  <si>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</si>
  <si>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</si>
  <si>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</si>
  <si>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</si>
  <si>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</si>
  <si>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</si>
  <si>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</si>
  <si>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</si>
  <si>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</si>
  <si>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</si>
  <si>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</si>
  <si>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</si>
  <si>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</si>
  <si>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</si>
  <si>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</si>
  <si>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</si>
  <si>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</si>
  <si>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</si>
  <si>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</si>
  <si>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</si>
  <si>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</si>
  <si>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</si>
  <si>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</si>
  <si>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</si>
  <si>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</si>
  <si>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</si>
  <si>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</si>
  <si>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</si>
  <si>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</si>
  <si>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</si>
  <si>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</si>
  <si>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</si>
  <si>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</si>
  <si>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</si>
  <si>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</si>
  <si>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</si>
  <si>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</si>
  <si>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</si>
  <si>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</si>
  <si>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</si>
  <si>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</si>
  <si>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</si>
  <si>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</si>
  <si>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</si>
  <si>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</si>
  <si>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</si>
  <si>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</si>
  <si>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</si>
  <si>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</si>
  <si>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</si>
  <si>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</si>
  <si>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</si>
  <si>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</si>
  <si>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</si>
  <si>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</si>
  <si>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</si>
  <si>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</si>
  <si>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</si>
  <si>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</si>
  <si>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</si>
  <si>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</si>
  <si>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</si>
  <si>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</si>
  <si>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</si>
  <si>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</si>
  <si>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</si>
  <si>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</si>
  <si>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</si>
  <si>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</si>
  <si>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</si>
  <si>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</si>
  <si>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</si>
  <si>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</si>
  <si>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</si>
  <si>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</si>
  <si>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</si>
  <si>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</si>
  <si>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</si>
  <si>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</si>
  <si>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</si>
  <si>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</si>
  <si>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</si>
  <si>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</si>
  <si>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</si>
  <si>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</si>
  <si>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</si>
  <si>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</si>
  <si>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</si>
  <si>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</si>
  <si>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</si>
  <si>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</si>
  <si>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</si>
  <si>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</si>
  <si>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</si>
  <si>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</si>
  <si>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</si>
  <si>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</si>
  <si>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</si>
  <si>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</si>
  <si>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</si>
  <si>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</si>
  <si>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</si>
  <si>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</si>
  <si>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</si>
  <si>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</si>
  <si>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</si>
  <si>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</si>
  <si>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</si>
  <si>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</si>
  <si>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</si>
  <si>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</si>
  <si>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</si>
  <si>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</si>
  <si>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</si>
  <si>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</si>
  <si>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</si>
  <si>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</si>
  <si>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</si>
  <si>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</si>
  <si>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</si>
  <si>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</si>
  <si>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</si>
  <si>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</si>
  <si>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</si>
  <si>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</si>
  <si>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</si>
  <si>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</si>
  <si>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</si>
  <si>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</si>
  <si>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</si>
  <si>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</si>
  <si>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</si>
  <si>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</si>
  <si>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</si>
  <si>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</si>
  <si>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</si>
  <si>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</si>
  <si>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</si>
  <si>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</si>
  <si>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</si>
  <si>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</si>
  <si>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</si>
  <si>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</si>
  <si>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</si>
  <si>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</si>
  <si>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</si>
  <si>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</si>
  <si>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</si>
  <si>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</si>
  <si>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</si>
  <si>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</si>
  <si>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</si>
  <si>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</si>
  <si>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</si>
  <si>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</si>
  <si>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</si>
  <si>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</si>
  <si>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</si>
  <si>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</si>
  <si>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</si>
  <si>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</si>
  <si>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</si>
  <si>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</si>
  <si>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</si>
  <si>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</si>
  <si>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</si>
  <si>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</si>
  <si>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</si>
  <si>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</si>
  <si>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</si>
  <si>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</si>
  <si>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</si>
  <si>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</si>
  <si>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</si>
  <si>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</si>
  <si>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</si>
  <si>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</si>
  <si>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</si>
  <si>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</si>
  <si>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</si>
  <si>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</si>
  <si>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</si>
  <si>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</si>
  <si>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</si>
  <si>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</si>
  <si>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</si>
  <si>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</si>
  <si>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</si>
  <si>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</si>
  <si>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</si>
  <si>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</si>
  <si>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</si>
  <si>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</si>
  <si>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</si>
  <si>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</si>
  <si>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</si>
  <si>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</si>
  <si>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</si>
  <si>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</si>
  <si>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</si>
  <si>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</si>
  <si>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</si>
  <si>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</si>
  <si>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</si>
  <si>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</si>
  <si>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</si>
  <si>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</si>
  <si>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</si>
  <si>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</si>
  <si>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</si>
  <si>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</si>
  <si>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</si>
  <si>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</si>
  <si>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</si>
  <si>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</si>
  <si>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</si>
  <si>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</si>
  <si>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</si>
  <si>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</si>
  <si>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</si>
  <si>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</si>
  <si>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</si>
  <si>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</si>
  <si>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</si>
  <si>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</si>
  <si>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</si>
  <si>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</si>
  <si>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</si>
  <si>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</si>
  <si>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</si>
  <si>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</si>
  <si>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</si>
  <si>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</si>
  <si>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</si>
  <si>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</si>
  <si>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</si>
  <si>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</si>
  <si>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</si>
  <si>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</si>
  <si>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</si>
  <si>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</si>
  <si>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</si>
  <si>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</si>
  <si>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</si>
  <si>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</si>
  <si>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</si>
  <si>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</si>
  <si>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</si>
  <si>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</si>
  <si>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</si>
  <si>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</si>
  <si>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</si>
  <si>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</si>
  <si>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</si>
  <si>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</si>
  <si>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</si>
  <si>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</si>
  <si>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</si>
  <si>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</si>
  <si>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</si>
  <si>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</si>
  <si>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</si>
  <si>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</si>
  <si>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</si>
  <si>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</si>
  <si>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</si>
  <si>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</si>
  <si>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</si>
  <si>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</si>
  <si>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</si>
  <si>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</si>
  <si>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</si>
  <si>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</si>
  <si>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</si>
  <si>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</si>
  <si>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</si>
  <si>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</si>
  <si>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</si>
  <si>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</si>
  <si>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</si>
  <si>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</si>
  <si>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</si>
  <si>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</si>
  <si>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</si>
  <si>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</si>
  <si>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</si>
  <si>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</si>
  <si>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</si>
  <si>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</si>
  <si>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</si>
  <si>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</si>
  <si>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</si>
  <si>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</si>
  <si>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</si>
  <si>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</si>
  <si>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</si>
  <si>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</si>
  <si>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</si>
  <si>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</si>
  <si>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</si>
  <si>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</si>
  <si>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</si>
  <si>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</si>
  <si>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</si>
  <si>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</si>
  <si>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</si>
  <si>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</si>
  <si>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</si>
  <si>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</si>
  <si>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</si>
  <si>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</si>
  <si>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</si>
  <si>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</si>
  <si>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</si>
  <si>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</si>
  <si>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</si>
  <si>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</si>
  <si>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</si>
  <si>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</si>
  <si>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</si>
  <si>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</si>
  <si>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</si>
  <si>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</si>
  <si>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</si>
  <si>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</si>
  <si>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</si>
  <si>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</si>
  <si>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</si>
  <si>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</si>
  <si>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</si>
  <si>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</si>
  <si>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</si>
  <si>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</si>
  <si>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</si>
  <si>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</si>
  <si>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</si>
  <si>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</si>
  <si>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</si>
  <si>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</si>
  <si>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</si>
  <si>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</si>
  <si>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</si>
  <si>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</si>
  <si>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</si>
  <si>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</si>
  <si>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</si>
  <si>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</si>
  <si>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</si>
  <si>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</si>
  <si>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</si>
  <si>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</si>
  <si>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</si>
  <si>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</si>
  <si>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</si>
  <si>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</si>
  <si>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</si>
  <si>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</si>
  <si>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</si>
  <si>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</si>
  <si>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</si>
  <si>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</si>
  <si>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</si>
  <si>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</si>
  <si>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</si>
  <si>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</si>
  <si>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</si>
  <si>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</si>
  <si>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</si>
  <si>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</si>
  <si>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</si>
  <si>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</si>
  <si>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</si>
  <si>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</si>
  <si>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</si>
  <si>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</si>
  <si>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</si>
  <si>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</si>
  <si>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</si>
  <si>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</si>
  <si>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</si>
  <si>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</si>
  <si>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</si>
  <si>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</si>
  <si>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</si>
  <si>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</si>
  <si>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</si>
  <si>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</si>
  <si>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</si>
  <si>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</si>
  <si>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</si>
  <si>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</si>
  <si>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</si>
  <si>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</si>
  <si>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</si>
  <si>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</si>
  <si>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</si>
  <si>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</si>
  <si>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</si>
  <si>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</si>
  <si>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</si>
  <si>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</si>
  <si>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</si>
  <si>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</si>
  <si>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</si>
  <si>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</si>
  <si>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</si>
  <si>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</si>
  <si>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</si>
  <si>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</si>
  <si>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</si>
  <si>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</si>
  <si>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</si>
  <si>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</si>
  <si>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</si>
  <si>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</si>
  <si>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</si>
  <si>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</si>
  <si>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</si>
  <si>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</si>
  <si>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</si>
  <si>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</si>
  <si>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</si>
  <si>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</si>
  <si>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</si>
  <si>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</si>
  <si>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</si>
  <si>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</si>
  <si>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</si>
  <si>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</si>
  <si>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</si>
  <si>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</si>
  <si>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</si>
  <si>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</si>
  <si>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</si>
  <si>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</si>
  <si>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</si>
  <si>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</si>
  <si>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</si>
  <si>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</si>
  <si>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</si>
  <si>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</si>
  <si>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</si>
  <si>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</si>
  <si>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</si>
  <si>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</si>
  <si>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</si>
  <si>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</si>
  <si>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</si>
  <si>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</si>
  <si>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</si>
  <si>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</si>
  <si>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</si>
  <si>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</si>
  <si>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</si>
  <si>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</si>
  <si>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</si>
  <si>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</si>
  <si>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</si>
  <si>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</si>
  <si>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</si>
  <si>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</si>
  <si>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</si>
  <si>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</si>
  <si>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</si>
  <si>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</si>
  <si>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</si>
  <si>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</si>
  <si>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</si>
  <si>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</si>
  <si>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</si>
  <si>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</si>
  <si>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</si>
  <si>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</si>
  <si>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</si>
  <si>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</si>
  <si>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</si>
  <si>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</si>
  <si>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</si>
  <si>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</si>
  <si>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</si>
  <si>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</si>
  <si>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</si>
  <si>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</si>
  <si>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</si>
  <si>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</si>
  <si>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</si>
  <si>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</si>
  <si>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</si>
  <si>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</si>
  <si>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</si>
  <si>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</si>
  <si>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</si>
  <si>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</si>
  <si>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</si>
  <si>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</si>
  <si>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</si>
  <si>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</si>
  <si>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</si>
  <si>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</si>
  <si>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</si>
  <si>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</si>
  <si>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</si>
  <si>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</si>
  <si>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</si>
  <si>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</si>
  <si>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</si>
  <si>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</si>
  <si>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</si>
  <si>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</si>
  <si>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</si>
  <si>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</si>
  <si>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</si>
  <si>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</si>
  <si>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</si>
  <si>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</si>
  <si>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</si>
  <si>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</si>
  <si>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</si>
  <si>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</si>
  <si>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</si>
  <si>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</si>
  <si>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</si>
  <si>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</si>
  <si>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</si>
  <si>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</si>
  <si>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</si>
  <si>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</si>
  <si>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</si>
  <si>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</si>
  <si>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</si>
  <si>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</si>
  <si>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</si>
  <si>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</si>
  <si>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</si>
  <si>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</si>
  <si>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</si>
  <si>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</si>
  <si>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</si>
  <si>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</si>
  <si>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</si>
  <si>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</si>
  <si>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</si>
  <si>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</si>
  <si>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</si>
  <si>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</si>
  <si>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</si>
  <si>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</si>
  <si>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</si>
  <si>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</si>
  <si>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</si>
  <si>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</si>
  <si>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</si>
  <si>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</si>
  <si>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</si>
  <si>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</si>
  <si>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</si>
  <si>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</si>
  <si>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</si>
  <si>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</si>
  <si>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</si>
  <si>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</si>
  <si>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</si>
  <si>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</si>
  <si>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</si>
  <si>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</si>
  <si>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</si>
  <si>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</si>
  <si>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</si>
  <si>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</si>
  <si>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</si>
  <si>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</si>
  <si>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</si>
  <si>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</si>
  <si>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</si>
  <si>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</si>
  <si>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</si>
  <si>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</si>
  <si>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</si>
  <si>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</si>
  <si>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</si>
  <si>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</si>
  <si>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</si>
  <si>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</si>
  <si>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</si>
  <si>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</si>
  <si>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吴薇</t>
  </si>
  <si>
    <t>崔锴</t>
  </si>
  <si>
    <t>抵押</t>
  </si>
  <si>
    <t>房地产抵押价值</t>
  </si>
  <si>
    <t>北京市</t>
  </si>
  <si>
    <t>企业</t>
  </si>
  <si>
    <t>出让</t>
  </si>
  <si>
    <t>通路</t>
  </si>
  <si>
    <t>通电</t>
  </si>
  <si>
    <t>通讯</t>
  </si>
  <si>
    <t>通上水</t>
  </si>
  <si>
    <t>通下水</t>
  </si>
  <si>
    <t>现房</t>
  </si>
  <si>
    <t>办公项目</t>
  </si>
  <si>
    <t>无</t>
  </si>
  <si>
    <t>否</t>
  </si>
  <si>
    <t>是</t>
  </si>
  <si>
    <t>地上</t>
  </si>
  <si>
    <t>办公楼</t>
  </si>
  <si>
    <t>地下</t>
  </si>
  <si>
    <t>办公</t>
    <phoneticPr fontId="7" type="noConversion"/>
  </si>
  <si>
    <t>成新度</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</si>
  <si>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</si>
  <si>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</si>
  <si>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</si>
  <si>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</si>
  <si>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</si>
  <si>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</si>
  <si>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</si>
  <si>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</si>
  <si>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</si>
  <si>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</si>
  <si>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</si>
  <si>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</si>
  <si>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</si>
  <si>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</si>
  <si>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</si>
  <si>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</si>
  <si>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北京市石景山区中关村科技园石景山园北Ⅱ区西井地块土地一级开发项目1606-034地块B1商业用地</t>
  </si>
  <si>
    <t>商业/办公用地</t>
  </si>
  <si>
    <t>≤4.0</t>
  </si>
  <si>
    <t>挂牌</t>
  </si>
  <si>
    <t>B1商业用地</t>
  </si>
  <si>
    <t>2020-12-14</t>
  </si>
  <si>
    <t>中关村发展集团股份有限公司、北京石景山产业发展有限公司联合体</t>
  </si>
  <si>
    <t>5星</t>
  </si>
  <si>
    <t>北京市海淀区西八里庄0711-652、640、641地块B4综合性商业金融服务业用地</t>
  </si>
  <si>
    <t>0711一652≤4.5,0711一640≤1.7,0711一641≤1.3</t>
  </si>
  <si>
    <t>B4综合性商业金融服务业用地</t>
  </si>
  <si>
    <t>2020-12-02</t>
  </si>
  <si>
    <t>中国电建地产集团有限公司</t>
  </si>
  <si>
    <t>北京市朝阳区望京花家地西里三组团配套综合楼1006-605地块B4商业金融用地</t>
  </si>
  <si>
    <t>≤3</t>
  </si>
  <si>
    <t>B4商业金融用地</t>
  </si>
  <si>
    <t>2020-04-02</t>
  </si>
  <si>
    <t>北京金隅嘉业房地产开发有限公司</t>
  </si>
  <si>
    <t>北京市昌平区朱辛庄新区(二期)土地一级开发项目ZXZ-010地块F3其他类多功能用地</t>
  </si>
  <si>
    <t>F3其他类多功能用地</t>
  </si>
  <si>
    <t>北京裕聪置业有限公司</t>
  </si>
  <si>
    <t>4星</t>
  </si>
  <si>
    <t>北京市石景山区古城南街东侧(首钢园区东南区)1612-769、775等地块B4综合性商业金融服务业用地</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</si>
  <si>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</si>
  <si>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</si>
  <si>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</si>
  <si>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</si>
  <si>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</si>
  <si>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</si>
  <si>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</si>
  <si>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</si>
  <si>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</si>
  <si>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</si>
  <si>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</si>
  <si>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</si>
  <si>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</si>
  <si>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</si>
  <si>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</si>
  <si>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</si>
  <si>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</si>
  <si>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</si>
  <si>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</si>
  <si>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北京市昌平区沙河镇七里渠南北村土地一级开发项目QLQ-004地块B4综合性商业金融服务业用地</t>
  </si>
  <si>
    <t>2018-11-26</t>
  </si>
  <si>
    <t>时代好未来教育科技(北京)有限公司</t>
  </si>
  <si>
    <t>北京市朝阳区奥林匹克公园中心区B23等地块B4综合性商业金融服务业用地、F3其他类多功能用地</t>
  </si>
  <si>
    <t>2018-11-05</t>
  </si>
  <si>
    <t>北京北辰实业集团有限责任公司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</si>
  <si>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</si>
  <si>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</si>
  <si>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</si>
  <si>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</si>
  <si>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</si>
  <si>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</si>
  <si>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</si>
  <si>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</si>
  <si>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</si>
  <si>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3星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</si>
  <si>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</si>
  <si>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</si>
  <si>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</si>
  <si>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</si>
  <si>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</si>
  <si>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</si>
  <si>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北京市门头沟区龙泉镇MC00-0010-6004地块B2商务用地</t>
  </si>
  <si>
    <t>B2商务用地</t>
  </si>
  <si>
    <t>2017-09-07</t>
  </si>
  <si>
    <t>北京象地房地产开发有限公司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</si>
  <si>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</si>
  <si>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</si>
  <si>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</si>
  <si>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</si>
  <si>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</si>
  <si>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</si>
  <si>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</si>
  <si>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</si>
  <si>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</si>
  <si>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</si>
  <si>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</si>
  <si>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</si>
  <si>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</si>
  <si>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</si>
  <si>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</si>
  <si>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</si>
  <si>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</si>
  <si>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</si>
  <si>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</si>
  <si>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</si>
  <si>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</si>
  <si>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</si>
  <si>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</si>
  <si>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</si>
  <si>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</si>
  <si>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</si>
  <si>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</si>
  <si>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</si>
  <si>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</si>
  <si>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</si>
  <si>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</si>
  <si>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</si>
  <si>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</si>
  <si>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</si>
  <si>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石景山区实兴大街(中关村科技园区石景山园北Ⅰ区)1605-648地块</t>
  </si>
  <si>
    <t>朝阳区黑庄户乡黑庄户村32-125地块</t>
  </si>
  <si>
    <t>2015-09-11</t>
  </si>
  <si>
    <t>北京农产品中央物流园有限公司</t>
  </si>
  <si>
    <t>2星</t>
  </si>
  <si>
    <t>门头沟区门头沟新城MC00-0017-6002地块(S1线区域组团02地块西北侧地块)</t>
  </si>
  <si>
    <t>2015-02-10</t>
  </si>
  <si>
    <t>朝阳区太阳宫乡0301-615、0301-616地块</t>
  </si>
  <si>
    <t>S2广场用地、C2商业金融用地</t>
  </si>
  <si>
    <t>绿地控股集团有限公司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</si>
  <si>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</si>
  <si>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</si>
  <si>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</si>
  <si>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</si>
  <si>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</si>
  <si>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北京威凯建设发展有限责任公司</t>
  </si>
  <si>
    <t>石景山区香山南路28号C2商业金融用地</t>
  </si>
  <si>
    <t>C2商业金融用地</t>
  </si>
  <si>
    <t>2014-08-20</t>
  </si>
  <si>
    <t>启迪控股股份有限公司</t>
  </si>
  <si>
    <t>海淀北部地区整体开发中关村翠湖科技园HD-0302-194、HD-0302-223地块C2商业金融用地</t>
  </si>
  <si>
    <t>2014-08-04</t>
  </si>
  <si>
    <t>海淀北部地区整体开发中关村翠湖科技园HD-0302-195、HD-0302-224地块C2商业金融用地</t>
  </si>
  <si>
    <t>昌平区南邵镇(中关村科技园区昌平园东区二期)0303-16地块C3文化娱乐用地</t>
  </si>
  <si>
    <t>C3文化娱乐用地</t>
  </si>
  <si>
    <t>2014-07-17</t>
  </si>
  <si>
    <t>北京世纪华盛科技发展有限公司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</si>
  <si>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</si>
  <si>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</si>
  <si>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</si>
  <si>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</si>
  <si>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</si>
  <si>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</si>
  <si>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</si>
  <si>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</si>
  <si>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</si>
  <si>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昌平区北七家镇(未来科技城南区)CP07-0600-0008、0011、0016、0017、0018、0020、0021地块F3其它类多功能用地</t>
  </si>
  <si>
    <t>F3其它类多功能用地</t>
  </si>
  <si>
    <t>2014-01-13</t>
  </si>
  <si>
    <t>北京未来科技城开发建设有限公司和北京未来科技城置业有限公司联合体</t>
  </si>
  <si>
    <t>昌平区东小口镇G06-2、G06-4、G09-1地块C2商业金融用地、R22居住小区级配套公建项目用地</t>
  </si>
  <si>
    <t>C2商业金融用地、R22居住小区级配套公建</t>
  </si>
  <si>
    <t>2013-11-21</t>
  </si>
  <si>
    <t>北京首都开发股份有限公司</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</si>
  <si>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</si>
  <si>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</si>
  <si>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</si>
  <si>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</si>
  <si>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</si>
  <si>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</si>
  <si>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</si>
  <si>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门头沟区门头沟新城MC04-149地块F3其它类多功能用地</t>
  </si>
  <si>
    <t>2013-09-26</t>
  </si>
  <si>
    <t>北京锦华盛业装饰工程有限公司</t>
  </si>
  <si>
    <t>海淀区清河路(三建平房宿舍区危改土地一级开发项目)C2商业金融用地</t>
  </si>
  <si>
    <t>2013-07-01</t>
  </si>
  <si>
    <t>北京利京置地房地产开发有限责任公司和北京中联科科技投资有限公司联合体</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</si>
  <si>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</si>
  <si>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</si>
  <si>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</si>
  <si>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</si>
  <si>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</si>
  <si>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</si>
  <si>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正常</t>
  </si>
  <si>
    <t>F3</t>
  </si>
  <si>
    <t>F3</t>
    <phoneticPr fontId="31" type="noConversion"/>
  </si>
  <si>
    <t>B23</t>
  </si>
  <si>
    <t>B23</t>
    <phoneticPr fontId="31" type="noConversion"/>
  </si>
  <si>
    <t>较好</t>
  </si>
  <si>
    <t>好</t>
  </si>
  <si>
    <t>50</t>
    <phoneticPr fontId="31" type="noConversion"/>
  </si>
  <si>
    <t>收益法</t>
  </si>
  <si>
    <t>押一</t>
  </si>
  <si>
    <t>按租金收入计税</t>
  </si>
  <si>
    <t>非生产用房</t>
  </si>
  <si>
    <t>钢混</t>
  </si>
  <si>
    <t>住宅</t>
  </si>
  <si>
    <t>未包含在土地购买价格中</t>
  </si>
  <si>
    <t>全部缴纳</t>
  </si>
  <si>
    <t>已包含在土地取得成本中</t>
  </si>
  <si>
    <t>总价</t>
  </si>
  <si>
    <t>成本比率</t>
  </si>
  <si>
    <t>成本法</t>
  </si>
  <si>
    <r>
      <t>9</t>
    </r>
    <r>
      <rPr>
        <sz val="10"/>
        <color indexed="8"/>
        <rFont val="宋体"/>
        <family val="3"/>
        <charset val="134"/>
      </rPr>
      <t>号院</t>
    </r>
    <r>
      <rPr>
        <sz val="10"/>
        <color indexed="8"/>
        <rFont val="Arial"/>
        <family val="2"/>
      </rPr>
      <t>1</t>
    </r>
    <r>
      <rPr>
        <sz val="10"/>
        <color indexed="8"/>
        <rFont val="宋体"/>
        <family val="3"/>
        <charset val="134"/>
      </rPr>
      <t>号楼</t>
    </r>
    <phoneticPr fontId="3" type="noConversion"/>
  </si>
  <si>
    <r>
      <t>9</t>
    </r>
    <r>
      <rPr>
        <sz val="10"/>
        <color indexed="8"/>
        <rFont val="宋体"/>
        <family val="3"/>
        <charset val="134"/>
      </rPr>
      <t>号院</t>
    </r>
    <r>
      <rPr>
        <sz val="10"/>
        <color indexed="8"/>
        <rFont val="Arial"/>
        <family val="2"/>
      </rPr>
      <t>2号楼</t>
    </r>
    <r>
      <rPr>
        <sz val="10"/>
        <color indexed="8"/>
        <rFont val="宋体"/>
        <family val="3"/>
        <charset val="134"/>
      </rPr>
      <t/>
    </r>
  </si>
  <si>
    <r>
      <t>9</t>
    </r>
    <r>
      <rPr>
        <sz val="10"/>
        <color indexed="8"/>
        <rFont val="宋体"/>
        <family val="3"/>
        <charset val="134"/>
      </rPr>
      <t>号院</t>
    </r>
    <r>
      <rPr>
        <sz val="10"/>
        <color indexed="8"/>
        <rFont val="Arial"/>
        <family val="2"/>
      </rPr>
      <t>5号楼</t>
    </r>
    <r>
      <rPr>
        <sz val="10"/>
        <color indexed="8"/>
        <rFont val="宋体"/>
        <family val="3"/>
        <charset val="134"/>
      </rPr>
      <t/>
    </r>
  </si>
  <si>
    <r>
      <t>9</t>
    </r>
    <r>
      <rPr>
        <sz val="10"/>
        <color indexed="8"/>
        <rFont val="宋体"/>
        <family val="3"/>
        <charset val="134"/>
      </rPr>
      <t>号院</t>
    </r>
    <r>
      <rPr>
        <sz val="10"/>
        <color indexed="8"/>
        <rFont val="Arial"/>
        <family val="2"/>
      </rPr>
      <t>4</t>
    </r>
    <r>
      <rPr>
        <sz val="10"/>
        <color indexed="8"/>
        <rFont val="宋体"/>
        <family val="3"/>
        <charset val="134"/>
      </rPr>
      <t>号楼</t>
    </r>
    <phoneticPr fontId="3" type="noConversion"/>
  </si>
  <si>
    <t>车库</t>
  </si>
  <si>
    <t>车库</t>
    <phoneticPr fontId="7" type="noConversion"/>
  </si>
  <si>
    <t>收益法 (2)</t>
  </si>
  <si>
    <t>收益法 (2)</t>
    <phoneticPr fontId="16" type="noConversion"/>
  </si>
  <si>
    <t>收益法（汇总）</t>
  </si>
  <si>
    <t>自定义</t>
  </si>
  <si>
    <t>地下室</t>
    <phoneticPr fontId="3" type="noConversion"/>
  </si>
  <si>
    <r>
      <t>9</t>
    </r>
    <r>
      <rPr>
        <sz val="10"/>
        <color indexed="8"/>
        <rFont val="宋体"/>
        <family val="3"/>
        <charset val="134"/>
      </rPr>
      <t>号院</t>
    </r>
    <r>
      <rPr>
        <sz val="10"/>
        <color indexed="8"/>
        <rFont val="Arial"/>
        <family val="2"/>
      </rPr>
      <t>3</t>
    </r>
    <r>
      <rPr>
        <sz val="10"/>
        <color indexed="8"/>
        <rFont val="宋体"/>
        <family val="3"/>
        <charset val="134"/>
      </rPr>
      <t>号楼</t>
    </r>
    <phoneticPr fontId="3" type="noConversion"/>
  </si>
  <si>
    <r>
      <t>9</t>
    </r>
    <r>
      <rPr>
        <sz val="10"/>
        <color indexed="8"/>
        <rFont val="宋体"/>
        <family val="3"/>
        <charset val="134"/>
      </rPr>
      <t>号院</t>
    </r>
    <r>
      <rPr>
        <sz val="10"/>
        <color indexed="8"/>
        <rFont val="Arial"/>
        <family val="2"/>
      </rPr>
      <t>6</t>
    </r>
    <r>
      <rPr>
        <sz val="10"/>
        <color indexed="8"/>
        <rFont val="宋体"/>
        <family val="3"/>
        <charset val="134"/>
      </rPr>
      <t>号楼</t>
    </r>
    <phoneticPr fontId="3" type="noConversion"/>
  </si>
  <si>
    <t>50</t>
    <phoneticPr fontId="31" type="noConversion"/>
  </si>
  <si>
    <t>一般</t>
  </si>
  <si>
    <t>七通</t>
  </si>
  <si>
    <t>较规则</t>
  </si>
  <si>
    <t>较适宜</t>
  </si>
  <si>
    <t>五通</t>
  </si>
  <si>
    <t>六通</t>
  </si>
  <si>
    <t>较规则</t>
    <phoneticPr fontId="3" type="noConversion"/>
  </si>
  <si>
    <t>较适宜</t>
    <phoneticPr fontId="3" type="noConversion"/>
  </si>
  <si>
    <t>七通</t>
    <phoneticPr fontId="3" type="noConversion"/>
  </si>
  <si>
    <t>六通</t>
    <phoneticPr fontId="3" type="noConversion"/>
  </si>
  <si>
    <t>五通</t>
    <phoneticPr fontId="3" type="noConversion"/>
  </si>
  <si>
    <t>较好</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</si>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</sst>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6" fontId="118"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176" fontId="55" fillId="0" borderId="1" xfId="0" applyNumberFormat="1"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14" fontId="46" fillId="13" borderId="0" xfId="0"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24;&#24179;&#21306;&#29983;&#21629;&#22253;20&#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
          <cell r="D5">
            <v>12501.51</v>
          </cell>
        </row>
        <row r="15">
          <cell r="D15">
            <v>31420.65</v>
          </cell>
        </row>
      </sheetData>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吴薇（注册号：1419970001)、崔锴（注册号：1120100036)</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估价对象为北京市房地产，为所有。根据《国有土地使用证》[]，估价对象（分摊）出让国有建设用地使用权面积为41486.36平方米，建筑面积为131855.63平方米。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估价对象为北京市房地产,属开发建设的办公项目，该项目尚在开发建设中。根据《国有土地使用证》[]，估价对象（分摊）出让国有建设用地使用权面积为41486.36平方米，规划建筑面积为131855.63平方米。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2021年4月28日（评估专业人员实地查勘之日）</v>
      </c>
    </row>
    <row r="13" spans="1:2" s="1364" customFormat="1">
      <c r="A13" s="1362" t="s">
        <v>1194</v>
      </c>
      <c r="B13" s="1363" t="str">
        <f>'预评函-1'!A18</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223730</v>
      </c>
    </row>
    <row r="21" spans="1:2" s="1364" customFormat="1">
      <c r="A21" s="1362" t="s">
        <v>1202</v>
      </c>
      <c r="B21" s="1363">
        <f ca="1">'预评函-2'!D7</f>
        <v>16968</v>
      </c>
    </row>
    <row r="22" spans="1:2" s="1364" customFormat="1">
      <c r="A22" s="1362" t="s">
        <v>1203</v>
      </c>
      <c r="B22" s="1363" t="str">
        <f ca="1">'预评函-2'!D6</f>
        <v>贰拾贰亿叁仟柒佰叁拾万元整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223730</v>
      </c>
    </row>
    <row r="31" spans="1:2" s="1364" customFormat="1">
      <c r="A31" s="1362" t="s">
        <v>1241</v>
      </c>
      <c r="B31" s="1363">
        <f ca="1">'预评函-2'!D15</f>
        <v>16968</v>
      </c>
    </row>
    <row r="32" spans="1:2" s="1364" customFormat="1">
      <c r="A32" s="1362" t="s">
        <v>1208</v>
      </c>
      <c r="B32" s="1363" t="str">
        <f ca="1">'预评函-2'!D14</f>
        <v>贰拾贰亿叁仟柒佰叁拾万元整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131855.63</v>
      </c>
    </row>
    <row r="44" spans="1:2" s="1364" customFormat="1">
      <c r="A44" s="1362" t="s">
        <v>1240</v>
      </c>
      <c r="B44" s="1363" t="str">
        <f>'预评函-3'!C2</f>
        <v>(分摊)土地面积</v>
      </c>
    </row>
    <row r="45" spans="1:2" s="1364" customFormat="1">
      <c r="A45" s="1362" t="s">
        <v>1212</v>
      </c>
      <c r="B45" s="1363">
        <f>'预评函-3'!C4</f>
        <v>41486.36</v>
      </c>
    </row>
    <row r="46" spans="1:2" s="1364" customFormat="1">
      <c r="A46" s="1362" t="s">
        <v>1238</v>
      </c>
      <c r="B46" s="1363" t="str">
        <f>'预评函-3'!D2</f>
        <v>出让国有建设用地使用权价值</v>
      </c>
    </row>
    <row r="47" spans="1:2" s="1364" customFormat="1">
      <c r="A47" s="1362" t="s">
        <v>1213</v>
      </c>
      <c r="B47" s="1363">
        <f ca="1">'预评函-3'!D4</f>
        <v>170259</v>
      </c>
    </row>
    <row r="48" spans="1:2" s="1364" customFormat="1">
      <c r="A48" s="1362" t="s">
        <v>1214</v>
      </c>
      <c r="B48" s="1363">
        <f ca="1">'预评函-3'!E4</f>
        <v>12913</v>
      </c>
    </row>
    <row r="49" spans="1:2" s="1364" customFormat="1">
      <c r="A49" s="1362" t="s">
        <v>1215</v>
      </c>
      <c r="B49" s="1363" t="str">
        <f ca="1">'预评函-3'!D5</f>
        <v>壹拾柒亿零贰佰伍拾玖万元整</v>
      </c>
    </row>
    <row r="50" spans="1:2" s="1364" customFormat="1">
      <c r="A50" s="1362" t="s">
        <v>1239</v>
      </c>
      <c r="B50" s="1363" t="str">
        <f>'预评函-3'!F2</f>
        <v>在建建筑物价值</v>
      </c>
    </row>
    <row r="51" spans="1:2" s="1364" customFormat="1">
      <c r="A51" s="1362" t="s">
        <v>1216</v>
      </c>
      <c r="B51" s="1363">
        <f ca="1">'预评函-3'!F4</f>
        <v>53471</v>
      </c>
    </row>
    <row r="52" spans="1:2" s="1364" customFormat="1">
      <c r="A52" s="1362" t="s">
        <v>1217</v>
      </c>
      <c r="B52" s="1363">
        <f ca="1">'预评函-3'!G4</f>
        <v>4055</v>
      </c>
    </row>
    <row r="53" spans="1:2" s="1364" customFormat="1">
      <c r="A53" s="1362" t="s">
        <v>1245</v>
      </c>
      <c r="B53" s="1363" t="str">
        <f ca="1">'预评函-3'!F5</f>
        <v>伍亿叁仟肆佰柒拾壹万元整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崔锴</v>
      </c>
    </row>
    <row r="73" spans="1:2" s="1358" customFormat="1" ht="15" thickBot="1">
      <c r="A73" s="1365" t="s">
        <v>1230</v>
      </c>
      <c r="B73" s="1366">
        <f ca="1">'预评函-4'!B5</f>
        <v>1120100036</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B25" sqref="B25"/>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3293</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45" zoomScaleNormal="100" zoomScaleSheetLayoutView="145" workbookViewId="0">
      <selection activeCell="F2" sqref="F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44314</v>
      </c>
      <c r="C3" s="2598" t="s">
        <v>2918</v>
      </c>
      <c r="D3" s="2597">
        <f>B3</f>
        <v>44314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3063</v>
      </c>
      <c r="C4" s="2600">
        <f ca="1">SUMIF(注册房地产估价师,B4,估价师及机构信息!B3:B24)</f>
        <v>1419970001</v>
      </c>
      <c r="D4" s="2599" t="s">
        <v>3064</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3065</v>
      </c>
      <c r="C8" s="2614"/>
      <c r="D8" s="3118" t="s">
        <v>2924</v>
      </c>
      <c r="E8" s="2615" t="s">
        <v>3066</v>
      </c>
      <c r="F8" s="2616"/>
      <c r="G8" s="2890"/>
      <c r="H8" s="2890"/>
      <c r="I8" s="2890"/>
      <c r="J8" s="2665"/>
      <c r="K8" s="2840"/>
      <c r="L8" s="2839"/>
      <c r="M8" s="2839"/>
      <c r="N8" s="2665"/>
      <c r="O8" s="2676"/>
      <c r="P8" s="2665"/>
      <c r="Q8" s="2665"/>
      <c r="R8" s="2665"/>
    </row>
    <row r="9" spans="1:28" ht="13.5" thickBot="1">
      <c r="A9" s="2617" t="s">
        <v>2925</v>
      </c>
      <c r="B9" s="2618" t="s">
        <v>3066</v>
      </c>
      <c r="C9" s="2619"/>
      <c r="D9" s="3119"/>
      <c r="E9" s="2618" t="s">
        <v>70</v>
      </c>
      <c r="F9" s="2620"/>
      <c r="G9" s="2892"/>
      <c r="H9" s="2892"/>
      <c r="I9" s="2892"/>
      <c r="J9" s="2665"/>
      <c r="K9" s="2842"/>
      <c r="L9" s="2839"/>
      <c r="M9" s="2839"/>
      <c r="N9" s="2665"/>
      <c r="O9" s="2676"/>
      <c r="P9" s="2665"/>
      <c r="Q9" s="2665"/>
      <c r="R9" s="2665"/>
    </row>
    <row r="10" spans="1:28" ht="13.5" thickTop="1">
      <c r="A10" s="2621" t="s">
        <v>2926</v>
      </c>
      <c r="B10" s="2622" t="s">
        <v>3067</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3068</v>
      </c>
      <c r="C11" s="2627"/>
      <c r="D11" s="2628"/>
      <c r="E11" s="2594"/>
      <c r="F11" s="2594"/>
      <c r="G11" s="2594"/>
      <c r="H11" s="2594"/>
      <c r="I11" s="2594"/>
      <c r="J11" s="2665"/>
      <c r="K11" s="2842"/>
      <c r="L11" s="2839"/>
      <c r="M11" s="2839"/>
      <c r="N11" s="2665"/>
      <c r="O11" s="2676"/>
      <c r="P11" s="2665"/>
      <c r="Q11" s="2665"/>
      <c r="R11" s="2665"/>
    </row>
    <row r="12" spans="1:28">
      <c r="A12" s="2629" t="s">
        <v>2929</v>
      </c>
      <c r="B12" s="2626" t="s">
        <v>3069</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c r="F13" s="965">
        <v>60490</v>
      </c>
      <c r="G13" s="965">
        <v>60490</v>
      </c>
      <c r="H13" s="965"/>
      <c r="I13" s="965"/>
      <c r="J13" s="2665"/>
      <c r="K13" s="2842"/>
      <c r="L13" s="2839"/>
      <c r="M13" s="2839"/>
      <c r="N13" s="2665"/>
      <c r="O13" s="2676"/>
      <c r="P13" s="2665"/>
      <c r="Q13" s="2665"/>
      <c r="R13" s="2665"/>
    </row>
    <row r="14" spans="1:28">
      <c r="A14" s="1241"/>
      <c r="B14" s="2631"/>
      <c r="C14" s="2632" t="s">
        <v>2938</v>
      </c>
      <c r="D14" s="2633"/>
      <c r="E14" s="2633"/>
      <c r="F14" s="2633">
        <v>50</v>
      </c>
      <c r="G14" s="2633">
        <v>50</v>
      </c>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t="str">
        <f>IF(B12="出让",IF(E13="","",ROUNDDOWN(MIN((E13-$D$3)/365,E14),2)),E14)</f>
        <v/>
      </c>
      <c r="F15" s="2636">
        <f>IF(B12="出让",IF(F13="","",ROUNDDOWN(MIN((F13-$D$3)/365,F14),2)),F14)</f>
        <v>44.31</v>
      </c>
      <c r="G15" s="2636">
        <f>IF(B12="出让",IF(G13="","",ROUNDDOWN(MIN((G13-$D$3)/365,G14),2)),G14)</f>
        <v>44.31</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5"/>
      <c r="C16" s="3126"/>
      <c r="D16" s="3127"/>
      <c r="E16" s="2639" t="s">
        <v>2941</v>
      </c>
      <c r="F16" s="3128"/>
      <c r="G16" s="3129"/>
      <c r="H16" s="3129"/>
      <c r="I16" s="3130"/>
      <c r="J16" s="2665"/>
      <c r="K16" s="2844"/>
      <c r="L16" s="2677"/>
      <c r="M16" s="2677"/>
      <c r="N16" s="2735"/>
      <c r="O16" s="2677"/>
      <c r="P16" s="2735"/>
      <c r="Q16" s="2665"/>
      <c r="R16" s="2665"/>
    </row>
    <row r="17" spans="1:28">
      <c r="A17" s="319" t="s">
        <v>2942</v>
      </c>
      <c r="B17" s="308" t="s">
        <v>2943</v>
      </c>
      <c r="C17" s="11">
        <f>'数据-汇总表'!E3</f>
        <v>131855.63</v>
      </c>
      <c r="D17" s="2545" t="s">
        <v>2944</v>
      </c>
      <c r="E17" s="3131" t="s">
        <v>2945</v>
      </c>
      <c r="F17" s="3132"/>
      <c r="G17" s="3132"/>
      <c r="H17" s="3132"/>
      <c r="I17" s="3133"/>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41486.36</v>
      </c>
      <c r="D18" s="1252" t="s">
        <v>2948</v>
      </c>
      <c r="E18" s="3134" t="s">
        <v>2949</v>
      </c>
      <c r="F18" s="3135"/>
      <c r="G18" s="3135"/>
      <c r="H18" s="3135"/>
      <c r="I18" s="3136"/>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21" t="s">
        <v>2953</v>
      </c>
      <c r="C20" s="3122"/>
      <c r="D20" s="3123" t="s">
        <v>2954</v>
      </c>
      <c r="E20" s="3124"/>
      <c r="F20" s="2874" t="s">
        <v>1742</v>
      </c>
      <c r="G20" s="2891"/>
      <c r="H20" s="2891"/>
      <c r="I20" s="2891"/>
      <c r="J20" s="2665"/>
      <c r="K20" s="3120"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8" t="s">
        <v>2961</v>
      </c>
      <c r="B27" s="326" t="s">
        <v>2962</v>
      </c>
      <c r="C27" s="2642" t="s">
        <v>3076</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8"/>
      <c r="B28" s="308" t="s">
        <v>2963</v>
      </c>
      <c r="C28" s="2644" t="s">
        <v>3077</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8"/>
      <c r="B29" s="308" t="s">
        <v>2964</v>
      </c>
      <c r="C29" s="2646" t="s">
        <v>3078</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9"/>
      <c r="B30" s="308" t="s">
        <v>2965</v>
      </c>
      <c r="C30" s="3140"/>
      <c r="D30" s="3141"/>
      <c r="E30" s="2891"/>
      <c r="F30" s="2891"/>
      <c r="G30" s="2891"/>
      <c r="H30" s="2891"/>
      <c r="I30" s="2891"/>
      <c r="J30" s="2665"/>
      <c r="K30" s="2842"/>
      <c r="L30" s="2839"/>
      <c r="M30" s="2839"/>
      <c r="N30" s="2665"/>
      <c r="O30" s="2676"/>
      <c r="P30" s="2665"/>
      <c r="Q30" s="2665"/>
      <c r="R30" s="2665"/>
      <c r="S30" s="2665"/>
      <c r="T30" s="2665"/>
      <c r="U30" s="2665"/>
      <c r="V30" s="2665"/>
    </row>
    <row r="31" spans="1:28">
      <c r="A31" s="3142" t="s">
        <v>2966</v>
      </c>
      <c r="B31" s="2648" t="s">
        <v>3075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t="s">
        <v>3070</v>
      </c>
      <c r="C34" s="2214" t="s">
        <v>3071</v>
      </c>
      <c r="D34" s="2214" t="s">
        <v>3072</v>
      </c>
      <c r="E34" s="2214" t="s">
        <v>3073</v>
      </c>
      <c r="F34" s="2214" t="s">
        <v>3074</v>
      </c>
      <c r="G34" s="2214"/>
      <c r="H34" s="2214"/>
      <c r="I34" s="2891"/>
      <c r="J34" s="2665"/>
      <c r="K34" s="2653">
        <f>COUNTIF(B34:H34,"——")</f>
        <v>0</v>
      </c>
      <c r="L34" s="329" t="s">
        <v>2968</v>
      </c>
      <c r="M34" s="329" t="s">
        <v>2969</v>
      </c>
      <c r="N34" s="329" t="s">
        <v>2970</v>
      </c>
      <c r="O34" s="329" t="s">
        <v>2971</v>
      </c>
      <c r="P34" s="329" t="s">
        <v>2972</v>
      </c>
      <c r="Q34" s="329" t="s">
        <v>2973</v>
      </c>
      <c r="R34" s="329" t="s">
        <v>2974</v>
      </c>
      <c r="S34" s="3137" t="s">
        <v>2975</v>
      </c>
      <c r="T34" s="2654" t="str">
        <f>NUMBERSTRING(7-K34,1)&amp;"通"</f>
        <v>七通</v>
      </c>
      <c r="U34" s="2665"/>
      <c r="V34" s="2665"/>
    </row>
    <row r="35" spans="1:30">
      <c r="A35" s="2655"/>
      <c r="B35" s="3144" t="s">
        <v>2976</v>
      </c>
      <c r="C35" s="3144"/>
      <c r="D35" s="3144"/>
      <c r="E35" s="3144"/>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37"/>
      <c r="T35" s="335" t="str">
        <f>IF(T34="一通",L35,IF(T34="二通",M35,IF(T34="三通",N35,IF(T34="四通",O35,IF(T34="五通",P35,IF(T34="六通",Q35,R35))))))</f>
        <v>通路、通电、通讯、通上水、通下水、、</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t="s">
        <v>526</v>
      </c>
      <c r="D37" s="2657" t="s">
        <v>526</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t="s">
        <v>432</v>
      </c>
      <c r="D38" s="2658" t="s">
        <v>432</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56732.22</v>
      </c>
      <c r="B3" s="14">
        <f>IF(C3="否",G5-AT5,G5)</f>
        <v>180311.38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180311.38</v>
      </c>
      <c r="H5" s="16">
        <f t="shared" ref="H5:AT5" si="0">SUM(H13:H656)</f>
        <v>172670.81</v>
      </c>
      <c r="I5" s="16">
        <f t="shared" si="0"/>
        <v>122974.56</v>
      </c>
      <c r="J5" s="16">
        <f t="shared" si="0"/>
        <v>0</v>
      </c>
      <c r="K5" s="16">
        <f t="shared" si="0"/>
        <v>32607.03</v>
      </c>
      <c r="L5" s="16">
        <f t="shared" si="0"/>
        <v>0</v>
      </c>
      <c r="M5" s="16">
        <f t="shared" si="0"/>
        <v>17089.22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7640.5700000000006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1768.01</v>
      </c>
      <c r="AM5" s="16">
        <f t="shared" si="0"/>
        <v>0</v>
      </c>
      <c r="AN5" s="16">
        <f t="shared" si="0"/>
        <v>5872.5599999999995</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131855.63</v>
      </c>
      <c r="BA5" s="18">
        <f t="shared" si="1"/>
        <v>127752.53</v>
      </c>
      <c r="BB5" s="18">
        <f t="shared" si="1"/>
        <v>78056.28</v>
      </c>
      <c r="BC5" s="18">
        <f t="shared" si="1"/>
        <v>32607.03</v>
      </c>
      <c r="BD5" s="18">
        <f t="shared" si="1"/>
        <v>17089.22</v>
      </c>
      <c r="BE5" s="18">
        <f t="shared" si="1"/>
        <v>0</v>
      </c>
      <c r="BF5" s="18">
        <f t="shared" si="1"/>
        <v>0</v>
      </c>
      <c r="BG5" s="18">
        <f t="shared" si="1"/>
        <v>0</v>
      </c>
      <c r="BH5" s="18">
        <f t="shared" si="1"/>
        <v>0</v>
      </c>
      <c r="BI5" s="18">
        <f t="shared" si="1"/>
        <v>0</v>
      </c>
      <c r="BJ5" s="18">
        <f t="shared" si="1"/>
        <v>0</v>
      </c>
      <c r="BK5" s="18">
        <f t="shared" si="1"/>
        <v>0</v>
      </c>
      <c r="BL5" s="18">
        <f t="shared" si="1"/>
        <v>4103.1000000000004</v>
      </c>
      <c r="BM5" s="18">
        <f t="shared" si="1"/>
        <v>0</v>
      </c>
      <c r="BN5" s="18">
        <f t="shared" si="1"/>
        <v>0</v>
      </c>
      <c r="BO5" s="18">
        <f t="shared" si="1"/>
        <v>0</v>
      </c>
      <c r="BP5" s="18">
        <f t="shared" si="1"/>
        <v>0</v>
      </c>
      <c r="BQ5" s="18">
        <f t="shared" si="1"/>
        <v>968.61</v>
      </c>
      <c r="BR5" s="18">
        <f t="shared" si="1"/>
        <v>3134.4900000000002</v>
      </c>
      <c r="BS5" s="18">
        <f t="shared" si="1"/>
        <v>0</v>
      </c>
      <c r="BT5" s="19">
        <f t="shared" si="1"/>
        <v>0</v>
      </c>
    </row>
    <row r="6" spans="1:72" s="1774" customFormat="1" ht="12.75">
      <c r="A6" s="15" t="s">
        <v>1758</v>
      </c>
      <c r="B6" s="1771"/>
      <c r="C6" s="1771"/>
      <c r="D6" s="1772"/>
      <c r="E6" s="16">
        <f>H6+AC6+AT6</f>
        <v>56732.219999999994</v>
      </c>
      <c r="F6" s="16" t="s">
        <v>1</v>
      </c>
      <c r="G6" s="16" t="s">
        <v>2</v>
      </c>
      <c r="H6" s="20">
        <f>SUMIF(I$12:AB$12,"总值",I6:AB6)</f>
        <v>54328.229999999996</v>
      </c>
      <c r="I6" s="16">
        <f t="shared" ref="I6:AB6" si="2">ROUND($A$3*I5/$B$3,2)</f>
        <v>38692.07</v>
      </c>
      <c r="J6" s="16">
        <f t="shared" si="2"/>
        <v>0</v>
      </c>
      <c r="K6" s="16">
        <f t="shared" si="2"/>
        <v>10259.299999999999</v>
      </c>
      <c r="L6" s="16">
        <f t="shared" si="2"/>
        <v>0</v>
      </c>
      <c r="M6" s="16">
        <f t="shared" si="2"/>
        <v>5376.86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2403.9899999999998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556.28</v>
      </c>
      <c r="AM6" s="16">
        <f t="shared" si="3"/>
        <v>0</v>
      </c>
      <c r="AN6" s="16">
        <f t="shared" si="3"/>
        <v>1847.71</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41486.36</v>
      </c>
      <c r="AZ6" s="16" t="s">
        <v>3</v>
      </c>
      <c r="BA6" s="16">
        <f>ROUND($AY$6*BA5/$AZ$5,2)</f>
        <v>40195.379999999997</v>
      </c>
      <c r="BB6" s="16">
        <f>ROUND($AY$6*BB5/$AZ$5,2)</f>
        <v>24559.22</v>
      </c>
      <c r="BC6" s="16">
        <f t="shared" ref="BC6:BH6" si="4">ROUND($AY$6*BC5/$AZ$5,2)</f>
        <v>10259.299999999999</v>
      </c>
      <c r="BD6" s="16">
        <f t="shared" si="4"/>
        <v>5376.86</v>
      </c>
      <c r="BE6" s="16">
        <f t="shared" si="4"/>
        <v>0</v>
      </c>
      <c r="BF6" s="16">
        <f t="shared" si="4"/>
        <v>0</v>
      </c>
      <c r="BG6" s="16">
        <f t="shared" si="4"/>
        <v>0</v>
      </c>
      <c r="BH6" s="16">
        <f t="shared" si="4"/>
        <v>0</v>
      </c>
      <c r="BI6" s="16">
        <f t="shared" ref="BI6:BT6" si="5">ROUND($AY$6*BI5/$AZ$5,2)</f>
        <v>0</v>
      </c>
      <c r="BJ6" s="16">
        <f t="shared" si="5"/>
        <v>0</v>
      </c>
      <c r="BK6" s="16">
        <f t="shared" si="5"/>
        <v>0</v>
      </c>
      <c r="BL6" s="16">
        <f t="shared" si="5"/>
        <v>1290.98</v>
      </c>
      <c r="BM6" s="16">
        <f t="shared" si="5"/>
        <v>0</v>
      </c>
      <c r="BN6" s="16">
        <f t="shared" si="5"/>
        <v>0</v>
      </c>
      <c r="BO6" s="16">
        <f t="shared" si="5"/>
        <v>0</v>
      </c>
      <c r="BP6" s="16">
        <f t="shared" si="5"/>
        <v>0</v>
      </c>
      <c r="BQ6" s="16">
        <f t="shared" si="5"/>
        <v>304.76</v>
      </c>
      <c r="BR6" s="16">
        <f t="shared" si="5"/>
        <v>986.22</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t="s">
        <v>3082</v>
      </c>
      <c r="L9" s="918"/>
      <c r="M9" s="1788" t="s">
        <v>3082</v>
      </c>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3290</v>
      </c>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t="s">
        <v>3081</v>
      </c>
      <c r="L11" s="1800"/>
      <c r="M11" s="1799" t="s">
        <v>3290</v>
      </c>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车库</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办公楼</v>
      </c>
      <c r="BD12" s="1809" t="str">
        <f>M11</f>
        <v>车库</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3286</v>
      </c>
      <c r="D13" s="1810" t="s">
        <v>3079</v>
      </c>
      <c r="E13" s="16">
        <f>IF($C$3="是",ROUND($A$3*G13/$B$3,2),ROUND($A$3*(G13-AT13)/$B$3,2))</f>
        <v>4711.04</v>
      </c>
      <c r="F13" s="32"/>
      <c r="G13" s="33">
        <f>H13+AC13+AT13</f>
        <v>14973.039999999999</v>
      </c>
      <c r="H13" s="20">
        <f>SUMIF(I$12:AB$12,"总值",I13:AB13)</f>
        <v>13912.96</v>
      </c>
      <c r="I13" s="1811">
        <v>13912.96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1060.08</v>
      </c>
      <c r="AD13" s="1812"/>
      <c r="AE13" s="1812"/>
      <c r="AF13" s="1812"/>
      <c r="AG13" s="1812"/>
      <c r="AH13" s="1812"/>
      <c r="AI13" s="1812"/>
      <c r="AJ13" s="1812"/>
      <c r="AK13" s="1812"/>
      <c r="AL13" s="1812">
        <v>138.71</v>
      </c>
      <c r="AM13" s="1812"/>
      <c r="AN13" s="1812">
        <v>921.37</v>
      </c>
      <c r="AO13" s="1812"/>
      <c r="AP13" s="1812"/>
      <c r="AQ13" s="1812"/>
      <c r="AR13" s="1812"/>
      <c r="AS13" s="1812"/>
      <c r="AT13" s="1813"/>
      <c r="AU13" s="1814"/>
      <c r="AV13" s="11">
        <f t="shared" ref="AV13:AX17" si="6">A13</f>
        <v>0</v>
      </c>
      <c r="AW13" s="11">
        <f t="shared" si="6"/>
        <v>0</v>
      </c>
      <c r="AX13" s="11" t="str">
        <f t="shared" si="6"/>
        <v>9号院1号楼</v>
      </c>
      <c r="AY13" s="1533">
        <f>ROUND($AY$6*AZ13/$AZ$5,2)</f>
        <v>4711.04</v>
      </c>
      <c r="AZ13" s="16">
        <f>BA13+BL13</f>
        <v>14973.039999999999</v>
      </c>
      <c r="BA13" s="16">
        <f>SUM(BB13:BK13)</f>
        <v>13912.96</v>
      </c>
      <c r="BB13" s="16">
        <f>IF($D13="是",I13-J13,0)</f>
        <v>13912.96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1060.08</v>
      </c>
      <c r="BM13" s="16">
        <f>IF($D13="是",AD13-AE13,0)</f>
        <v>0</v>
      </c>
      <c r="BN13" s="16">
        <f>IF($D13="是",AF13-AG13,0)</f>
        <v>0</v>
      </c>
      <c r="BO13" s="16">
        <f>IF($D13="是",AH13-AI13,0)</f>
        <v>0</v>
      </c>
      <c r="BP13" s="16">
        <f>IF($D13="是",AJ13-AK13,0)</f>
        <v>0</v>
      </c>
      <c r="BQ13" s="16">
        <f>IF($D13="是",AL13-AM13,0)</f>
        <v>138.71</v>
      </c>
      <c r="BR13" s="16">
        <f>IF($D13="是",AN13-AO13,0)</f>
        <v>921.37</v>
      </c>
      <c r="BS13" s="16">
        <f>IF($D13="是",AP13-AQ13,0)</f>
        <v>0</v>
      </c>
      <c r="BT13" s="22">
        <f>IF($D13="是",AR13-AS13,0)</f>
        <v>0</v>
      </c>
    </row>
    <row r="14" spans="1:72" s="1764" customFormat="1" ht="12.75">
      <c r="A14" s="1182"/>
      <c r="B14" s="1182"/>
      <c r="C14" s="1182" t="s">
        <v>3287</v>
      </c>
      <c r="D14" s="1810" t="s">
        <v>3079</v>
      </c>
      <c r="E14" s="16">
        <f>IF($C$3="是",ROUND($A$3*G14/$B$3,2),ROUND($A$3*(G14-AT14)/$B$3,2))</f>
        <v>10464.25</v>
      </c>
      <c r="F14" s="32"/>
      <c r="G14" s="33">
        <f>H14+AC14+AT14</f>
        <v>33258.400000000001</v>
      </c>
      <c r="H14" s="20">
        <f>SUMIF(I$12:AB$12,"总值",I14:AB14)</f>
        <v>31643.040000000001</v>
      </c>
      <c r="I14" s="3067">
        <v>31643.040000000001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1615.3600000000001</v>
      </c>
      <c r="AD14" s="1812"/>
      <c r="AE14" s="1812"/>
      <c r="AF14" s="1812"/>
      <c r="AG14" s="1812"/>
      <c r="AH14" s="1812"/>
      <c r="AI14" s="1812"/>
      <c r="AJ14" s="1812"/>
      <c r="AK14" s="1812"/>
      <c r="AL14" s="1812">
        <v>466.87</v>
      </c>
      <c r="AM14" s="1812"/>
      <c r="AN14" s="1812">
        <v>1148.49</v>
      </c>
      <c r="AO14" s="1812"/>
      <c r="AP14" s="1812"/>
      <c r="AQ14" s="1812"/>
      <c r="AR14" s="1812"/>
      <c r="AS14" s="1812"/>
      <c r="AT14" s="1813"/>
      <c r="AU14" s="1814"/>
      <c r="AV14" s="11">
        <f t="shared" si="6"/>
        <v>0</v>
      </c>
      <c r="AW14" s="11">
        <f t="shared" si="6"/>
        <v>0</v>
      </c>
      <c r="AX14" s="11" t="str">
        <f t="shared" si="6"/>
        <v>9号院2号楼</v>
      </c>
      <c r="AY14" s="1533">
        <f>ROUND($AY$6*AZ14/$AZ$5,2)</f>
        <v>10464.25</v>
      </c>
      <c r="AZ14" s="16">
        <f>BA14+BL14</f>
        <v>33258.400000000001</v>
      </c>
      <c r="BA14" s="16">
        <f>SUM(BB14:BK14)</f>
        <v>31643.040000000001</v>
      </c>
      <c r="BB14" s="16">
        <f>IF($D14="是",I14-J14,0)</f>
        <v>31643.040000000001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1615.3600000000001</v>
      </c>
      <c r="BM14" s="16">
        <f>IF($D14="是",AD14-AE14,0)</f>
        <v>0</v>
      </c>
      <c r="BN14" s="16">
        <f>IF($D14="是",AF14-AG14,0)</f>
        <v>0</v>
      </c>
      <c r="BO14" s="16">
        <f>IF($D14="是",AH14-AI14,0)</f>
        <v>0</v>
      </c>
      <c r="BP14" s="16">
        <f>IF($D14="是",AJ14-AK14,0)</f>
        <v>0</v>
      </c>
      <c r="BQ14" s="16">
        <f>IF($D14="是",AL14-AM14,0)</f>
        <v>466.87</v>
      </c>
      <c r="BR14" s="16">
        <f>IF($D14="是",AN14-AO14,0)</f>
        <v>1148.49</v>
      </c>
      <c r="BS14" s="16">
        <f>IF($D14="是",AP14-AQ14,0)</f>
        <v>0</v>
      </c>
      <c r="BT14" s="22">
        <f>IF($D14="是",AR14-AS14,0)</f>
        <v>0</v>
      </c>
    </row>
    <row r="15" spans="1:72" s="1764" customFormat="1" ht="12.75">
      <c r="A15" s="1182"/>
      <c r="B15" s="1182"/>
      <c r="C15" s="1182" t="s">
        <v>3289</v>
      </c>
      <c r="D15" s="1810" t="s">
        <v>3079</v>
      </c>
      <c r="E15" s="16">
        <f>IF($C$3="是",ROUND($A$3*G15/$B$3,2),ROUND($A$3*(G15-AT15)/$B$3,2))</f>
        <v>5918.87</v>
      </c>
      <c r="F15" s="32"/>
      <c r="G15" s="33">
        <f>H15+AC15+AT15</f>
        <v>18811.879999999997</v>
      </c>
      <c r="H15" s="20">
        <f>SUMIF(I$12:AB$12,"总值",I15:AB15)</f>
        <v>18587.96</v>
      </c>
      <c r="I15" s="3064">
        <v>18587.96</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223.92</v>
      </c>
      <c r="AD15" s="1812"/>
      <c r="AE15" s="1812"/>
      <c r="AF15" s="1812"/>
      <c r="AG15" s="1812"/>
      <c r="AH15" s="1812"/>
      <c r="AI15" s="1812"/>
      <c r="AJ15" s="1812"/>
      <c r="AK15" s="1812"/>
      <c r="AL15" s="1812">
        <v>223.92</v>
      </c>
      <c r="AM15" s="1812"/>
      <c r="AN15" s="1812"/>
      <c r="AO15" s="1812"/>
      <c r="AP15" s="1812"/>
      <c r="AQ15" s="1812"/>
      <c r="AR15" s="1812"/>
      <c r="AS15" s="1812"/>
      <c r="AT15" s="1813"/>
      <c r="AU15" s="1814"/>
      <c r="AV15" s="11">
        <f t="shared" si="6"/>
        <v>0</v>
      </c>
      <c r="AW15" s="11">
        <f t="shared" si="6"/>
        <v>0</v>
      </c>
      <c r="AX15" s="11" t="str">
        <f t="shared" si="6"/>
        <v>9号院4号楼</v>
      </c>
      <c r="AY15" s="1533">
        <f>ROUND($AY$6*AZ15/$AZ$5,2)</f>
        <v>5918.87</v>
      </c>
      <c r="AZ15" s="16">
        <f>BA15+BL15</f>
        <v>18811.879999999997</v>
      </c>
      <c r="BA15" s="16">
        <f>SUM(BB15:BK15)</f>
        <v>18587.96</v>
      </c>
      <c r="BB15" s="16">
        <f>IF($D15="是",I15-J15,0)</f>
        <v>18587.96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223.92</v>
      </c>
      <c r="BM15" s="16">
        <f>IF($D15="是",AD15-AE15,0)</f>
        <v>0</v>
      </c>
      <c r="BN15" s="16">
        <f>IF($D15="是",AF15-AG15,0)</f>
        <v>0</v>
      </c>
      <c r="BO15" s="16">
        <f>IF($D15="是",AH15-AI15,0)</f>
        <v>0</v>
      </c>
      <c r="BP15" s="16">
        <f>IF($D15="是",AJ15-AK15,0)</f>
        <v>0</v>
      </c>
      <c r="BQ15" s="16">
        <f>IF($D15="是",AL15-AM15,0)</f>
        <v>223.92</v>
      </c>
      <c r="BR15" s="16">
        <f>IF($D15="是",AN15-AO15,0)</f>
        <v>0</v>
      </c>
      <c r="BS15" s="16">
        <f>IF($D15="是",AP15-AQ15,0)</f>
        <v>0</v>
      </c>
      <c r="BT15" s="22">
        <f>IF($D15="是",AR15-AS15,0)</f>
        <v>0</v>
      </c>
    </row>
    <row r="16" spans="1:72" s="1764" customFormat="1" ht="12.75">
      <c r="A16" s="1182"/>
      <c r="B16" s="1182"/>
      <c r="C16" s="1182" t="s">
        <v>3288</v>
      </c>
      <c r="D16" s="1810" t="s">
        <v>3079</v>
      </c>
      <c r="E16" s="16">
        <f>IF($C$3="是",ROUND($A$3*G16/$B$3,2),ROUND($A$3*(G16-AT16)/$B$3,2))</f>
        <v>4756.04</v>
      </c>
      <c r="F16" s="32"/>
      <c r="G16" s="33">
        <f>H16+AC16+AT16</f>
        <v>15116.06</v>
      </c>
      <c r="H16" s="20">
        <f>SUMIF(I$12:AB$12,"总值",I16:AB16)</f>
        <v>13912.32</v>
      </c>
      <c r="I16" s="1811">
        <v>13912.32</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1203.7400000000002</v>
      </c>
      <c r="AD16" s="1812"/>
      <c r="AE16" s="1812"/>
      <c r="AF16" s="1812"/>
      <c r="AG16" s="1812"/>
      <c r="AH16" s="1812"/>
      <c r="AI16" s="1812"/>
      <c r="AJ16" s="1812"/>
      <c r="AK16" s="1812"/>
      <c r="AL16" s="1812">
        <v>139.11000000000001</v>
      </c>
      <c r="AM16" s="1812"/>
      <c r="AN16" s="1812">
        <v>1064.6300000000001</v>
      </c>
      <c r="AO16" s="1812"/>
      <c r="AP16" s="1812"/>
      <c r="AQ16" s="1812"/>
      <c r="AR16" s="1812"/>
      <c r="AS16" s="1812"/>
      <c r="AT16" s="1813"/>
      <c r="AU16" s="1814"/>
      <c r="AV16" s="11">
        <f t="shared" si="6"/>
        <v>0</v>
      </c>
      <c r="AW16" s="11">
        <f t="shared" si="6"/>
        <v>0</v>
      </c>
      <c r="AX16" s="11" t="str">
        <f t="shared" si="6"/>
        <v>9号院5号楼</v>
      </c>
      <c r="AY16" s="1533">
        <f>ROUND($AY$6*AZ16/$AZ$5,2)</f>
        <v>4756.04</v>
      </c>
      <c r="AZ16" s="16">
        <f>BA16+BL16</f>
        <v>15116.06</v>
      </c>
      <c r="BA16" s="16">
        <f>SUM(BB16:BK16)</f>
        <v>13912.32</v>
      </c>
      <c r="BB16" s="16">
        <f>IF($D16="是",I16-J16,0)</f>
        <v>13912.32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1203.7400000000002</v>
      </c>
      <c r="BM16" s="16">
        <f>IF($D16="是",AD16-AE16,0)</f>
        <v>0</v>
      </c>
      <c r="BN16" s="16">
        <f>IF($D16="是",AF16-AG16,0)</f>
        <v>0</v>
      </c>
      <c r="BO16" s="16">
        <f>IF($D16="是",AH16-AI16,0)</f>
        <v>0</v>
      </c>
      <c r="BP16" s="16">
        <f>IF($D16="是",AJ16-AK16,0)</f>
        <v>0</v>
      </c>
      <c r="BQ16" s="16">
        <f>IF($D16="是",AL16-AM16,0)</f>
        <v>139.11000000000001</v>
      </c>
      <c r="BR16" s="16">
        <f>IF($D16="是",AN16-AO16,0)</f>
        <v>1064.6300000000001</v>
      </c>
      <c r="BS16" s="16">
        <f>IF($D16="是",AP16-AQ16,0)</f>
        <v>0</v>
      </c>
      <c r="BT16" s="22">
        <f>IF($D16="是",AR16-AS16,0)</f>
        <v>0</v>
      </c>
    </row>
    <row r="17" spans="1:72" s="1764" customFormat="1" ht="12.75">
      <c r="A17" s="1182"/>
      <c r="B17" s="1182"/>
      <c r="C17" s="3068" t="s">
        <v>3296</v>
      </c>
      <c r="D17" s="1810" t="s">
        <v>3079</v>
      </c>
      <c r="E17" s="16">
        <f>IF($C$3="是",ROUND($A$3*G17/$B$3,2),ROUND($A$3*(G17-AT17)/$B$3,2))</f>
        <v>15636.17</v>
      </c>
      <c r="F17" s="32"/>
      <c r="G17" s="33">
        <f>H17+AC17+AT17</f>
        <v>49696.25</v>
      </c>
      <c r="H17" s="20">
        <f>SUMIF(I$12:AB$12,"总值",I17:AB17)</f>
        <v>49696.25</v>
      </c>
      <c r="I17" s="1811"/>
      <c r="J17" s="1811"/>
      <c r="K17" s="1811">
        <v>32607.03</v>
      </c>
      <c r="L17" s="1811"/>
      <c r="M17" s="1811">
        <f>49696.25-K17</f>
        <v>17089.22</v>
      </c>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地下室</v>
      </c>
      <c r="AY17" s="1533">
        <f>ROUND($AY$6*AZ17/$AZ$5,2)</f>
        <v>15636.17</v>
      </c>
      <c r="AZ17" s="16">
        <f>BA17+BL17</f>
        <v>49696.25</v>
      </c>
      <c r="BA17" s="16">
        <f>SUM(BB17:BK17)</f>
        <v>49696.25</v>
      </c>
      <c r="BB17" s="16">
        <f>IF($D17="是",I17-J17,0)</f>
        <v>0</v>
      </c>
      <c r="BC17" s="16">
        <f>IF($D17="是",K17-L17,0)</f>
        <v>32607.03</v>
      </c>
      <c r="BD17" s="16">
        <f>IF($D17="是",M17-N17,0)</f>
        <v>17089.22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4"/>
      <c r="C18" s="1182" t="s">
        <v>3297</v>
      </c>
      <c r="D18" s="1810" t="s">
        <v>3078</v>
      </c>
      <c r="E18" s="35">
        <f t="shared" ref="E18:E112" si="7">IF($C$3="是",ROUND($A$3*G18/$B$3,2),ROUND($A$3*(G18-AT18)/$B$3,2))</f>
        <v>10498.54</v>
      </c>
      <c r="F18" s="36"/>
      <c r="G18" s="37">
        <f t="shared" ref="G18:G109" si="8">H18+AC18+AT18</f>
        <v>33367.39</v>
      </c>
      <c r="H18" s="38">
        <f t="shared" ref="H18:H109" si="9">SUMIF(I$12:AB$12,"总值",I18:AB18)</f>
        <v>30960.560000000001</v>
      </c>
      <c r="I18" s="39">
        <v>30960.560000000001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2406.83</v>
      </c>
      <c r="AD18" s="40"/>
      <c r="AE18" s="40"/>
      <c r="AF18" s="40"/>
      <c r="AG18" s="40"/>
      <c r="AH18" s="40"/>
      <c r="AI18" s="40"/>
      <c r="AJ18" s="40"/>
      <c r="AK18" s="40"/>
      <c r="AL18" s="40">
        <v>647.24</v>
      </c>
      <c r="AM18" s="40"/>
      <c r="AN18" s="40">
        <v>1759.59</v>
      </c>
      <c r="AO18" s="40"/>
      <c r="AP18" s="40"/>
      <c r="AQ18" s="40"/>
      <c r="AR18" s="40"/>
      <c r="AS18" s="40"/>
      <c r="AT18" s="41"/>
      <c r="AU18" s="1816"/>
      <c r="AV18" s="1527">
        <f t="shared" ref="AV18:AV112" si="11">A18</f>
        <v>0</v>
      </c>
      <c r="AW18" s="1527">
        <f t="shared" ref="AW18:AW112" si="12">B18</f>
        <v>0</v>
      </c>
      <c r="AX18" s="1527" t="str">
        <f t="shared" ref="AX18:AX112" si="13">C18</f>
        <v>9号院3号楼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4"/>
      <c r="C19" s="1182" t="s">
        <v>3298</v>
      </c>
      <c r="D19" s="1810" t="s">
        <v>3078</v>
      </c>
      <c r="E19" s="35">
        <f t="shared" si="7"/>
        <v>4747.32</v>
      </c>
      <c r="F19" s="36"/>
      <c r="G19" s="37">
        <f t="shared" si="8"/>
        <v>15088.359999999999</v>
      </c>
      <c r="H19" s="38">
        <f t="shared" si="9"/>
        <v>13957.72</v>
      </c>
      <c r="I19" s="39">
        <v>13957.72</v>
      </c>
      <c r="J19" s="39"/>
      <c r="K19" s="39"/>
      <c r="L19" s="39"/>
      <c r="M19" s="39"/>
      <c r="N19" s="39"/>
      <c r="O19" s="39"/>
      <c r="P19" s="39"/>
      <c r="Q19" s="39"/>
      <c r="R19" s="39"/>
      <c r="S19" s="39"/>
      <c r="T19" s="39"/>
      <c r="U19" s="39"/>
      <c r="V19" s="39"/>
      <c r="W19" s="39"/>
      <c r="X19" s="39"/>
      <c r="Y19" s="39"/>
      <c r="Z19" s="39"/>
      <c r="AA19" s="39"/>
      <c r="AB19" s="39"/>
      <c r="AC19" s="35">
        <f t="shared" si="10"/>
        <v>1130.6400000000001</v>
      </c>
      <c r="AD19" s="40"/>
      <c r="AE19" s="40"/>
      <c r="AF19" s="40"/>
      <c r="AG19" s="40"/>
      <c r="AH19" s="40"/>
      <c r="AI19" s="40"/>
      <c r="AJ19" s="40"/>
      <c r="AK19" s="40"/>
      <c r="AL19" s="40">
        <v>152.16</v>
      </c>
      <c r="AM19" s="40"/>
      <c r="AN19" s="40">
        <v>978.48</v>
      </c>
      <c r="AO19" s="40"/>
      <c r="AP19" s="40"/>
      <c r="AQ19" s="40"/>
      <c r="AR19" s="40"/>
      <c r="AS19" s="40"/>
      <c r="AT19" s="41"/>
      <c r="AU19" s="1816"/>
      <c r="AV19" s="1527">
        <f t="shared" si="11"/>
        <v>0</v>
      </c>
      <c r="AW19" s="1527">
        <f t="shared" si="12"/>
        <v>0</v>
      </c>
      <c r="AX19" s="1527" t="str">
        <f t="shared" si="13"/>
        <v>9号院6号楼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9.5" customHeight="1">
      <c r="A20" s="9"/>
      <c r="B20" s="34"/>
      <c r="C20" s="1182"/>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31" sqref="D31:G3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6" t="s">
        <v>1817</v>
      </c>
      <c r="B2" s="3156"/>
      <c r="C2" s="3156"/>
      <c r="D2" s="904" t="s">
        <v>1793</v>
      </c>
      <c r="E2" s="1824" t="s">
        <v>1794</v>
      </c>
      <c r="F2" s="2886"/>
      <c r="G2" s="2877"/>
      <c r="H2" s="2878"/>
      <c r="I2" s="2548" t="s">
        <v>1818</v>
      </c>
      <c r="J2" s="2886"/>
      <c r="K2" s="2886"/>
      <c r="L2" s="2886"/>
      <c r="M2" s="2886"/>
      <c r="N2" s="2888"/>
      <c r="O2" s="2886"/>
      <c r="P2" s="2886"/>
    </row>
    <row r="3" spans="1:16" ht="15.75" thickBot="1">
      <c r="A3" s="3157" t="s">
        <v>1791</v>
      </c>
      <c r="B3" s="3157"/>
      <c r="C3" s="3157"/>
      <c r="D3" s="46">
        <f>'数据-基础表'!AY6</f>
        <v>41486.36</v>
      </c>
      <c r="E3" s="46">
        <f>'数据-基础表'!AZ5</f>
        <v>131855.63</v>
      </c>
      <c r="F3" s="2886"/>
      <c r="G3" s="1307"/>
      <c r="H3" s="1157" t="s">
        <v>1792</v>
      </c>
      <c r="I3" s="964">
        <f>ROUND('数据-基础表'!B3/'数据-基础表'!A3,2)</f>
        <v>3.18</v>
      </c>
      <c r="J3" s="2886"/>
      <c r="K3" s="2886"/>
      <c r="L3" s="2886"/>
      <c r="M3" s="2886"/>
      <c r="N3" s="2888"/>
      <c r="O3" s="2886"/>
      <c r="P3" s="2886"/>
    </row>
    <row r="4" spans="1:16" ht="15">
      <c r="A4" s="3158"/>
      <c r="B4" s="3159"/>
      <c r="C4" s="3160"/>
      <c r="D4" s="1826" t="s">
        <v>1793</v>
      </c>
      <c r="E4" s="1827" t="s">
        <v>1794</v>
      </c>
      <c r="F4" s="2886"/>
      <c r="G4" s="2879" t="s">
        <v>1819</v>
      </c>
      <c r="H4" s="1157" t="s">
        <v>1799</v>
      </c>
      <c r="I4" s="964">
        <f>ROUND(SUMIF('数据-基础表'!I9:AS9,"地上",'数据-基础表'!I5:AS5)/'数据-基础表'!A3,2)</f>
        <v>2.2000000000000002</v>
      </c>
      <c r="J4" s="2886"/>
      <c r="K4" s="2886"/>
      <c r="L4" s="2886"/>
      <c r="M4" s="2886"/>
      <c r="N4" s="2888"/>
      <c r="O4" s="2886"/>
      <c r="P4" s="2886"/>
    </row>
    <row r="5" spans="1:16">
      <c r="A5" s="47" t="s">
        <v>1795</v>
      </c>
      <c r="B5" s="3161" t="s">
        <v>1796</v>
      </c>
      <c r="C5" s="3161"/>
      <c r="D5" s="48">
        <f>ROUND($D$3*E5/$E$3,2)</f>
        <v>0</v>
      </c>
      <c r="E5" s="49">
        <f>SUMIF('数据-基础表'!$11:$11,"住宅",'数据-基础表'!$5:$5)</f>
        <v>0</v>
      </c>
      <c r="F5" s="2886"/>
      <c r="G5" s="1307"/>
      <c r="H5" s="1157" t="s">
        <v>1792</v>
      </c>
      <c r="I5" s="964">
        <f>ROUND(E31/D31,2)</f>
        <v>3.18</v>
      </c>
      <c r="J5" s="2886"/>
      <c r="K5" s="2886"/>
      <c r="L5" s="2886"/>
      <c r="M5" s="2886"/>
      <c r="N5" s="2886"/>
      <c r="O5" s="2886"/>
      <c r="P5" s="2886"/>
    </row>
    <row r="6" spans="1:16" ht="15" thickBot="1">
      <c r="A6" s="1829"/>
      <c r="B6" s="3161" t="s">
        <v>1797</v>
      </c>
      <c r="C6" s="3161"/>
      <c r="D6" s="48">
        <f>ROUND($D$3*E6/$E$3,2)</f>
        <v>41486.36</v>
      </c>
      <c r="E6" s="49">
        <f>E3-E5</f>
        <v>131855.63</v>
      </c>
      <c r="F6" s="2886"/>
      <c r="G6" s="2880" t="s">
        <v>1798</v>
      </c>
      <c r="H6" s="1308" t="s">
        <v>1799</v>
      </c>
      <c r="I6" s="2881">
        <f>ROUND(F31/D31,2)</f>
        <v>1.9</v>
      </c>
      <c r="J6" s="2886"/>
      <c r="K6" s="2886"/>
      <c r="L6" s="2886"/>
      <c r="M6" s="2886"/>
      <c r="N6" s="2886"/>
      <c r="O6" s="2886"/>
      <c r="P6" s="2886"/>
    </row>
    <row r="7" spans="1:16" ht="15.75" thickBot="1">
      <c r="A7" s="3153"/>
      <c r="B7" s="3154"/>
      <c r="C7" s="3155"/>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24559.22</v>
      </c>
      <c r="E8" s="51">
        <f>SUMIF('数据-基础表'!BB10:BK10,"地上",'数据-基础表'!BB5:BK5)</f>
        <v>78056.28</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10259.299999999999</v>
      </c>
      <c r="E11" s="51">
        <f>SUMPRODUCT(('数据-基础表'!BB10:BK10="地下")*('数据-基础表'!BB11:BK11="办公")*('数据-基础表'!BB5:BK5))+'数据-基础表'!BP5</f>
        <v>32607.03</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5376.86</v>
      </c>
      <c r="E13" s="51">
        <f>SUMPRODUCT(('数据-基础表'!BB10:BK10="地下")*('数据-基础表'!BB11:BK11="车库")*('数据-基础表'!BB5:BK5))</f>
        <v>17089.22</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40195.380000000005</v>
      </c>
      <c r="E16" s="53">
        <f>SUM(E8:E15)</f>
        <v>127752.53</v>
      </c>
      <c r="F16" s="2886"/>
      <c r="G16" s="2887"/>
      <c r="H16" s="1833" t="s">
        <v>1821</v>
      </c>
      <c r="I16" s="1834"/>
      <c r="J16" s="1301"/>
      <c r="K16" s="3150" t="s">
        <v>1821</v>
      </c>
      <c r="L16" s="3151"/>
      <c r="M16" s="3151"/>
      <c r="N16" s="3151"/>
      <c r="O16" s="3151"/>
      <c r="P16" s="3152"/>
    </row>
    <row r="17" spans="1:19" ht="15">
      <c r="A17" s="1835" t="s">
        <v>1822</v>
      </c>
      <c r="B17" s="1836" t="s">
        <v>1823</v>
      </c>
      <c r="C17" s="1837" t="s">
        <v>1824</v>
      </c>
      <c r="D17" s="1838" t="s">
        <v>1812</v>
      </c>
      <c r="E17" s="1839" t="s">
        <v>1813</v>
      </c>
      <c r="F17" s="1840"/>
      <c r="G17" s="1841"/>
      <c r="H17" s="1842" t="s">
        <v>1825</v>
      </c>
      <c r="I17" s="1843" t="s">
        <v>1810</v>
      </c>
      <c r="J17" s="1301"/>
      <c r="K17" s="3147" t="s">
        <v>1826</v>
      </c>
      <c r="L17" s="3148"/>
      <c r="M17" s="3149"/>
      <c r="N17" s="3147" t="s">
        <v>1827</v>
      </c>
      <c r="O17" s="3148"/>
      <c r="P17" s="314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5" t="s">
        <v>3083</v>
      </c>
      <c r="D19" s="48">
        <f>ROUND($D$3*E19/$E$3,2)</f>
        <v>34818.519999999997</v>
      </c>
      <c r="E19" s="56">
        <f>SUM(F19:G19)</f>
        <v>110663.31</v>
      </c>
      <c r="F19" s="3026">
        <f>'数据-基础表'!I13+'数据-基础表'!I14+'数据-基础表'!I15+'数据-基础表'!I16</f>
        <v>78056.28</v>
      </c>
      <c r="G19" s="3027">
        <f>'数据-基础表'!K5</f>
        <v>32607.03</v>
      </c>
      <c r="H19" s="679">
        <f>ROUND($D$3*I19/$E$3,2)</f>
        <v>1118.29</v>
      </c>
      <c r="I19" s="51">
        <f t="shared" ref="I19:I26" si="1">IF($I$17="自定义",P19,M19)</f>
        <v>3554.24</v>
      </c>
      <c r="J19" s="1301"/>
      <c r="K19" s="1300">
        <f t="shared" ref="K19:K26" si="2">ROUND(E$28*E19/E$27,2)</f>
        <v>3554.24</v>
      </c>
      <c r="L19" s="1157">
        <f t="shared" ref="L19:L26" si="3">ROUND(IF(COUNTIF(C19,"*住宅*")&gt;0,E$29*E19/E$32,0),2)</f>
        <v>0</v>
      </c>
      <c r="M19" s="1312">
        <f>K19+L19</f>
        <v>3554.24</v>
      </c>
      <c r="N19" s="1854"/>
      <c r="O19" s="1855"/>
      <c r="P19" s="1312">
        <f>N19+O19</f>
        <v>0</v>
      </c>
      <c r="R19" s="1157">
        <f t="shared" ref="R19:S26" si="4">D19+H19</f>
        <v>35936.81</v>
      </c>
      <c r="S19" s="1158">
        <f t="shared" si="4"/>
        <v>114217.55</v>
      </c>
    </row>
    <row r="20" spans="1:19">
      <c r="A20" s="1856"/>
      <c r="B20" s="50" t="s">
        <v>1839</v>
      </c>
      <c r="C20" s="3065" t="s">
        <v>3291</v>
      </c>
      <c r="D20" s="48">
        <f t="shared" ref="D20:D26" si="5">ROUND($D$3*E20/$E$3,2)</f>
        <v>5376.86</v>
      </c>
      <c r="E20" s="56">
        <f t="shared" ref="E20:E26" si="6">SUM(F20:G20)</f>
        <v>17089.22</v>
      </c>
      <c r="F20" s="3026"/>
      <c r="G20" s="3027">
        <f>'数据-基础表'!M5</f>
        <v>17089.22</v>
      </c>
      <c r="H20" s="679">
        <f t="shared" ref="H20:H26" si="7">ROUND($D$3*I20/$E$3,2)</f>
        <v>172.69</v>
      </c>
      <c r="I20" s="51">
        <f t="shared" si="1"/>
        <v>548.86</v>
      </c>
      <c r="J20" s="1301"/>
      <c r="K20" s="1300">
        <f t="shared" si="2"/>
        <v>548.86</v>
      </c>
      <c r="L20" s="1157">
        <f t="shared" si="3"/>
        <v>0</v>
      </c>
      <c r="M20" s="1312">
        <f t="shared" ref="M20:M26" si="8">K20+L20</f>
        <v>548.86</v>
      </c>
      <c r="N20" s="1854"/>
      <c r="O20" s="1855"/>
      <c r="P20" s="1312">
        <f t="shared" ref="P20:P26" si="9">N20+O20</f>
        <v>0</v>
      </c>
      <c r="R20" s="1157">
        <f t="shared" si="4"/>
        <v>5549.5499999999993</v>
      </c>
      <c r="S20" s="1158">
        <f t="shared" si="4"/>
        <v>17638.080000000002</v>
      </c>
    </row>
    <row r="21" spans="1:19">
      <c r="A21" s="1856"/>
      <c r="B21" s="50" t="s">
        <v>1839</v>
      </c>
      <c r="C21" s="1853"/>
      <c r="D21" s="48">
        <f t="shared" si="5"/>
        <v>0</v>
      </c>
      <c r="E21" s="56">
        <f t="shared" si="6"/>
        <v>0</v>
      </c>
      <c r="F21" s="3026"/>
      <c r="G21" s="3027"/>
      <c r="H21" s="679">
        <f t="shared" si="7"/>
        <v>0</v>
      </c>
      <c r="I21" s="51">
        <f t="shared" si="1"/>
        <v>0</v>
      </c>
      <c r="J21" s="1301"/>
      <c r="K21" s="1300">
        <f t="shared" si="2"/>
        <v>0</v>
      </c>
      <c r="L21" s="1157">
        <f t="shared" si="3"/>
        <v>0</v>
      </c>
      <c r="M21" s="1312">
        <f t="shared" si="8"/>
        <v>0</v>
      </c>
      <c r="N21" s="1854"/>
      <c r="O21" s="1855"/>
      <c r="P21" s="1312">
        <f t="shared" si="9"/>
        <v>0</v>
      </c>
      <c r="R21" s="1157">
        <f t="shared" si="4"/>
        <v>0</v>
      </c>
      <c r="S21" s="1158">
        <f t="shared" si="4"/>
        <v>0</v>
      </c>
    </row>
    <row r="22" spans="1:19">
      <c r="A22" s="1856"/>
      <c r="B22" s="50" t="s">
        <v>1839</v>
      </c>
      <c r="C22" s="58"/>
      <c r="D22" s="48">
        <f t="shared" si="5"/>
        <v>0</v>
      </c>
      <c r="E22" s="56">
        <f t="shared" si="6"/>
        <v>0</v>
      </c>
      <c r="F22" s="3028"/>
      <c r="G22" s="3029"/>
      <c r="H22" s="679">
        <f t="shared" si="7"/>
        <v>0</v>
      </c>
      <c r="I22" s="51">
        <f t="shared" si="1"/>
        <v>0</v>
      </c>
      <c r="J22" s="1301"/>
      <c r="K22" s="1300">
        <f t="shared" si="2"/>
        <v>0</v>
      </c>
      <c r="L22" s="1157">
        <f t="shared" si="3"/>
        <v>0</v>
      </c>
      <c r="M22" s="1312">
        <f t="shared" si="8"/>
        <v>0</v>
      </c>
      <c r="N22" s="1854"/>
      <c r="O22" s="1855"/>
      <c r="P22" s="1312">
        <f t="shared" si="9"/>
        <v>0</v>
      </c>
      <c r="R22" s="1157">
        <f t="shared" si="4"/>
        <v>0</v>
      </c>
      <c r="S22" s="1158">
        <f t="shared" si="4"/>
        <v>0</v>
      </c>
    </row>
    <row r="23" spans="1:19">
      <c r="A23" s="1856"/>
      <c r="B23" s="50" t="s">
        <v>1839</v>
      </c>
      <c r="C23" s="58"/>
      <c r="D23" s="48">
        <f>ROUND($D$3*E23/$E$3,2)</f>
        <v>0</v>
      </c>
      <c r="E23" s="56">
        <f>SUM(F23:G23)</f>
        <v>0</v>
      </c>
      <c r="F23" s="3028"/>
      <c r="G23" s="3029"/>
      <c r="H23" s="679">
        <f>ROUND($D$3*I23/$E$3,2)</f>
        <v>0</v>
      </c>
      <c r="I23" s="51">
        <f t="shared" si="1"/>
        <v>0</v>
      </c>
      <c r="J23" s="1301"/>
      <c r="K23" s="1300">
        <f t="shared" si="2"/>
        <v>0</v>
      </c>
      <c r="L23" s="1157">
        <f t="shared" si="3"/>
        <v>0</v>
      </c>
      <c r="M23" s="1312">
        <f t="shared" si="8"/>
        <v>0</v>
      </c>
      <c r="N23" s="1854"/>
      <c r="O23" s="1855"/>
      <c r="P23" s="1312">
        <f t="shared" si="9"/>
        <v>0</v>
      </c>
      <c r="R23" s="1157">
        <f t="shared" si="4"/>
        <v>0</v>
      </c>
      <c r="S23" s="1158">
        <f t="shared" si="4"/>
        <v>0</v>
      </c>
    </row>
    <row r="24" spans="1:19">
      <c r="A24" s="1856"/>
      <c r="B24" s="50" t="s">
        <v>1839</v>
      </c>
      <c r="C24" s="58"/>
      <c r="D24" s="48">
        <f>ROUND($D$3*E24/$E$3,2)</f>
        <v>0</v>
      </c>
      <c r="E24" s="56">
        <f>SUM(F24:G24)</f>
        <v>0</v>
      </c>
      <c r="F24" s="3028"/>
      <c r="G24" s="3029"/>
      <c r="H24" s="679">
        <f>ROUND($D$3*I24/$E$3,2)</f>
        <v>0</v>
      </c>
      <c r="I24" s="51">
        <f t="shared" si="1"/>
        <v>0</v>
      </c>
      <c r="J24" s="1301"/>
      <c r="K24" s="1300">
        <f t="shared" si="2"/>
        <v>0</v>
      </c>
      <c r="L24" s="1157">
        <f t="shared" si="3"/>
        <v>0</v>
      </c>
      <c r="M24" s="1312">
        <f t="shared" si="8"/>
        <v>0</v>
      </c>
      <c r="N24" s="1854"/>
      <c r="O24" s="1855"/>
      <c r="P24" s="1312">
        <f t="shared" si="9"/>
        <v>0</v>
      </c>
      <c r="R24" s="1157">
        <f t="shared" si="4"/>
        <v>0</v>
      </c>
      <c r="S24" s="1158">
        <f t="shared" si="4"/>
        <v>0</v>
      </c>
    </row>
    <row r="25" spans="1:19">
      <c r="A25" s="1856"/>
      <c r="B25" s="50" t="s">
        <v>1839</v>
      </c>
      <c r="C25" s="58"/>
      <c r="D25" s="48">
        <f t="shared" si="5"/>
        <v>0</v>
      </c>
      <c r="E25" s="56">
        <f t="shared" si="6"/>
        <v>0</v>
      </c>
      <c r="F25" s="3028"/>
      <c r="G25" s="3029"/>
      <c r="H25" s="47">
        <f t="shared" si="7"/>
        <v>0</v>
      </c>
      <c r="I25" s="51">
        <f t="shared" si="1"/>
        <v>0</v>
      </c>
      <c r="J25" s="1301"/>
      <c r="K25" s="1300">
        <f t="shared" si="2"/>
        <v>0</v>
      </c>
      <c r="L25" s="1157">
        <f t="shared" si="3"/>
        <v>0</v>
      </c>
      <c r="M25" s="1312">
        <f t="shared" si="8"/>
        <v>0</v>
      </c>
      <c r="N25" s="1854"/>
      <c r="O25" s="1855"/>
      <c r="P25" s="1312">
        <f t="shared" si="9"/>
        <v>0</v>
      </c>
      <c r="R25" s="1157">
        <f t="shared" si="4"/>
        <v>0</v>
      </c>
      <c r="S25" s="1158">
        <f t="shared" si="4"/>
        <v>0</v>
      </c>
    </row>
    <row r="26" spans="1:19">
      <c r="A26" s="1856"/>
      <c r="B26" s="50" t="s">
        <v>1839</v>
      </c>
      <c r="C26" s="59"/>
      <c r="D26" s="48">
        <f t="shared" si="5"/>
        <v>0</v>
      </c>
      <c r="E26" s="56">
        <f t="shared" si="6"/>
        <v>0</v>
      </c>
      <c r="F26" s="3028"/>
      <c r="G26" s="3029"/>
      <c r="H26" s="47">
        <f t="shared" si="7"/>
        <v>0</v>
      </c>
      <c r="I26" s="51">
        <f t="shared" si="1"/>
        <v>0</v>
      </c>
      <c r="J26" s="1301"/>
      <c r="K26" s="1307">
        <f t="shared" si="2"/>
        <v>0</v>
      </c>
      <c r="L26" s="1308">
        <f t="shared" si="3"/>
        <v>0</v>
      </c>
      <c r="M26" s="63">
        <f t="shared" si="8"/>
        <v>0</v>
      </c>
      <c r="N26" s="1857"/>
      <c r="O26" s="1858"/>
      <c r="P26" s="63">
        <f t="shared" si="9"/>
        <v>0</v>
      </c>
      <c r="R26" s="1157">
        <f t="shared" si="4"/>
        <v>0</v>
      </c>
      <c r="S26" s="1158">
        <f t="shared" si="4"/>
        <v>0</v>
      </c>
    </row>
    <row r="27" spans="1:19" ht="15.75" thickBot="1">
      <c r="A27" s="1856"/>
      <c r="B27" s="48"/>
      <c r="C27" s="1859" t="s">
        <v>1840</v>
      </c>
      <c r="D27" s="1302">
        <f>SUM(D19:D26)</f>
        <v>40195.379999999997</v>
      </c>
      <c r="E27" s="1303">
        <f>IF(SUM(E19:E26)='数据-基础表'!BA5,SUM(E19:E26),IF(F27="地上面积有误","面积有误","地下面积有误"))</f>
        <v>127752.53</v>
      </c>
      <c r="F27" s="1302">
        <f>IF(SUM(F19:F26)=E8,SUM(F19:F26),"地上面积有误")</f>
        <v>78056.28</v>
      </c>
      <c r="G27" s="1304">
        <f>SUM(G19:G26)</f>
        <v>49696.25</v>
      </c>
      <c r="H27" s="1305">
        <f>SUM(H19:H26)</f>
        <v>1290.98</v>
      </c>
      <c r="I27" s="1306">
        <f>SUM(I19:I26)</f>
        <v>4103.0999999999995</v>
      </c>
      <c r="J27" s="1301"/>
      <c r="K27" s="1309">
        <f>SUM(K19:K26)</f>
        <v>4103.0999999999995</v>
      </c>
      <c r="L27" s="1310">
        <f>SUM(L19:L26)</f>
        <v>0</v>
      </c>
      <c r="M27" s="1313">
        <f>SUM(M19:M26)</f>
        <v>4103.0999999999995</v>
      </c>
      <c r="N27" s="1309">
        <f t="shared" ref="N27:O27" si="10">SUM(N19:N26)</f>
        <v>0</v>
      </c>
      <c r="O27" s="1310">
        <f t="shared" si="10"/>
        <v>0</v>
      </c>
      <c r="P27" s="1311">
        <f>SUM(P19:P26)</f>
        <v>0</v>
      </c>
      <c r="R27" s="1159">
        <f>IF(SUM(R19:R26)=$D$3,SUM(R19:R26),SUM(R19:R26)&amp;"误差"&amp;ROUND(SUM(R19:R26)-$D$3,2))</f>
        <v>41486.36</v>
      </c>
      <c r="S27" s="1157">
        <f>IF(SUM(S19:S26)=$E$3,SUM(S19:S26),SUM(S19:S26)&amp;"误差"&amp;ROUND(SUM(S19:S26)-E3,2))</f>
        <v>131855.63</v>
      </c>
    </row>
    <row r="28" spans="1:19">
      <c r="A28" s="1856"/>
      <c r="B28" s="50" t="s">
        <v>1841</v>
      </c>
      <c r="C28" s="1169" t="s">
        <v>1842</v>
      </c>
      <c r="D28" s="48">
        <f>ROUND($D$3*E28/$E$3,2)</f>
        <v>1290.98</v>
      </c>
      <c r="E28" s="56">
        <f>SUM(F28:G28)</f>
        <v>4103.1000000000004</v>
      </c>
      <c r="F28" s="60">
        <f>'数据-基础表'!BQ5+'数据-基础表'!BS5</f>
        <v>968.61</v>
      </c>
      <c r="G28" s="61">
        <f>'数据-基础表'!BR5+'数据-基础表'!BT5</f>
        <v>3134.4900000000002</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1290.98</v>
      </c>
      <c r="E30" s="1302">
        <f>SUM(E28:E29)</f>
        <v>4103.1000000000004</v>
      </c>
      <c r="F30" s="1302">
        <f>SUM(F28:F29)</f>
        <v>968.61</v>
      </c>
      <c r="G30" s="1304">
        <f>SUM(G28:G29)</f>
        <v>3134.4900000000002</v>
      </c>
      <c r="H30" s="2886"/>
      <c r="I30" s="2886"/>
      <c r="J30" s="2886"/>
      <c r="K30" s="2886"/>
      <c r="L30" s="2886"/>
      <c r="M30" s="2886"/>
      <c r="N30" s="2886"/>
      <c r="O30" s="2886"/>
      <c r="P30" s="2886"/>
    </row>
    <row r="31" spans="1:19" ht="15.75" thickBot="1">
      <c r="A31" s="1862"/>
      <c r="B31" s="1863"/>
      <c r="C31" s="944" t="s">
        <v>1844</v>
      </c>
      <c r="D31" s="685">
        <f>D27+D30</f>
        <v>41486.36</v>
      </c>
      <c r="E31" s="685">
        <f>E27+E30</f>
        <v>131855.63</v>
      </c>
      <c r="F31" s="686">
        <f>F27+F30</f>
        <v>79024.89</v>
      </c>
      <c r="G31" s="687">
        <f>G27+G30</f>
        <v>52830.74</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6">
        <f>项目基本情况!D3</f>
        <v>44314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60490</v>
      </c>
      <c r="F6" s="68">
        <f>SUMIF(项目基本情况!D$12:I$12,C6,项目基本情况!D$15:I$15)</f>
        <v>44.31</v>
      </c>
      <c r="G6" s="69">
        <f>IF(ISERROR(ROUND(POWER(1+H6,D6-F6)*(POWER(1+H6,F6)-1)/(POWER(1+H6,D6)-1),3)),0,ROUND(POWER(1+H6,D6-F6)*(POWER(1+H6,F6)-1)/(POWER(1+H6,D6)-1),3))</f>
        <v>0.96899999999999997</v>
      </c>
      <c r="H6" s="741">
        <v>0.05</v>
      </c>
      <c r="I6" s="741">
        <v>5.5E-2</v>
      </c>
      <c r="J6" s="70">
        <v>8.5000000000000006E-2</v>
      </c>
      <c r="K6" s="1161">
        <f>SUMIF('数据-汇总表'!C$19:C$33,A6,'数据-汇总表'!E$19:E$33)</f>
        <v>110663.31</v>
      </c>
      <c r="L6" s="742">
        <v>3000</v>
      </c>
      <c r="M6" s="71">
        <f t="shared" ref="M6:M14" si="0">ROUND(K6*L6/10000,0)</f>
        <v>33199</v>
      </c>
      <c r="N6" s="740">
        <f>ROUND(1-(2021-2019)/60,2)</f>
        <v>0.97</v>
      </c>
      <c r="O6" s="71" t="str">
        <f>IF($N$5="成新度","——",ROUND(M6*N6,0))</f>
        <v>——</v>
      </c>
      <c r="P6" s="72" t="str">
        <f>IF($N$5="成新度","——",M6-O6)</f>
        <v>——</v>
      </c>
      <c r="Q6" s="743">
        <v>0.2</v>
      </c>
      <c r="R6" s="73">
        <f ca="1">SUMIF('数据-汇总表'!C$19:C$33,A6,'数据-汇总表'!R$19:R$27)</f>
        <v>35936.81</v>
      </c>
      <c r="S6" s="54">
        <f>IF('数据-汇总表'!$I$17="按面积比例",SUMIF('数据-汇总表'!C$19:C$33,A6,'数据-汇总表'!K$19:K$33),SUMIF('数据-汇总表'!C$19:C$33,A6,'数据-汇总表'!N$19:N$33))</f>
        <v>3554.24</v>
      </c>
      <c r="T6" s="1334">
        <f>ROUND($L$14*S6/10000,0)</f>
        <v>1066</v>
      </c>
      <c r="U6" s="74">
        <f>Sheet2!D5</f>
        <v>2.8</v>
      </c>
      <c r="V6" s="75">
        <v>0.03</v>
      </c>
      <c r="W6" s="75">
        <v>0.1</v>
      </c>
      <c r="X6" s="1171"/>
      <c r="Y6" s="76">
        <f>N6</f>
        <v>0.97</v>
      </c>
      <c r="Z6" s="77"/>
      <c r="AA6" s="70"/>
      <c r="AB6" s="70"/>
      <c r="AC6" s="1171"/>
      <c r="AD6" s="78"/>
      <c r="AE6" s="1172">
        <f ca="1">IF(AN6="",0,SUMIF(INDIRECT("'"&amp;AN6&amp;"'"&amp;"!E:E"),$AE$5,INDIRECT("'"&amp;AN6&amp;"'"&amp;"!F:F")))</f>
        <v>44.31</v>
      </c>
      <c r="AF6" s="1532"/>
      <c r="AG6" s="143">
        <f>IF(AF6="",0,AE6-AF6)</f>
        <v>0</v>
      </c>
      <c r="AH6" s="79"/>
      <c r="AI6" s="81">
        <v>365</v>
      </c>
      <c r="AJ6" s="82"/>
      <c r="AK6" s="83">
        <v>1.4999999999999999E-2</v>
      </c>
      <c r="AL6" s="84">
        <v>1.5E-3</v>
      </c>
      <c r="AM6" s="85">
        <v>0.01</v>
      </c>
      <c r="AN6" s="1901" t="s">
        <v>3274</v>
      </c>
      <c r="AO6" s="55">
        <f ca="1">SUMIF(INDIRECT("'"&amp;AN6&amp;"'"&amp;"!A:A"),"总价",INDIRECT("'"&amp;AN6&amp;"'"&amp;"!B:B"))</f>
        <v>196390</v>
      </c>
      <c r="AP6" s="1902">
        <f>IF(C6="住宅",K6*L6,0)</f>
        <v>0</v>
      </c>
      <c r="AQ6" s="55">
        <f>ROUND($L$14*$N$14*S6/10000,0)</f>
        <v>1034</v>
      </c>
      <c r="AR6" s="55">
        <f>ROUND($L$14*(1-$N$14)*S6/10000,0)</f>
        <v>32</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车库</v>
      </c>
      <c r="B7" s="1899" t="str">
        <f t="shared" ref="B7:B13" si="1">IF(A7=0,"","经营性")</f>
        <v>经营性</v>
      </c>
      <c r="C7" s="1900" t="s">
        <v>3290</v>
      </c>
      <c r="D7" s="967">
        <f>SUMIF(项目基本情况!D$12:I$12,C7,项目基本情况!D$14:I$14)</f>
        <v>50</v>
      </c>
      <c r="E7" s="966">
        <f>IF(B7="","",SUMIF(项目基本情况!D$12:I$12,C7,项目基本情况!D$13:I$13))</f>
        <v>60490</v>
      </c>
      <c r="F7" s="68">
        <f>SUMIF(项目基本情况!D$12:I$12,C7,项目基本情况!D$15:I$15)</f>
        <v>44.31</v>
      </c>
      <c r="G7" s="69">
        <f t="shared" ref="G7:G11" si="2">IF(ISERROR(ROUND(POWER(1+H7,D7-F7)*(POWER(1+H7,F7)-1)/(POWER(1+H7,D7)-1),3)),0,ROUND(POWER(1+H7,D7-F7)*(POWER(1+H7,F7)-1)/(POWER(1+H7,D7)-1),3))</f>
        <v>0.96499999999999997</v>
      </c>
      <c r="H7" s="741">
        <v>4.4999999999999998E-2</v>
      </c>
      <c r="I7" s="741">
        <v>0.05</v>
      </c>
      <c r="J7" s="70">
        <v>8.5000000000000006E-2</v>
      </c>
      <c r="K7" s="1161">
        <f>SUMIF('数据-汇总表'!C$19:C$33,A7,'数据-汇总表'!E$19:E$33)</f>
        <v>17089.22</v>
      </c>
      <c r="L7" s="742">
        <f>L6</f>
        <v>3000</v>
      </c>
      <c r="M7" s="71">
        <f t="shared" si="0"/>
        <v>5127</v>
      </c>
      <c r="N7" s="740">
        <f>N6</f>
        <v>0.97</v>
      </c>
      <c r="O7" s="71" t="str">
        <f t="shared" ref="O7:O14" si="3">IF($N$5="成新度","——",ROUND(M7*N7,0))</f>
        <v>——</v>
      </c>
      <c r="P7" s="72" t="str">
        <f t="shared" ref="P7:P14" si="4">IF($N$5="成新度","——",M7-O7)</f>
        <v>——</v>
      </c>
      <c r="Q7" s="743">
        <v>0.05</v>
      </c>
      <c r="R7" s="73">
        <f ca="1">SUMIF('数据-汇总表'!C$19:C$33,A7,'数据-汇总表'!R$19:R$27)</f>
        <v>5549.5499999999993</v>
      </c>
      <c r="S7" s="54">
        <f>IF('数据-汇总表'!$I$17="按面积比例",SUMIF('数据-汇总表'!C$19:C$33,A7,'数据-汇总表'!K$19:K$33),SUMIF('数据-汇总表'!C$19:C$33,A7,'数据-汇总表'!N$19:N$33))</f>
        <v>548.86</v>
      </c>
      <c r="T7" s="1334">
        <f t="shared" ref="T7:T13" si="5">ROUND($L$14*S7/10000,0)</f>
        <v>165</v>
      </c>
      <c r="U7" s="74">
        <v>0.5</v>
      </c>
      <c r="V7" s="75">
        <v>2.5000000000000001E-2</v>
      </c>
      <c r="W7" s="75">
        <v>0.1</v>
      </c>
      <c r="X7" s="1171"/>
      <c r="Y7" s="76">
        <f>N7</f>
        <v>0.97</v>
      </c>
      <c r="Z7" s="77"/>
      <c r="AA7" s="70"/>
      <c r="AB7" s="70"/>
      <c r="AC7" s="1171"/>
      <c r="AD7" s="78"/>
      <c r="AE7" s="1172">
        <f t="shared" ref="AE7:AE13" ca="1" si="6">IF(AN7="",0,SUMIF(INDIRECT("'"&amp;AN7&amp;"'"&amp;"!E:E"),$AE$5,INDIRECT("'"&amp;AN7&amp;"'"&amp;"!F:F")))</f>
        <v>44.31</v>
      </c>
      <c r="AF7" s="1532"/>
      <c r="AG7" s="143">
        <f t="shared" ref="AG7:AG13" si="7">IF(AF7="",0,AE7-AF7)</f>
        <v>0</v>
      </c>
      <c r="AH7" s="79"/>
      <c r="AI7" s="81">
        <v>365</v>
      </c>
      <c r="AJ7" s="82"/>
      <c r="AK7" s="83">
        <v>1.4999999999999999E-2</v>
      </c>
      <c r="AL7" s="84">
        <v>1.5E-3</v>
      </c>
      <c r="AM7" s="85">
        <v>0.01</v>
      </c>
      <c r="AN7" s="1901" t="s">
        <v>3292</v>
      </c>
      <c r="AO7" s="55">
        <f t="shared" ref="AO7:AO13" ca="1" si="8">SUMIF(INDIRECT("'"&amp;AN7&amp;"'"&amp;"!A:A"),"总价",INDIRECT("'"&amp;AN7&amp;"'"&amp;"!B:B"))</f>
        <v>2887</v>
      </c>
      <c r="AP7" s="1902">
        <f t="shared" ref="AP7:AP13" si="9">IF(C7="住宅",K7*L7,0)</f>
        <v>0</v>
      </c>
      <c r="AQ7" s="55">
        <f t="shared" ref="AQ7:AQ13" si="10">ROUND($L$14*$N$14*S7/10000,0)</f>
        <v>160</v>
      </c>
      <c r="AR7" s="55">
        <f t="shared" ref="AR7:AR13" si="11">ROUND($L$14*(1-$N$14)*S7/10000,0)</f>
        <v>5</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4103.1000000000004</v>
      </c>
      <c r="L14" s="87">
        <f>L6</f>
        <v>3000</v>
      </c>
      <c r="M14" s="71">
        <f t="shared" si="0"/>
        <v>1231</v>
      </c>
      <c r="N14" s="88">
        <f>N7</f>
        <v>0.97</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0.96799999999999997</v>
      </c>
      <c r="H16" s="95">
        <f>ROUND(SUMPRODUCT(H6:H13,K6:K13)/SUMPRODUCT((H6:H13&gt;0)*(K6:K13)),3)</f>
        <v>4.9000000000000002E-2</v>
      </c>
      <c r="I16" s="96"/>
      <c r="J16" s="96"/>
      <c r="K16" s="97">
        <f>SUM(K6:K15)</f>
        <v>131855.63</v>
      </c>
      <c r="L16" s="98">
        <f>ROUND(M16*10000/SUM(K6:K14),0)</f>
        <v>3000</v>
      </c>
      <c r="M16" s="98">
        <f>SUM(M6:M14)</f>
        <v>39557</v>
      </c>
      <c r="N16" s="99">
        <f>ROUND(SUMPRODUCT(M6:M14,N6:N14)/M16,3)</f>
        <v>0.97</v>
      </c>
      <c r="O16" s="98">
        <f>SUM(O6:O14)</f>
        <v>0</v>
      </c>
      <c r="P16" s="98">
        <f>SUM(P6:P14)</f>
        <v>0</v>
      </c>
      <c r="Q16" s="100">
        <f>ROUND(SUMPRODUCT(Q6:Q13,K6:K13)/SUMPRODUCT((Q6:Q13&gt;0)*(K6:K13)),2)</f>
        <v>0.18</v>
      </c>
      <c r="R16" s="1165">
        <f ca="1">SUM(R6:R13)</f>
        <v>41486.36</v>
      </c>
      <c r="S16" s="101">
        <f>SUM(S6:S13)</f>
        <v>4103.0999999999995</v>
      </c>
      <c r="T16" s="102">
        <f>IF(SUMIF(T6:T13,"&lt;9E307")=M14,SUMIF(T6:T13,"&lt;9E307"),"有误，请检查")</f>
        <v>1231</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2637</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56" t="s">
        <v>3312</v>
      </c>
      <c r="B40" s="1210">
        <f ca="1">IF(A40="利息：取LPR",存贷款利率!G1,存贷款利率!G1+C40)</f>
        <v>4.3499999999999997E-2</v>
      </c>
      <c r="C40" s="305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v>0</v>
      </c>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2" t="s">
        <v>3033</v>
      </c>
      <c r="B1" s="3163"/>
      <c r="C1" s="3163"/>
      <c r="D1" s="3163"/>
      <c r="E1" s="3163"/>
      <c r="F1" s="3163"/>
      <c r="G1" s="316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R16" sqref="R16"/>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131855.63</v>
      </c>
      <c r="C1" s="2915"/>
      <c r="D1" s="2915"/>
      <c r="E1" s="2915"/>
      <c r="F1" s="2915"/>
      <c r="G1" s="2916"/>
      <c r="H1" s="2917"/>
      <c r="I1" s="2917"/>
      <c r="J1" s="2917"/>
      <c r="K1" s="2917"/>
    </row>
    <row r="2" spans="1:11" ht="16.5">
      <c r="A2" s="2738" t="s">
        <v>1319</v>
      </c>
      <c r="B2" s="2738">
        <f>SUM(C14:C23)</f>
        <v>41486.36</v>
      </c>
      <c r="C2" s="2915"/>
      <c r="D2" s="2915"/>
      <c r="E2" s="2915"/>
      <c r="F2" s="2915"/>
      <c r="G2" s="2916"/>
      <c r="H2" s="2917"/>
      <c r="I2" s="2917"/>
      <c r="J2" s="2917"/>
      <c r="K2" s="2917"/>
    </row>
    <row r="3" spans="1:11" ht="16.5">
      <c r="A3" s="2738" t="s">
        <v>1328</v>
      </c>
      <c r="B3" s="2740">
        <f>项目基本情况!D3</f>
        <v>44314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223730</v>
      </c>
      <c r="C5" s="2738">
        <f ca="1">ROUND(B5*10000/$B$1,0)</f>
        <v>16968</v>
      </c>
      <c r="D5" s="2738">
        <f ca="1">ROUND(B5*10000/$B$2,0)</f>
        <v>53929</v>
      </c>
      <c r="E5" s="2915"/>
      <c r="F5" s="2916"/>
      <c r="G5" s="2916"/>
      <c r="H5" s="2917"/>
      <c r="I5" s="2917"/>
      <c r="J5" s="2917"/>
      <c r="K5" s="2917"/>
    </row>
    <row r="6" spans="1:11" ht="16.5">
      <c r="A6" s="2738" t="s">
        <v>1322</v>
      </c>
      <c r="B6" s="2738">
        <f ca="1">SUM(G14:G23)</f>
        <v>223730</v>
      </c>
      <c r="C6" s="2738">
        <f ca="1">ROUND(B6*10000/$B$1,0)</f>
        <v>16968</v>
      </c>
      <c r="D6" s="2738">
        <f ca="1">ROUND(B6*10000/$B$2,0)</f>
        <v>53929</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131855.63</v>
      </c>
      <c r="C14" s="2744">
        <f>结果表!C118</f>
        <v>41486.36</v>
      </c>
      <c r="D14" s="2744">
        <f ca="1">结果表!H118</f>
        <v>223730</v>
      </c>
      <c r="E14" s="2744">
        <f ca="1">ROUND(D14*10000/B14,0)</f>
        <v>16968</v>
      </c>
      <c r="F14" s="2744">
        <f ca="1">ROUND(D14*10000/C14,0)</f>
        <v>53929</v>
      </c>
      <c r="G14" s="2744">
        <f ca="1">结果表!D122</f>
        <v>223730</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2" zoomScaleNormal="100" zoomScaleSheetLayoutView="100" zoomScalePageLayoutView="80" workbookViewId="0">
      <selection activeCell="C102" sqref="C102:D10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6" t="str">
        <f>项目基本情况!S2</f>
        <v>北京市房地产</v>
      </c>
      <c r="B2" s="3237"/>
      <c r="C2" s="3237"/>
      <c r="D2" s="3237"/>
      <c r="E2" s="3237"/>
      <c r="F2" s="3237"/>
      <c r="G2" s="3237"/>
      <c r="H2" s="3237"/>
      <c r="I2" s="3238"/>
    </row>
    <row r="3" spans="1:12" ht="12.75">
      <c r="A3" s="3240" t="s">
        <v>1950</v>
      </c>
      <c r="B3" s="3241"/>
      <c r="C3" s="3241"/>
      <c r="D3" s="3241"/>
      <c r="E3" s="3241"/>
      <c r="F3" s="3241"/>
      <c r="G3" s="3241"/>
      <c r="H3" s="3241"/>
      <c r="I3" s="3241"/>
    </row>
    <row r="4" spans="1:12" ht="14.25">
      <c r="A4" s="1940" t="s">
        <v>1951</v>
      </c>
      <c r="B4" s="1941" t="s">
        <v>1952</v>
      </c>
      <c r="C4" s="1942" t="s">
        <v>3285</v>
      </c>
      <c r="D4" s="1942" t="s">
        <v>3294</v>
      </c>
      <c r="E4" s="3243" t="s">
        <v>1953</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1954</v>
      </c>
      <c r="B5" s="3239">
        <v>25</v>
      </c>
      <c r="C5" s="3228">
        <v>24</v>
      </c>
      <c r="D5" s="3242">
        <v>24</v>
      </c>
      <c r="E5" s="136" t="s">
        <v>1955</v>
      </c>
      <c r="F5" s="1943"/>
      <c r="G5" s="1943"/>
      <c r="H5" s="1943"/>
      <c r="I5" s="1557"/>
    </row>
    <row r="6" spans="1:12" ht="12.75">
      <c r="A6" s="3179"/>
      <c r="B6" s="3239"/>
      <c r="C6" s="3229"/>
      <c r="D6" s="3242"/>
      <c r="E6" s="136" t="s">
        <v>1956</v>
      </c>
      <c r="F6" s="1943"/>
      <c r="G6" s="1943"/>
      <c r="H6" s="1943"/>
      <c r="I6" s="1557"/>
    </row>
    <row r="7" spans="1:12" ht="12.75">
      <c r="A7" s="3179"/>
      <c r="B7" s="3239"/>
      <c r="C7" s="3230"/>
      <c r="D7" s="3242"/>
      <c r="E7" s="136" t="s">
        <v>1957</v>
      </c>
      <c r="F7" s="1943"/>
      <c r="G7" s="1943"/>
      <c r="H7" s="1943"/>
      <c r="I7" s="1557"/>
    </row>
    <row r="8" spans="1:12" ht="12.75" customHeight="1">
      <c r="A8" s="3179" t="s">
        <v>1958</v>
      </c>
      <c r="B8" s="3239">
        <v>15</v>
      </c>
      <c r="C8" s="3228">
        <v>14</v>
      </c>
      <c r="D8" s="3228">
        <v>14</v>
      </c>
      <c r="E8" s="136" t="s">
        <v>1959</v>
      </c>
      <c r="F8" s="1943"/>
      <c r="G8" s="1943"/>
      <c r="H8" s="1943"/>
      <c r="I8" s="1557"/>
    </row>
    <row r="9" spans="1:12" ht="12.75" customHeight="1">
      <c r="A9" s="3179"/>
      <c r="B9" s="3239"/>
      <c r="C9" s="3230"/>
      <c r="D9" s="3230"/>
      <c r="E9" s="136" t="s">
        <v>1960</v>
      </c>
      <c r="F9" s="1943"/>
      <c r="G9" s="1943"/>
      <c r="H9" s="1943"/>
      <c r="I9" s="1557"/>
    </row>
    <row r="10" spans="1:12" ht="12.75" customHeight="1">
      <c r="A10" s="3179" t="s">
        <v>1961</v>
      </c>
      <c r="B10" s="3239">
        <v>15</v>
      </c>
      <c r="C10" s="3228">
        <v>14</v>
      </c>
      <c r="D10" s="3228">
        <v>14</v>
      </c>
      <c r="E10" s="136" t="s">
        <v>1962</v>
      </c>
      <c r="F10" s="1943"/>
      <c r="G10" s="1943"/>
      <c r="H10" s="1943"/>
      <c r="I10" s="1557"/>
    </row>
    <row r="11" spans="1:12" ht="12.75" customHeight="1">
      <c r="A11" s="3179"/>
      <c r="B11" s="3239"/>
      <c r="C11" s="3230"/>
      <c r="D11" s="3230"/>
      <c r="E11" s="136" t="s">
        <v>1963</v>
      </c>
      <c r="F11" s="1943"/>
      <c r="G11" s="1943"/>
      <c r="H11" s="1943"/>
      <c r="I11" s="1557"/>
    </row>
    <row r="12" spans="1:12" ht="12.75" customHeight="1">
      <c r="A12" s="3179" t="s">
        <v>1964</v>
      </c>
      <c r="B12" s="3239">
        <v>15</v>
      </c>
      <c r="C12" s="3228">
        <v>14</v>
      </c>
      <c r="D12" s="3228">
        <v>14</v>
      </c>
      <c r="E12" s="136" t="s">
        <v>1965</v>
      </c>
      <c r="F12" s="1943"/>
      <c r="G12" s="1943"/>
      <c r="H12" s="1943"/>
      <c r="I12" s="1557"/>
    </row>
    <row r="13" spans="1:12" ht="12.75" customHeight="1">
      <c r="A13" s="3179"/>
      <c r="B13" s="3239"/>
      <c r="C13" s="3230"/>
      <c r="D13" s="3230"/>
      <c r="E13" s="136" t="s">
        <v>1966</v>
      </c>
      <c r="F13" s="1943"/>
      <c r="G13" s="1943"/>
      <c r="H13" s="1943"/>
      <c r="I13" s="1557"/>
    </row>
    <row r="14" spans="1:12" ht="12.75" customHeight="1">
      <c r="A14" s="3179" t="s">
        <v>1967</v>
      </c>
      <c r="B14" s="3239">
        <v>30</v>
      </c>
      <c r="C14" s="3228">
        <v>25</v>
      </c>
      <c r="D14" s="3228">
        <v>25</v>
      </c>
      <c r="E14" s="136" t="s">
        <v>1968</v>
      </c>
      <c r="F14" s="1943"/>
      <c r="G14" s="1943"/>
      <c r="H14" s="1943"/>
      <c r="I14" s="1557"/>
    </row>
    <row r="15" spans="1:12" ht="12.75" customHeight="1">
      <c r="A15" s="3179"/>
      <c r="B15" s="3239"/>
      <c r="C15" s="3229"/>
      <c r="D15" s="3229"/>
      <c r="E15" s="136" t="s">
        <v>1969</v>
      </c>
      <c r="F15" s="1943"/>
      <c r="G15" s="1943"/>
      <c r="H15" s="1943"/>
      <c r="I15" s="1557"/>
    </row>
    <row r="16" spans="1:12" ht="12.75" customHeight="1">
      <c r="A16" s="3179"/>
      <c r="B16" s="3239"/>
      <c r="C16" s="3230"/>
      <c r="D16" s="3230"/>
      <c r="E16" s="136" t="s">
        <v>1970</v>
      </c>
      <c r="F16" s="1943"/>
      <c r="G16" s="1943"/>
      <c r="H16" s="1943"/>
      <c r="I16" s="1557"/>
    </row>
    <row r="17" spans="1:36" ht="15">
      <c r="A17" s="1944" t="s">
        <v>1971</v>
      </c>
      <c r="B17" s="60"/>
      <c r="C17" s="137">
        <f>SUM(C5:C16)</f>
        <v>91</v>
      </c>
      <c r="D17" s="137">
        <f>SUM(D5:D16)</f>
        <v>91</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9" t="s">
        <v>2874</v>
      </c>
      <c r="F18" s="3260"/>
      <c r="G18" s="3260"/>
      <c r="H18" s="3260"/>
      <c r="I18" s="3260"/>
      <c r="K18" s="308" t="s">
        <v>1975</v>
      </c>
      <c r="L18" s="308">
        <f>IF(C1="",'数据-汇总表'!E3,SUMIF(项目类型,C1,'数据-汇总表'!E17:E26)+SUMIF(项目类型,C1,'数据-汇总表'!I17:I26))</f>
        <v>131855.63</v>
      </c>
      <c r="M18" s="308">
        <f>IF(C1="",'数据-汇总表'!E3,SUMIF(项目类型,C1,'数据-汇总表'!E17:E26))</f>
        <v>131855.63</v>
      </c>
    </row>
    <row r="19" spans="1:36" ht="15">
      <c r="A19" s="1947" t="s">
        <v>1976</v>
      </c>
      <c r="B19" s="1948" t="s">
        <v>1977</v>
      </c>
      <c r="C19" s="139">
        <f ca="1">SUMIF(INDIRECT("'"&amp;C4&amp;"'"&amp;"!A:A"),结果表!B19,INDIRECT("'"&amp;C4&amp;"'"&amp;"!B:B"))</f>
        <v>248183</v>
      </c>
      <c r="D19" s="140">
        <f ca="1">SUMIF(INDIRECT("'"&amp;D4&amp;"'"&amp;"!A:A"),结果表!B19,INDIRECT("'"&amp;D4&amp;"'"&amp;"!B:B"))</f>
        <v>199277</v>
      </c>
      <c r="E19" s="1947" t="s">
        <v>1978</v>
      </c>
      <c r="F19" s="1948" t="s">
        <v>1977</v>
      </c>
      <c r="G19" s="141">
        <f ca="1">ROUND(C19*$C$18+D19*$D$18,0)</f>
        <v>223730</v>
      </c>
      <c r="H19" s="1949" t="s">
        <v>1979</v>
      </c>
      <c r="I19" s="134"/>
      <c r="K19" s="308" t="s">
        <v>1980</v>
      </c>
      <c r="L19" s="308">
        <f>IF(C1="",'数据-汇总表'!D3,SUMIF(项目类型,C1,'数据-汇总表'!D17:D26)+SUMIF(项目类型,C1,'数据-汇总表'!H17:H27))</f>
        <v>41486.36</v>
      </c>
      <c r="M19" s="308">
        <f>IF(C1="",'数据-汇总表'!D3,SUMIF(项目类型,C1,'数据-汇总表'!D17:D26))</f>
        <v>41486.36</v>
      </c>
    </row>
    <row r="20" spans="1:36" ht="15">
      <c r="A20" s="1950"/>
      <c r="B20" s="1157" t="s">
        <v>1981</v>
      </c>
      <c r="C20" s="142">
        <f ca="1">SUMIF(INDIRECT("'"&amp;C4&amp;"'"&amp;"!A:A"),结果表!B20,INDIRECT("'"&amp;C4&amp;"'"&amp;"!B:B"))</f>
        <v>18822</v>
      </c>
      <c r="D20" s="143">
        <f ca="1">SUMIF(INDIRECT("'"&amp;D4&amp;"'"&amp;"!A:A"),结果表!B20,INDIRECT("'"&amp;D4&amp;"'"&amp;"!B:B"))</f>
        <v>15113</v>
      </c>
      <c r="E20" s="1950"/>
      <c r="F20" s="1157" t="s">
        <v>1981</v>
      </c>
      <c r="G20" s="144">
        <f ca="1">ROUND(C20*$C$18+D20*$D$18,0)</f>
        <v>16968</v>
      </c>
      <c r="H20" s="917" t="s">
        <v>1982</v>
      </c>
      <c r="I20" s="134">
        <f ca="1">(G19-'收益法 (2)'!B2)/'数据-汇总表'!F31*10000</f>
        <v>27946.00536615742</v>
      </c>
    </row>
    <row r="21" spans="1:36" ht="15" customHeight="1" thickBot="1">
      <c r="A21" s="937"/>
      <c r="B21" s="1951" t="s">
        <v>1983</v>
      </c>
      <c r="C21" s="728">
        <f ca="1">ROUND(C19*10000/L19,0)</f>
        <v>59823</v>
      </c>
      <c r="D21" s="729">
        <f ca="1">ROUND(D19*10000/L19,0)</f>
        <v>48034</v>
      </c>
      <c r="E21" s="937"/>
      <c r="F21" s="1951" t="s">
        <v>1983</v>
      </c>
      <c r="G21" s="145">
        <f ca="1">ROUND(G19*10000/L19,0)</f>
        <v>53929</v>
      </c>
      <c r="H21" s="1952" t="s">
        <v>1982</v>
      </c>
      <c r="I21" s="134"/>
    </row>
    <row r="22" spans="1:36" ht="15" thickBot="1">
      <c r="A22" s="1874" t="s">
        <v>1984</v>
      </c>
      <c r="B22" s="1953"/>
      <c r="C22" s="1954"/>
      <c r="D22" s="730">
        <f ca="1">IF(C19&lt;D19,D19/C19-1,C19/D19-1)</f>
        <v>0.24541718311696781</v>
      </c>
      <c r="E22" s="134"/>
      <c r="F22" s="134"/>
      <c r="G22" s="134"/>
      <c r="H22" s="134"/>
      <c r="I22" s="134"/>
    </row>
    <row r="23" spans="1:36" ht="13.5" thickBot="1">
      <c r="A23" s="1933"/>
      <c r="B23" s="1933"/>
      <c r="C23" s="1933"/>
      <c r="D23" s="1933"/>
      <c r="E23" s="134"/>
      <c r="F23" s="134"/>
      <c r="G23" s="134"/>
      <c r="H23" s="134"/>
      <c r="I23" s="134"/>
    </row>
    <row r="24" spans="1:36" ht="14.25">
      <c r="A24" s="3252" t="s">
        <v>1985</v>
      </c>
      <c r="B24" s="1948" t="s">
        <v>1977</v>
      </c>
      <c r="C24" s="141">
        <f>IF(B30=0,0,D30)</f>
        <v>0</v>
      </c>
      <c r="D24" s="1955"/>
      <c r="E24" s="134"/>
      <c r="F24" s="134"/>
      <c r="G24" s="134">
        <v>22</v>
      </c>
      <c r="H24" s="134"/>
      <c r="I24" s="134"/>
    </row>
    <row r="25" spans="1:36" ht="14.25">
      <c r="A25" s="325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223730</v>
      </c>
      <c r="D32" s="1961" t="s">
        <v>3283</v>
      </c>
      <c r="E32" s="134"/>
      <c r="F32" s="134"/>
      <c r="G32" s="134"/>
      <c r="H32" s="134"/>
      <c r="I32" s="134"/>
    </row>
    <row r="33" spans="1:15" ht="15">
      <c r="A33" s="894" t="s">
        <v>1992</v>
      </c>
      <c r="B33" s="1962"/>
      <c r="C33" s="1963" t="s">
        <v>3284</v>
      </c>
      <c r="D33" s="1964" t="s">
        <v>3285</v>
      </c>
      <c r="E33" s="1965" t="s">
        <v>1993</v>
      </c>
      <c r="F33" s="1966" t="str">
        <f>IF(D32="楼面单价","取值（单价）","取值（总价）")</f>
        <v>取值（总价）</v>
      </c>
      <c r="G33" s="134"/>
      <c r="H33" s="134"/>
      <c r="I33" s="134"/>
    </row>
    <row r="34" spans="1:15" ht="15">
      <c r="A34" s="1967"/>
      <c r="B34" s="1968" t="s">
        <v>1994</v>
      </c>
      <c r="C34" s="153">
        <f ca="1">IF(C33="自定义",F34,C32-C35)</f>
        <v>170259</v>
      </c>
      <c r="D34" s="970">
        <f ca="1">IF(C33="自定义",ROUND(C34/C32,3),IF(C33="收益比率",SUMIF(INDIRECT("'"&amp;D33&amp;"'"&amp;"!b:b"),"土地收益比率",INDIRECT("'"&amp;D33&amp;"'"&amp;"!c:c")),SUMIF(INDIRECT("'"&amp;D33&amp;"'"&amp;"!b:b"),"土地成本比率",INDIRECT("'"&amp;D33&amp;"'"&amp;"!c:c"))))</f>
        <v>0.76100000000000001</v>
      </c>
      <c r="E34" s="1969" t="s">
        <v>1995</v>
      </c>
      <c r="F34" s="1498"/>
      <c r="G34" s="134"/>
      <c r="H34" s="134"/>
      <c r="I34" s="134"/>
    </row>
    <row r="35" spans="1:15" ht="15.75" thickBot="1">
      <c r="A35" s="1970"/>
      <c r="B35" s="1971" t="s">
        <v>1996</v>
      </c>
      <c r="C35" s="1332">
        <f ca="1">IF(C33="自定义",F35,ROUND(C32*D35,0))</f>
        <v>53471</v>
      </c>
      <c r="D35" s="1333">
        <f ca="1">IF(C33="自定义",ROUND(C35/C32,3),IF(C33="收益比率",SUMIF(INDIRECT("'"&amp;D33&amp;"'"&amp;"!b:b"),"建筑物收益比率",INDIRECT("'"&amp;D33&amp;"'"&amp;"!c:c")),SUMIF(INDIRECT("'"&amp;D33&amp;"'"&amp;"!b:b"),"建筑物成本比率",INDIRECT("'"&amp;D33&amp;"'"&amp;"!c:c"))))</f>
        <v>0.23899999999999999</v>
      </c>
      <c r="E35" s="1972" t="s">
        <v>1997</v>
      </c>
      <c r="F35" s="159"/>
      <c r="G35" s="134"/>
      <c r="H35" s="134"/>
      <c r="I35" s="134"/>
    </row>
    <row r="36" spans="1:15" ht="15.75" thickBot="1">
      <c r="A36" s="3231" t="s">
        <v>1998</v>
      </c>
      <c r="B36" s="1973" t="s">
        <v>1999</v>
      </c>
      <c r="C36" s="150"/>
      <c r="D36" s="1974"/>
      <c r="E36" s="1975"/>
      <c r="F36" s="1976"/>
      <c r="G36" s="134"/>
      <c r="H36" s="134"/>
      <c r="I36" s="134"/>
    </row>
    <row r="37" spans="1:15" ht="15.75" thickBot="1">
      <c r="A37" s="3232"/>
      <c r="B37" s="1860" t="s">
        <v>2000</v>
      </c>
      <c r="C37" s="152"/>
      <c r="D37" s="1301"/>
      <c r="E37" s="1301"/>
      <c r="F37" s="1976"/>
      <c r="G37" s="134"/>
      <c r="H37" s="134"/>
      <c r="I37" s="134"/>
    </row>
    <row r="38" spans="1:15" ht="15.75" thickBot="1">
      <c r="A38" s="323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9" t="s">
        <v>2012</v>
      </c>
      <c r="B45" s="3250"/>
      <c r="C45" s="3251"/>
      <c r="D45" s="160">
        <f ca="1">ROUND(H101*F45,0)</f>
        <v>223730</v>
      </c>
      <c r="E45" s="161" t="s">
        <v>2013</v>
      </c>
      <c r="F45" s="162">
        <v>1</v>
      </c>
      <c r="G45" s="163" t="s">
        <v>2014</v>
      </c>
      <c r="H45" s="134"/>
      <c r="I45" s="134"/>
      <c r="J45" s="3166" t="s">
        <v>2015</v>
      </c>
      <c r="K45" s="3166"/>
      <c r="L45" s="3166"/>
      <c r="M45" s="3166"/>
      <c r="N45" s="3166"/>
      <c r="O45" s="3166"/>
    </row>
    <row r="46" spans="1:15" ht="14.25" customHeight="1">
      <c r="A46" s="3246" t="s">
        <v>2016</v>
      </c>
      <c r="B46" s="3247"/>
      <c r="C46" s="3247"/>
      <c r="D46" s="3247"/>
      <c r="E46" s="3247"/>
      <c r="F46" s="3247"/>
      <c r="G46" s="3248"/>
      <c r="H46" s="1992"/>
      <c r="I46" s="164"/>
      <c r="J46" s="2749">
        <v>1</v>
      </c>
      <c r="K46" s="3167" t="s">
        <v>2017</v>
      </c>
      <c r="L46" s="3167"/>
      <c r="M46" s="3168"/>
      <c r="N46" s="3168"/>
      <c r="O46" s="3168"/>
    </row>
    <row r="47" spans="1:15" ht="12" customHeight="1">
      <c r="A47" s="165" t="s">
        <v>2018</v>
      </c>
      <c r="B47" s="166"/>
      <c r="C47" s="167"/>
      <c r="D47" s="1247" t="s">
        <v>2019</v>
      </c>
      <c r="E47" s="308" t="s">
        <v>2020</v>
      </c>
      <c r="F47" s="168" t="s">
        <v>2021</v>
      </c>
      <c r="G47" s="2772" t="s">
        <v>2022</v>
      </c>
      <c r="H47" s="2773"/>
      <c r="I47" s="164"/>
      <c r="J47" s="2749">
        <v>2</v>
      </c>
      <c r="K47" s="3167" t="s">
        <v>2023</v>
      </c>
      <c r="L47" s="3167"/>
      <c r="M47" s="3169">
        <f>'数据-取费表'!B2</f>
        <v>44314</v>
      </c>
      <c r="N47" s="3169"/>
      <c r="O47" s="3169"/>
    </row>
    <row r="48" spans="1:15" ht="25.5">
      <c r="A48" s="3234" t="s">
        <v>2024</v>
      </c>
      <c r="B48" s="3235"/>
      <c r="C48" s="323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67" t="s">
        <v>2026</v>
      </c>
      <c r="L48" s="3167"/>
      <c r="M48" s="3170">
        <f ca="1">H101</f>
        <v>223730</v>
      </c>
      <c r="N48" s="3170"/>
      <c r="O48" s="3170"/>
    </row>
    <row r="49" spans="1:35" ht="25.5" customHeight="1">
      <c r="A49" s="2556" t="s">
        <v>2027</v>
      </c>
      <c r="B49" s="3215" t="s">
        <v>2028</v>
      </c>
      <c r="C49" s="3215"/>
      <c r="D49" s="1775">
        <v>0</v>
      </c>
      <c r="E49" s="330" t="s">
        <v>2029</v>
      </c>
      <c r="F49" s="2650" t="s">
        <v>34</v>
      </c>
      <c r="G49" s="3198"/>
      <c r="H49" s="2528" t="s">
        <v>2877</v>
      </c>
      <c r="I49" s="2529"/>
      <c r="J49" s="2749">
        <v>4</v>
      </c>
      <c r="K49" s="3167" t="str">
        <f>IF(项目基本情况!E8="房地产抵押价值","房地产抵押价值","抵押担保权已注销时的房地产抵押价值")</f>
        <v>房地产抵押价值</v>
      </c>
      <c r="L49" s="3167"/>
      <c r="M49" s="3170">
        <f ca="1">IF(项目基本情况!E8="房地产抵押价值",H107,H109)</f>
        <v>223730</v>
      </c>
      <c r="N49" s="3170"/>
      <c r="O49" s="3170"/>
    </row>
    <row r="50" spans="1:35" ht="25.5" customHeight="1">
      <c r="A50" s="2777"/>
      <c r="B50" s="3215" t="s">
        <v>2030</v>
      </c>
      <c r="C50" s="3215"/>
      <c r="D50" s="2778"/>
      <c r="E50" s="338"/>
      <c r="F50" s="2650"/>
      <c r="G50" s="3199"/>
      <c r="H50" s="2530" t="s">
        <v>2878</v>
      </c>
      <c r="I50" s="2529"/>
      <c r="J50" s="3166" t="s">
        <v>2031</v>
      </c>
      <c r="K50" s="3166"/>
      <c r="L50" s="3166"/>
      <c r="M50" s="3166"/>
      <c r="N50" s="3166"/>
      <c r="O50" s="3166"/>
    </row>
    <row r="51" spans="1:35" ht="20.45" customHeight="1">
      <c r="A51" s="2779"/>
      <c r="B51" s="3215" t="s">
        <v>2032</v>
      </c>
      <c r="C51" s="3215"/>
      <c r="D51" s="1247"/>
      <c r="E51" s="333"/>
      <c r="F51" s="2650"/>
      <c r="G51" s="3200"/>
      <c r="H51" s="2530" t="s">
        <v>2879</v>
      </c>
      <c r="I51" s="2529"/>
      <c r="J51" s="2750" t="s">
        <v>2033</v>
      </c>
      <c r="K51" s="3167" t="s">
        <v>2034</v>
      </c>
      <c r="L51" s="3167"/>
      <c r="M51" s="2750" t="s">
        <v>2035</v>
      </c>
      <c r="N51" s="2750" t="s">
        <v>2036</v>
      </c>
      <c r="O51" s="2750" t="s">
        <v>2037</v>
      </c>
    </row>
    <row r="52" spans="1:35" ht="24" customHeight="1">
      <c r="A52" s="2558" t="s">
        <v>2038</v>
      </c>
      <c r="B52" s="3215" t="s">
        <v>2039</v>
      </c>
      <c r="C52" s="3215"/>
      <c r="D52" s="1247">
        <f ca="1">ROUND(D45*'数据-取费表'!B41/(1+'数据-取费表'!C42),0)</f>
        <v>11719</v>
      </c>
      <c r="E52" s="2557" t="s">
        <v>2040</v>
      </c>
      <c r="F52" s="2780">
        <f>'数据-取费表'!B41</f>
        <v>5.5000000000000007E-2</v>
      </c>
      <c r="G52" s="2781"/>
      <c r="H52" s="2770"/>
      <c r="I52" s="1993"/>
      <c r="J52" s="2749">
        <v>1</v>
      </c>
      <c r="K52" s="3192" t="s">
        <v>2041</v>
      </c>
      <c r="L52" s="3192"/>
      <c r="M52" s="2751" t="b">
        <f>D48</f>
        <v>0</v>
      </c>
      <c r="N52" s="2749" t="str">
        <f>E48</f>
        <v>销售额×税（费）率</v>
      </c>
      <c r="O52" s="2752">
        <f>F48</f>
        <v>5.5000000000000007E-2</v>
      </c>
    </row>
    <row r="53" spans="1:35" ht="12" customHeight="1">
      <c r="A53" s="2558" t="s">
        <v>2042</v>
      </c>
      <c r="B53" s="3216" t="s">
        <v>3038</v>
      </c>
      <c r="C53" s="3217"/>
      <c r="D53" s="1247">
        <f ca="1">ROUND(D45*'数据-取费表'!B41/(1+'数据-取费表'!C42),0)</f>
        <v>11719</v>
      </c>
      <c r="E53" s="2557" t="s">
        <v>2040</v>
      </c>
      <c r="F53" s="2780">
        <f>'数据-取费表'!B41</f>
        <v>5.5000000000000007E-2</v>
      </c>
      <c r="G53" s="2781"/>
      <c r="H53" s="2770"/>
      <c r="I53" s="1993"/>
      <c r="J53" s="2749">
        <v>2</v>
      </c>
      <c r="K53" s="3192" t="s">
        <v>2043</v>
      </c>
      <c r="L53" s="3192"/>
      <c r="M53" s="2751">
        <f t="shared" ref="M53:O54" ca="1" si="0">D55</f>
        <v>112</v>
      </c>
      <c r="N53" s="2749" t="str">
        <f t="shared" si="0"/>
        <v>销售额×税（费）率</v>
      </c>
      <c r="O53" s="2752" t="str">
        <f t="shared" si="0"/>
        <v>免征</v>
      </c>
    </row>
    <row r="54" spans="1:35" ht="12" customHeight="1">
      <c r="A54" s="2558" t="s">
        <v>2044</v>
      </c>
      <c r="B54" s="3216" t="s">
        <v>3039</v>
      </c>
      <c r="C54" s="3217"/>
      <c r="D54" s="1247">
        <f ca="1">C68</f>
        <v>11719</v>
      </c>
      <c r="E54" s="333" t="s">
        <v>2045</v>
      </c>
      <c r="F54" s="2780">
        <f>'数据-取费表'!B41</f>
        <v>5.5000000000000007E-2</v>
      </c>
      <c r="G54" s="2781"/>
      <c r="H54" s="2782"/>
      <c r="I54" s="1993"/>
      <c r="J54" s="2749">
        <v>3</v>
      </c>
      <c r="K54" s="3192" t="s">
        <v>2046</v>
      </c>
      <c r="L54" s="3192"/>
      <c r="M54" s="2751">
        <f t="shared" ca="1" si="0"/>
        <v>126834</v>
      </c>
      <c r="N54" s="2749" t="str">
        <f t="shared" si="0"/>
        <v>增值额×税（费）率</v>
      </c>
      <c r="O54" s="2753" t="str">
        <f t="shared" si="0"/>
        <v>免征</v>
      </c>
    </row>
    <row r="55" spans="1:35" ht="24" customHeight="1">
      <c r="A55" s="3255" t="s">
        <v>2047</v>
      </c>
      <c r="B55" s="3235"/>
      <c r="C55" s="3235"/>
      <c r="D55" s="2547">
        <f ca="1">IF(H55="个人住宅",0,ROUND(D45*I55,0))</f>
        <v>112</v>
      </c>
      <c r="E55" s="2557" t="s">
        <v>2048</v>
      </c>
      <c r="F55" s="2780" t="str">
        <f>IF(H55="正常",I55,"免征")</f>
        <v>免征</v>
      </c>
      <c r="G55" s="2781"/>
      <c r="H55" s="2776"/>
      <c r="I55" s="170">
        <f>'数据-取费表'!B49</f>
        <v>5.0000000000000001E-4</v>
      </c>
      <c r="J55" s="2749">
        <f>IF(H59="非个人房产","",4)</f>
        <v>4</v>
      </c>
      <c r="K55" s="3192" t="str">
        <f>IF(H59="非个人房产","——","个人所得税")</f>
        <v>个人所得税</v>
      </c>
      <c r="L55" s="3192"/>
      <c r="M55" s="2754">
        <f ca="1">D59</f>
        <v>2131</v>
      </c>
      <c r="N55" s="2228" t="str">
        <f>E59</f>
        <v>差额计税</v>
      </c>
      <c r="O55" s="2755">
        <f>F59</f>
        <v>0.01</v>
      </c>
    </row>
    <row r="56" spans="1:35" ht="24.75">
      <c r="A56" s="3255" t="s">
        <v>2049</v>
      </c>
      <c r="B56" s="3235"/>
      <c r="C56" s="3235"/>
      <c r="D56" s="2547">
        <f ca="1">IF(H56="个人住宅",D57,D58)</f>
        <v>126834</v>
      </c>
      <c r="E56" s="2557" t="s">
        <v>2050</v>
      </c>
      <c r="F56" s="2780" t="str">
        <f>IF(H56="正常",F58,"免征")</f>
        <v>免征</v>
      </c>
      <c r="G56" s="2783" t="s">
        <v>2051</v>
      </c>
      <c r="H56" s="2784"/>
      <c r="I56" s="1994"/>
      <c r="J56" s="2749" t="str">
        <f>IF(项目基本情况!K6="上海银行",IF(J55="",4,J55+1),"")</f>
        <v/>
      </c>
      <c r="K56" s="3173" t="str">
        <f>IF(项目基本情况!K6="上海银行","其他处置费用","")</f>
        <v/>
      </c>
      <c r="L56" s="3174"/>
      <c r="M56" s="2751" t="str">
        <f>IF(项目基本情况!K6="上海银行",M69,"")</f>
        <v/>
      </c>
      <c r="N56" s="3173" t="str">
        <f>IF(项目基本情况!K6="上海银行","包含处置中涉及的律师、诉讼、拍卖、评估等费用","")</f>
        <v/>
      </c>
      <c r="O56" s="3176"/>
    </row>
    <row r="57" spans="1:35" ht="12.75">
      <c r="A57" s="2558" t="s">
        <v>2027</v>
      </c>
      <c r="B57" s="3216" t="s">
        <v>2052</v>
      </c>
      <c r="C57" s="3217"/>
      <c r="D57" s="1775">
        <v>0</v>
      </c>
      <c r="E57" s="330" t="s">
        <v>2029</v>
      </c>
      <c r="F57" s="308"/>
      <c r="G57" s="2781"/>
      <c r="H57" s="2785"/>
      <c r="I57" s="1994"/>
      <c r="J57" s="3192">
        <f>IF(AND(J55="",J56=""),4,IF(项目基本情况!K6="上海银行",结果表!J56+1,结果表!J55+1))</f>
        <v>5</v>
      </c>
      <c r="K57" s="3192" t="s">
        <v>2053</v>
      </c>
      <c r="L57" s="2756" t="s">
        <v>2054</v>
      </c>
      <c r="M57" s="2757"/>
      <c r="N57" s="2758">
        <f ca="1">SUMIF(M52:M56,"&lt;9e307")</f>
        <v>129077</v>
      </c>
      <c r="O57" s="2759"/>
      <c r="P57" s="2919">
        <f ca="1">N57/M49</f>
        <v>0.57693201626961066</v>
      </c>
    </row>
    <row r="58" spans="1:35" ht="24.75">
      <c r="A58" s="2558" t="s">
        <v>2038</v>
      </c>
      <c r="B58" s="3216" t="s">
        <v>2055</v>
      </c>
      <c r="C58" s="3215"/>
      <c r="D58" s="2547">
        <f ca="1">IF(H58="转让取得",C81,C97)</f>
        <v>126834</v>
      </c>
      <c r="E58" s="2557" t="s">
        <v>2050</v>
      </c>
      <c r="F58" s="308" t="s">
        <v>34</v>
      </c>
      <c r="G58" s="2781"/>
      <c r="H58" s="2784"/>
      <c r="I58" s="1994"/>
      <c r="J58" s="3192"/>
      <c r="K58" s="3192"/>
      <c r="L58" s="2756" t="s">
        <v>2056</v>
      </c>
      <c r="M58" s="2760"/>
      <c r="N58" s="2761" t="str">
        <f ca="1">NUMBERSTRING(INT(N57*10000),2)&amp;"元整"</f>
        <v>壹拾贰亿玖仟零柒拾柒万元整</v>
      </c>
      <c r="O58" s="2762"/>
    </row>
    <row r="59" spans="1:35" ht="24.75" thickBot="1">
      <c r="A59" s="3196" t="s">
        <v>2057</v>
      </c>
      <c r="B59" s="3197"/>
      <c r="C59" s="3197"/>
      <c r="D59" s="2786">
        <f ca="1">IF(H59="非个人房产","——",IF(H59="个人住宅（满五唯一有凭证）",0,IF(H59="个人其他（无凭证）",ROUND(D45*F59,0),ROUND(C67*F59,0))))</f>
        <v>2131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194">
        <f>J57+1</f>
        <v>6</v>
      </c>
      <c r="K59" s="3192" t="s">
        <v>2058</v>
      </c>
      <c r="L59" s="2749" t="s">
        <v>2054</v>
      </c>
      <c r="M59" s="2763"/>
      <c r="N59" s="2764">
        <f ca="1">M49-N57</f>
        <v>94653</v>
      </c>
      <c r="O59" s="2765"/>
    </row>
    <row r="60" spans="1:35" ht="12" customHeight="1">
      <c r="A60" s="1995"/>
      <c r="B60" s="1933"/>
      <c r="C60" s="1933"/>
      <c r="D60" s="1933"/>
      <c r="E60" s="1763"/>
      <c r="F60" s="1994"/>
      <c r="G60" s="1994"/>
      <c r="H60" s="1996"/>
      <c r="I60" s="134"/>
      <c r="J60" s="3195"/>
      <c r="K60" s="3192"/>
      <c r="L60" s="2756" t="s">
        <v>2056</v>
      </c>
      <c r="M60" s="2760"/>
      <c r="N60" s="2761" t="str">
        <f ca="1">NUMBERSTRING(INT(N59*10000),2)&amp;"元整"</f>
        <v>玖亿肆仟陆佰伍拾叁万元整</v>
      </c>
      <c r="O60" s="2762"/>
    </row>
    <row r="61" spans="1:35" ht="13.5" thickBot="1">
      <c r="A61" s="3254" t="s">
        <v>2059</v>
      </c>
      <c r="B61" s="3254"/>
      <c r="C61" s="3254"/>
      <c r="D61" s="3254"/>
      <c r="E61" s="3254"/>
      <c r="F61" s="1994"/>
      <c r="G61" s="1994"/>
      <c r="H61" s="1996"/>
      <c r="I61" s="134"/>
      <c r="J61" s="2749">
        <f>J59+1</f>
        <v>7</v>
      </c>
      <c r="K61" s="3192" t="s">
        <v>2060</v>
      </c>
      <c r="L61" s="3192"/>
      <c r="M61" s="2766"/>
      <c r="N61" s="2767">
        <f ca="1">ROUND(N59*10000/'数据-汇总表'!E3,0)</f>
        <v>7179</v>
      </c>
      <c r="O61" s="2768"/>
    </row>
    <row r="62" spans="1:35" ht="12.75">
      <c r="A62" s="3211" t="s">
        <v>2061</v>
      </c>
      <c r="B62" s="3212"/>
      <c r="C62" s="2209"/>
      <c r="D62" s="2209" t="s">
        <v>2062</v>
      </c>
      <c r="E62" s="171" t="s">
        <v>2063</v>
      </c>
      <c r="F62" s="1994"/>
      <c r="G62" s="1994"/>
      <c r="H62" s="1996"/>
      <c r="I62" s="134"/>
    </row>
    <row r="63" spans="1:35" ht="12.75">
      <c r="A63" s="178" t="s">
        <v>775</v>
      </c>
      <c r="B63" s="172" t="s">
        <v>2064</v>
      </c>
      <c r="C63" s="2790">
        <f ca="1">ROUND((C64+C65)/(1+'数据-取费表'!C42),0)</f>
        <v>213076</v>
      </c>
      <c r="D63" s="172"/>
      <c r="E63" s="173"/>
      <c r="F63" s="1994"/>
      <c r="G63" s="1994"/>
      <c r="H63" s="1996"/>
      <c r="I63" s="134"/>
      <c r="J63" s="3175" t="s">
        <v>2065</v>
      </c>
      <c r="K63" s="1501" t="s">
        <v>2066</v>
      </c>
      <c r="L63" s="1501">
        <f ca="1">IF(M49&gt;10000,M49*0.5%,IF(AND(M49&gt;1000,M49&lt;=10000),M49*1%,IF(AND(M49&gt;100,M49&lt;=1000),M49*3%,IF(AND(M49&gt;10,M49&lt;=100),M49*5%,M49*8%))))</f>
        <v>1118.6500000000001</v>
      </c>
      <c r="M63" s="308">
        <f ca="1">ROUND(L63,1)</f>
        <v>1118.7</v>
      </c>
      <c r="N63" s="2769"/>
      <c r="Z63" s="1938"/>
      <c r="AI63" s="1939"/>
    </row>
    <row r="64" spans="1:35" ht="14.25" customHeight="1">
      <c r="A64" s="174" t="s">
        <v>770</v>
      </c>
      <c r="B64" s="175" t="s">
        <v>2067</v>
      </c>
      <c r="C64" s="2791">
        <f ca="1">D45</f>
        <v>223730</v>
      </c>
      <c r="D64" s="175" t="s">
        <v>32</v>
      </c>
      <c r="E64" s="177"/>
      <c r="F64" s="1994"/>
      <c r="G64" s="1994"/>
      <c r="H64" s="1996"/>
      <c r="I64" s="134"/>
      <c r="J64" s="3175"/>
      <c r="K64" s="1501" t="s">
        <v>2068</v>
      </c>
      <c r="L64" s="1501">
        <f ca="1">IF(M49&gt;2000,M49*0.5%,IF(AND(M49&gt;1000,M49&lt;=2000),M49*0.6%,IF(AND(M49&gt;500,M49&lt;=1000),M49*0.7%,IF(AND(M49&gt;200,M49&lt;=500),M49*0.8%,IF(AND(M49&gt;100,M49&lt;=200),M49*0.9%,IF(AND(M49&gt;50,M49&lt;=100),M49*1%,IF(AND(M49&gt;20,M49&lt;=50),M49*1.5%,IF(AND(M49&gt;10,M49&lt;=20),M49*2%,IF(AND(M49&gt;1,M49&lt;=10),M49*2.5%)))))))))</f>
        <v>1118.6500000000001</v>
      </c>
      <c r="M64" s="308">
        <f t="shared" ref="M64:M65" ca="1" si="1">ROUND(L64,1)</f>
        <v>1118.7</v>
      </c>
      <c r="N64" s="2770" t="s">
        <v>2069</v>
      </c>
      <c r="Z64" s="1938"/>
      <c r="AI64" s="1939"/>
    </row>
    <row r="65" spans="1:35" ht="14.25" customHeight="1">
      <c r="A65" s="174" t="s">
        <v>771</v>
      </c>
      <c r="B65" s="175" t="s">
        <v>2070</v>
      </c>
      <c r="C65" s="2792"/>
      <c r="D65" s="175"/>
      <c r="E65" s="177"/>
      <c r="F65" s="1994"/>
      <c r="G65" s="1994"/>
      <c r="H65" s="1996"/>
      <c r="I65" s="134"/>
      <c r="J65" s="3175"/>
      <c r="K65" s="1501" t="s">
        <v>2071</v>
      </c>
      <c r="L65" s="1501">
        <f ca="1">IF(M49&gt;1000,M49*0.1%,IF(AND(M49&gt;500,M49&lt;=1000),M49*0.5%,IF(AND(M49&gt;50,M49&lt;=500),M49*1%,IF(AND(M49&gt;1,M49&lt;=50),M49*1.5%))))</f>
        <v>223.73000000000002</v>
      </c>
      <c r="M65" s="308">
        <f t="shared" ca="1" si="1"/>
        <v>223.7</v>
      </c>
      <c r="N65" s="2770" t="s">
        <v>2069</v>
      </c>
      <c r="Z65" s="1938"/>
      <c r="AI65" s="1939"/>
    </row>
    <row r="66" spans="1:35" ht="14.25" customHeight="1">
      <c r="A66" s="178" t="s">
        <v>772</v>
      </c>
      <c r="B66" s="179" t="s">
        <v>2072</v>
      </c>
      <c r="C66" s="2793"/>
      <c r="D66" s="179" t="s">
        <v>32</v>
      </c>
      <c r="E66" s="1509" t="s">
        <v>1337</v>
      </c>
      <c r="F66" s="1994"/>
      <c r="G66" s="1994"/>
      <c r="H66" s="1996"/>
      <c r="I66" s="134"/>
      <c r="J66" s="3175"/>
      <c r="K66" s="1501" t="s">
        <v>2073</v>
      </c>
      <c r="L66" s="1501">
        <f ca="1">M49*0.5%</f>
        <v>1118.6500000000001</v>
      </c>
      <c r="M66" s="308">
        <f ca="1">IF(L66&gt;0.5,0.5,ROUND(L66,0))</f>
        <v>0.5</v>
      </c>
      <c r="N66" s="2770" t="s">
        <v>2074</v>
      </c>
      <c r="Z66" s="1938"/>
      <c r="AI66" s="1939"/>
    </row>
    <row r="67" spans="1:35" ht="14.25" customHeight="1">
      <c r="A67" s="178" t="s">
        <v>773</v>
      </c>
      <c r="B67" s="179" t="s">
        <v>2075</v>
      </c>
      <c r="C67" s="2794">
        <f ca="1">C63-C66</f>
        <v>213076</v>
      </c>
      <c r="D67" s="175" t="s">
        <v>32</v>
      </c>
      <c r="E67" s="177"/>
      <c r="F67" s="1994"/>
      <c r="G67" s="1994"/>
      <c r="H67" s="1996"/>
      <c r="I67" s="134"/>
      <c r="J67" s="3175"/>
      <c r="K67" s="1501" t="s">
        <v>2076</v>
      </c>
      <c r="L67" s="1501">
        <f ca="1">IF(M49&gt;=10000,(8.25+(M49-10000)*0.01%),IF(AND(M49&gt;=8000,M49&lt;10000),(7.85+(M49-8000)*0.02%),IF(AND(M49&gt;=5000,M49&lt;8000),(6.65+(M49-5000)*0.04%),IF(AND(M49&gt;=2000,M49&lt;5000),(4.25+(PM49-2000)*0.08%),IF(AND(M49&gt;=1000,M49&lt;2000),(2.75+(M49-1000)*0.15%),IF(AND(M49&gt;=100,M49&lt;1000),(0.5+(M49-100)*0.25%),IF(AND(M49&gt;0,M49&lt;100),M49*0.5%)))))))</f>
        <v>29.623000000000001</v>
      </c>
      <c r="M67" s="308">
        <f ca="1">ROUND(L67*0.9,1)</f>
        <v>26.7</v>
      </c>
      <c r="N67" s="2769"/>
      <c r="Z67" s="1938"/>
      <c r="AI67" s="1939"/>
    </row>
    <row r="68" spans="1:35" ht="14.25" customHeight="1" thickBot="1">
      <c r="A68" s="181" t="s">
        <v>774</v>
      </c>
      <c r="B68" s="182" t="s">
        <v>2077</v>
      </c>
      <c r="C68" s="2795">
        <f ca="1">IF(C67&lt;=0,0,ROUND(C67*D68,0))</f>
        <v>11719</v>
      </c>
      <c r="D68" s="2796">
        <f>'数据-取费表'!B41</f>
        <v>5.5000000000000007E-2</v>
      </c>
      <c r="E68" s="184"/>
      <c r="F68" s="1994"/>
      <c r="G68" s="1994"/>
      <c r="H68" s="1996"/>
      <c r="I68" s="134"/>
      <c r="J68" s="3175"/>
      <c r="K68" s="1501" t="s">
        <v>2078</v>
      </c>
      <c r="L68" s="1501">
        <f ca="1">IF(M49&gt;10000,M49*0.5%,IF(AND(M49&gt;5000,M49&lt;=10000),M49*1%,IF(AND(M49&gt;1000,M49&lt;=5000),M49*2%,IF(AND(M49&gt;200,M49&lt;=1000),M49*3%,M49*5%))))</f>
        <v>1118.6500000000001</v>
      </c>
      <c r="M68" s="308">
        <f ca="1">ROUND(L68,1)</f>
        <v>1118.7</v>
      </c>
      <c r="N68" s="2769"/>
      <c r="Z68" s="1938"/>
      <c r="AI68" s="1939"/>
    </row>
    <row r="69" spans="1:35" s="1958" customFormat="1" ht="16.5" customHeight="1">
      <c r="A69" s="1997"/>
      <c r="B69" s="1998"/>
      <c r="C69" s="1999"/>
      <c r="D69" s="2000"/>
      <c r="E69" s="2001"/>
      <c r="F69" s="1763"/>
      <c r="G69" s="1763"/>
      <c r="H69" s="1762"/>
      <c r="I69" s="1933"/>
      <c r="J69" s="3175"/>
      <c r="K69" s="1501" t="s">
        <v>2079</v>
      </c>
      <c r="L69" s="1501"/>
      <c r="M69" s="308">
        <f ca="1">ROUND(SUM(M63:M68),0)</f>
        <v>3607</v>
      </c>
      <c r="N69" s="2771">
        <f ca="1">M69/M49</f>
        <v>1.6122111473651276E-2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2080</v>
      </c>
      <c r="B70" s="3220"/>
      <c r="C70" s="3220"/>
      <c r="D70" s="3220"/>
      <c r="E70" s="3220"/>
      <c r="F70" s="3220"/>
      <c r="G70" s="3220"/>
      <c r="H70" s="3220"/>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2061</v>
      </c>
      <c r="B71" s="3212"/>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213076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1065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6" t="s">
        <v>2088</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1065</v>
      </c>
      <c r="D78" s="2803">
        <f>'数据-取费表'!B43</f>
        <v>5.000000000000001E-3</v>
      </c>
      <c r="E78" s="3208" t="s">
        <v>2092</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212011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199.07136150234743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126834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2096</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2061</v>
      </c>
      <c r="B84" s="3212"/>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213076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1065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77" t="s">
        <v>2872</v>
      </c>
      <c r="H90" s="3178"/>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08" t="s">
        <v>2105</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08" t="s">
        <v>2108</v>
      </c>
      <c r="F92" s="3209"/>
      <c r="G92" s="3209"/>
      <c r="H92" s="3210"/>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1065</v>
      </c>
      <c r="D93" s="2803">
        <f>'数据-取费表'!B43</f>
        <v>5.000000000000001E-3</v>
      </c>
      <c r="E93" s="3208" t="s">
        <v>2092</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56" t="s">
        <v>2112</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212011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199.07136150234743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126834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8" t="s">
        <v>2114</v>
      </c>
      <c r="B100" s="3159"/>
      <c r="C100" s="3159"/>
      <c r="D100" s="3193"/>
      <c r="E100" s="3159" t="s">
        <v>2115</v>
      </c>
      <c r="F100" s="3159"/>
      <c r="G100" s="3159"/>
      <c r="H100" s="3193"/>
      <c r="I100" s="134"/>
    </row>
    <row r="101" spans="1:35" ht="18.75" customHeight="1">
      <c r="A101" s="3201" t="s">
        <v>2116</v>
      </c>
      <c r="B101" s="3202"/>
      <c r="C101" s="2811" t="str">
        <f>C4</f>
        <v>成本法</v>
      </c>
      <c r="D101" s="2812" t="str">
        <f>D4</f>
        <v>收益法（汇总）</v>
      </c>
      <c r="E101" s="3171" t="s">
        <v>2117</v>
      </c>
      <c r="F101" s="3172"/>
      <c r="G101" s="2013" t="s">
        <v>2118</v>
      </c>
      <c r="H101" s="2821">
        <f ca="1">H118</f>
        <v>223730</v>
      </c>
      <c r="I101" s="134"/>
    </row>
    <row r="102" spans="1:35" ht="18.75" customHeight="1">
      <c r="A102" s="3203" t="s">
        <v>2119</v>
      </c>
      <c r="B102" s="2810" t="s">
        <v>2118</v>
      </c>
      <c r="C102" s="2811">
        <f ca="1">C19</f>
        <v>248183</v>
      </c>
      <c r="D102" s="2812">
        <f ca="1">D19</f>
        <v>199277</v>
      </c>
      <c r="E102" s="3171"/>
      <c r="F102" s="3172"/>
      <c r="G102" s="2013" t="s">
        <v>2120</v>
      </c>
      <c r="H102" s="2781">
        <f ca="1">I118</f>
        <v>16968</v>
      </c>
      <c r="I102" s="134"/>
    </row>
    <row r="103" spans="1:35" ht="42.75" customHeight="1">
      <c r="A103" s="3203"/>
      <c r="B103" s="2810" t="s">
        <v>2120</v>
      </c>
      <c r="C103" s="2813">
        <f ca="1">C20</f>
        <v>18822</v>
      </c>
      <c r="D103" s="2814">
        <f ca="1">D20</f>
        <v>15113</v>
      </c>
      <c r="E103" s="3164" t="s">
        <v>2121</v>
      </c>
      <c r="F103" s="3165"/>
      <c r="G103" s="2014" t="s">
        <v>2122</v>
      </c>
      <c r="H103" s="2821">
        <f>IF(D36="正常操作",H104+H105+H106,H105+H106)</f>
        <v>0</v>
      </c>
      <c r="I103" s="134"/>
    </row>
    <row r="104" spans="1:35" ht="18.75" customHeight="1">
      <c r="A104" s="3203" t="s">
        <v>2123</v>
      </c>
      <c r="B104" s="2815" t="s">
        <v>2118</v>
      </c>
      <c r="C104" s="2816">
        <f ca="1">H118</f>
        <v>223730</v>
      </c>
      <c r="D104" s="2817"/>
      <c r="E104" s="1860" t="s">
        <v>2124</v>
      </c>
      <c r="F104" s="1851"/>
      <c r="G104" s="2014" t="s">
        <v>2122</v>
      </c>
      <c r="H104" s="2822">
        <f>IF(D36="同一抵押权人同一抵押物续贷",C36&amp;"（续贷，未扣减，详见特别提示）",C36)</f>
        <v>0</v>
      </c>
      <c r="I104" s="134"/>
    </row>
    <row r="105" spans="1:35" ht="18.75" customHeight="1" thickBot="1">
      <c r="A105" s="3213"/>
      <c r="B105" s="2818" t="s">
        <v>2120</v>
      </c>
      <c r="C105" s="2819">
        <f ca="1">I118</f>
        <v>16968</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4" t="str">
        <f>IF(项目基本情况!E8="已注销","——","3.房地产抵押价值")</f>
        <v>3.房地产抵押价值</v>
      </c>
      <c r="F107" s="3172"/>
      <c r="G107" s="2013" t="s">
        <v>2118</v>
      </c>
      <c r="H107" s="2821">
        <f ca="1">IF(E107="——","——",H101-H103)</f>
        <v>223730</v>
      </c>
      <c r="I107" s="134"/>
    </row>
    <row r="108" spans="1:35" ht="18.75" customHeight="1">
      <c r="A108" s="134"/>
      <c r="B108" s="134"/>
      <c r="C108" s="134"/>
      <c r="D108" s="134"/>
      <c r="E108" s="3204"/>
      <c r="F108" s="3172"/>
      <c r="G108" s="2013" t="s">
        <v>2120</v>
      </c>
      <c r="H108" s="2781">
        <f ca="1">ROUND(H107*10000/'数据-汇总表'!E3,0)</f>
        <v>16968</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2118</v>
      </c>
      <c r="H109" s="2824" t="str">
        <f>IF(E109="——","——",H101-H105-H106)</f>
        <v>——</v>
      </c>
      <c r="I109" s="134"/>
    </row>
    <row r="110" spans="1:35" ht="18.75" customHeight="1">
      <c r="A110" s="134"/>
      <c r="B110" s="134"/>
      <c r="C110" s="134"/>
      <c r="D110" s="134"/>
      <c r="E110" s="3204"/>
      <c r="F110" s="3172"/>
      <c r="G110" s="2013" t="s">
        <v>2120</v>
      </c>
      <c r="H110" s="2781"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2118</v>
      </c>
      <c r="H111" s="2821" t="str">
        <f>IF(E111="——","——",N59)</f>
        <v>——</v>
      </c>
      <c r="I111" s="134"/>
    </row>
    <row r="112" spans="1:35" ht="18.75" customHeight="1" thickBot="1">
      <c r="A112" s="134"/>
      <c r="B112" s="134"/>
      <c r="C112" s="134"/>
      <c r="D112" s="134"/>
      <c r="E112" s="3206"/>
      <c r="F112" s="3207"/>
      <c r="G112" s="2016" t="s">
        <v>2120</v>
      </c>
      <c r="H112" s="2825" t="str">
        <f>IF(E111="——","——",N61)</f>
        <v>——</v>
      </c>
      <c r="I112" s="134"/>
    </row>
    <row r="113" spans="1:27" ht="18.75" customHeight="1">
      <c r="A113" s="134"/>
      <c r="B113" s="134"/>
      <c r="C113" s="134"/>
      <c r="D113" s="134"/>
      <c r="E113" s="3214" t="s">
        <v>2126</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2128</v>
      </c>
      <c r="B115" s="3226"/>
      <c r="C115" s="3226"/>
      <c r="D115" s="3226"/>
      <c r="E115" s="3226"/>
      <c r="F115" s="3226"/>
      <c r="G115" s="3226"/>
      <c r="H115" s="3226"/>
      <c r="I115" s="3227"/>
    </row>
    <row r="116" spans="1:27" ht="27" customHeight="1">
      <c r="A116" s="3179" t="s">
        <v>2129</v>
      </c>
      <c r="B116" s="3183" t="s">
        <v>2130</v>
      </c>
      <c r="C116" s="3183" t="s">
        <v>2131</v>
      </c>
      <c r="D116" s="3189" t="s">
        <v>2132</v>
      </c>
      <c r="E116" s="3190"/>
      <c r="F116" s="3221" t="s">
        <v>2133</v>
      </c>
      <c r="G116" s="3221"/>
      <c r="H116" s="3179" t="s">
        <v>2134</v>
      </c>
      <c r="I116" s="3179"/>
    </row>
    <row r="117" spans="1:27" ht="18.75" customHeight="1">
      <c r="A117" s="3179"/>
      <c r="B117" s="3184"/>
      <c r="C117" s="3184"/>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131855.63</v>
      </c>
      <c r="C118" s="2552">
        <f>M19</f>
        <v>41486.36</v>
      </c>
      <c r="D118" s="2552">
        <f ca="1">ROUND(IF(D32="总价",C34,E118*B118/10000),0)</f>
        <v>170259</v>
      </c>
      <c r="E118" s="2552">
        <f ca="1">ROUND(IF(C33="自定义",IF(D32="楼面单价",C34,D118*10000/B118),I118-G118),0)</f>
        <v>12913</v>
      </c>
      <c r="F118" s="2552">
        <f ca="1">ROUND(IF(D32="总价",C35,G118*B118/10000),0)</f>
        <v>53471</v>
      </c>
      <c r="G118" s="2552">
        <f ca="1">ROUND(IF(D32="楼面单价",C35,F118*10000/B118),0)</f>
        <v>4055</v>
      </c>
      <c r="H118" s="2552">
        <f ca="1">ROUND(IF(D32="总价",C32,I118*B118/10000),0)</f>
        <v>223730</v>
      </c>
      <c r="I118" s="2552">
        <f ca="1">ROUND(IF(D32="楼面单价",C32,H118*10000/B118),0)</f>
        <v>16968</v>
      </c>
    </row>
    <row r="119" spans="1:27" ht="18.75" customHeight="1">
      <c r="A119" s="3179" t="s">
        <v>2138</v>
      </c>
      <c r="B119" s="3179"/>
      <c r="C119" s="3179"/>
      <c r="D119" s="3185" t="str">
        <f ca="1">NUMBERSTRING(INT(D118*10000),2)&amp;"元整"</f>
        <v>壹拾柒亿零贰佰伍拾玖万元整</v>
      </c>
      <c r="E119" s="3186"/>
      <c r="F119" s="3185" t="str">
        <f ca="1">NUMBERSTRING(INT(F118*10000),2)&amp;"元整"</f>
        <v>伍亿叁仟肆佰柒拾壹万元整</v>
      </c>
      <c r="G119" s="3186"/>
      <c r="H119" s="3185" t="str">
        <f ca="1">NUMBERSTRING(INT(H118*10000),2)&amp;"元整"</f>
        <v>贰拾贰亿叁仟柒佰叁拾万元整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2" t="s">
        <v>2138</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房地产抵押价值</v>
      </c>
      <c r="B122" s="3191"/>
      <c r="C122" s="3191"/>
      <c r="D122" s="3180">
        <f ca="1">H107</f>
        <v>223730</v>
      </c>
      <c r="E122" s="3181"/>
      <c r="F122" s="3181"/>
      <c r="G122" s="3181"/>
      <c r="H122" s="3181"/>
      <c r="I122" s="3182"/>
      <c r="AA122" s="734"/>
    </row>
    <row r="123" spans="1:27" ht="18.75" customHeight="1">
      <c r="A123" s="3179" t="s">
        <v>2138</v>
      </c>
      <c r="B123" s="3179"/>
      <c r="C123" s="3179"/>
      <c r="D123" s="3185" t="str">
        <f ca="1">NUMBERSTRING(INT(D122*10000),2)&amp;"元整"</f>
        <v>贰拾贰亿叁仟柒佰叁拾万元整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2138</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2138</v>
      </c>
      <c r="B127" s="3179"/>
      <c r="C127" s="3179"/>
      <c r="D127" s="3185" t="e">
        <f>NUMBERSTRING(INT(D126*10000),2)&amp;"元整"</f>
        <v>#VALUE!</v>
      </c>
      <c r="E127" s="3187"/>
      <c r="F127" s="3187"/>
      <c r="G127" s="3187"/>
      <c r="H127" s="3187"/>
      <c r="I127" s="3186"/>
      <c r="AA127" s="734"/>
    </row>
    <row r="128" spans="1:27" ht="21.75" customHeight="1">
      <c r="A128" s="3188" t="s">
        <v>2139</v>
      </c>
      <c r="B128" s="3188"/>
      <c r="C128" s="3188"/>
      <c r="D128" s="3188"/>
      <c r="E128" s="3188"/>
      <c r="F128" s="3188"/>
      <c r="G128" s="3188"/>
      <c r="H128" s="3188"/>
      <c r="I128" s="318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4" stopIfTrue="1" operator="equal">
      <formula>25</formula>
    </cfRule>
  </conditionalFormatting>
  <conditionalFormatting sqref="C8:C9">
    <cfRule type="cellIs" dxfId="180" priority="22" stopIfTrue="1" operator="equal">
      <formula>15</formula>
    </cfRule>
  </conditionalFormatting>
  <conditionalFormatting sqref="C14:C16">
    <cfRule type="cellIs" dxfId="179" priority="16" stopIfTrue="1" operator="equal">
      <formula>30</formula>
    </cfRule>
  </conditionalFormatting>
  <conditionalFormatting sqref="D5:D7">
    <cfRule type="cellIs" dxfId="178" priority="13" stopIfTrue="1" operator="equal">
      <formula>25</formula>
    </cfRule>
  </conditionalFormatting>
  <conditionalFormatting sqref="C10:C13">
    <cfRule type="cellIs" dxfId="177" priority="11" stopIfTrue="1" operator="equal">
      <formula>15</formula>
    </cfRule>
  </conditionalFormatting>
  <conditionalFormatting sqref="C90">
    <cfRule type="expression" dxfId="176" priority="6" stopIfTrue="1">
      <formula>$H$88&lt;&gt;"仅含出让金"</formula>
    </cfRule>
  </conditionalFormatting>
  <conditionalFormatting sqref="C91">
    <cfRule type="expression" dxfId="175" priority="5" stopIfTrue="1">
      <formula>$H$91="由企业提供"</formula>
    </cfRule>
  </conditionalFormatting>
  <conditionalFormatting sqref="E36">
    <cfRule type="expression" dxfId="174" priority="4" stopIfTrue="1">
      <formula>$D$36="同一抵押权人同一抵押物续贷"</formula>
    </cfRule>
  </conditionalFormatting>
  <conditionalFormatting sqref="D8:D9">
    <cfRule type="cellIs" dxfId="173" priority="3" stopIfTrue="1" operator="equal">
      <formula>15</formula>
    </cfRule>
  </conditionalFormatting>
  <conditionalFormatting sqref="D14:D16">
    <cfRule type="cellIs" dxfId="172" priority="2" stopIfTrue="1" operator="equal">
      <formula>30</formula>
    </cfRule>
  </conditionalFormatting>
  <conditionalFormatting sqref="D10:D13">
    <cfRule type="cellIs" dxfId="171"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0" zoomScaleNormal="70" zoomScaleSheetLayoutView="100" workbookViewId="0">
      <selection activeCell="C49" sqref="C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8</v>
      </c>
    </row>
    <row r="2" spans="1:9" s="206" customFormat="1" ht="18" customHeight="1">
      <c r="A2" s="207" t="s">
        <v>2148</v>
      </c>
      <c r="B2" s="208">
        <f ca="1">IF(D2="——",C52,C52-E2)</f>
        <v>248183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18822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133562</v>
      </c>
      <c r="D5" s="217" t="s">
        <v>2155</v>
      </c>
      <c r="E5" s="218" t="s">
        <v>2156</v>
      </c>
      <c r="F5" s="218" t="s">
        <v>2157</v>
      </c>
      <c r="G5" s="219"/>
    </row>
    <row r="6" spans="1:9" s="220" customFormat="1" ht="13.5" customHeight="1">
      <c r="A6" s="886" t="s">
        <v>2158</v>
      </c>
      <c r="B6" s="221" t="s">
        <v>2159</v>
      </c>
      <c r="C6" s="222">
        <f>'土地比较法-住宅、综合'!B2</f>
        <v>127050</v>
      </c>
      <c r="D6" s="223"/>
      <c r="E6" s="224"/>
      <c r="F6" s="224"/>
      <c r="G6" s="225"/>
    </row>
    <row r="7" spans="1:9" s="220" customFormat="1" ht="13.5" customHeight="1">
      <c r="A7" s="886" t="s">
        <v>2160</v>
      </c>
      <c r="B7" s="221" t="s">
        <v>2161</v>
      </c>
      <c r="C7" s="226">
        <f>ROUND(C6*F7,0)</f>
        <v>3875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2637</v>
      </c>
      <c r="D8" s="228"/>
      <c r="E8" s="226"/>
      <c r="F8" s="227"/>
      <c r="G8" s="2042" t="s">
        <v>3280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3281</v>
      </c>
      <c r="H9" s="1299"/>
      <c r="I9" s="2044" t="s">
        <v>2165</v>
      </c>
    </row>
    <row r="10" spans="1:9" s="220" customFormat="1" ht="13.5" customHeight="1">
      <c r="A10" s="887" t="s">
        <v>801</v>
      </c>
      <c r="B10" s="230" t="s">
        <v>2166</v>
      </c>
      <c r="C10" s="231">
        <f ca="1">ROUND(D10*E10/10000,0)</f>
        <v>2637</v>
      </c>
      <c r="D10" s="954">
        <f ca="1">IF(B1="",'数据-汇总表'!E6,IF(INDIRECT("'数据-取费表'!c"&amp;$G$1)="住宅",INDIRECT("'数据-取费表'!s"&amp;$G$1),INDIRECT("'数据-取费表'!k"&amp;$G$1)+INDIRECT("'数据-取费表'!s"&amp;$G$1)))</f>
        <v>131855.63</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131855.63</v>
      </c>
      <c r="E19" s="217">
        <f>'数据-取费表'!B31</f>
        <v>200</v>
      </c>
      <c r="F19" s="237"/>
      <c r="G19" s="2042" t="s">
        <v>3282</v>
      </c>
    </row>
    <row r="20" spans="1:7" s="220" customFormat="1" ht="13.5" customHeight="1">
      <c r="A20" s="261" t="s">
        <v>2179</v>
      </c>
      <c r="B20" s="216" t="s">
        <v>2180</v>
      </c>
      <c r="C20" s="238">
        <f ca="1">ROUND((C5+C19)*F20,0)</f>
        <v>4007</v>
      </c>
      <c r="D20" s="238"/>
      <c r="E20" s="238"/>
      <c r="F20" s="239">
        <f>'数据-取费表'!B37</f>
        <v>0.03</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12047</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11873</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174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24762</v>
      </c>
      <c r="D27" s="241">
        <f ca="1">C29</f>
        <v>3.5999999999999999E-3</v>
      </c>
      <c r="E27" s="242" t="s">
        <v>2200</v>
      </c>
      <c r="F27" s="252">
        <f ca="1">IF(B1="",'数据-取费表'!Q16,INDIRECT("'数据-取费表'!q"&amp;$G$1))</f>
        <v>0.18</v>
      </c>
      <c r="G27" s="253" t="s">
        <v>2201</v>
      </c>
    </row>
    <row r="28" spans="1:7" s="220" customFormat="1" ht="13.5" customHeight="1">
      <c r="A28" s="888" t="s">
        <v>791</v>
      </c>
      <c r="B28" s="254" t="s">
        <v>2202</v>
      </c>
      <c r="C28" s="255">
        <f ca="1">ROUND((C5+C19+C20)*F27*'数据-取费表'!B21/'数据-取费表'!B20,0)</f>
        <v>24762</v>
      </c>
      <c r="D28" s="241"/>
      <c r="E28" s="242"/>
      <c r="F28" s="252"/>
      <c r="G28" s="253"/>
    </row>
    <row r="29" spans="1:7" s="220" customFormat="1" ht="13.5" customHeight="1">
      <c r="A29" s="888" t="s">
        <v>792</v>
      </c>
      <c r="B29" s="254" t="s">
        <v>2203</v>
      </c>
      <c r="C29" s="244">
        <f ca="1">ROUND(C21*F27*'数据-取费表'!B21/'数据-取费表'!B20,4)</f>
        <v>3.5999999999999999E-3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188905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44765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39557</v>
      </c>
      <c r="D34" s="223"/>
      <c r="E34" s="226"/>
      <c r="F34" s="263">
        <f ca="1">IF('数据-取费表'!B24=0,1,IF(B1="",'数据-取费表'!N16,INDIRECT("'数据-取费表'!n"&amp;$G$1)))</f>
        <v>1</v>
      </c>
      <c r="G34" s="225" t="s">
        <v>2212</v>
      </c>
    </row>
    <row r="35" spans="1:7" ht="13.5" customHeight="1">
      <c r="A35" s="888" t="s">
        <v>796</v>
      </c>
      <c r="B35" s="221" t="s">
        <v>2213</v>
      </c>
      <c r="C35" s="226">
        <f ca="1">ROUND(C34*F35,0)</f>
        <v>1978</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2637</v>
      </c>
      <c r="D37" s="223">
        <f ca="1">D19</f>
        <v>131855.63</v>
      </c>
      <c r="E37" s="255">
        <f>'数据-取费表'!B35</f>
        <v>200</v>
      </c>
      <c r="F37" s="265"/>
      <c r="G37" s="267" t="s">
        <v>2218</v>
      </c>
    </row>
    <row r="38" spans="1:7" ht="13.5" customHeight="1">
      <c r="A38" s="888" t="s">
        <v>799</v>
      </c>
      <c r="B38" s="221" t="s">
        <v>2219</v>
      </c>
      <c r="C38" s="226">
        <f ca="1">ROUND(C34*F38,0)</f>
        <v>593</v>
      </c>
      <c r="D38" s="226"/>
      <c r="E38" s="226"/>
      <c r="F38" s="265">
        <f>'数据-取费表'!B36</f>
        <v>1.4999999999999999E-2</v>
      </c>
      <c r="G38" s="225" t="s">
        <v>2214</v>
      </c>
    </row>
    <row r="39" spans="1:7" s="220" customFormat="1" ht="13.5" customHeight="1">
      <c r="A39" s="261" t="s">
        <v>2220</v>
      </c>
      <c r="B39" s="216" t="s">
        <v>2221</v>
      </c>
      <c r="C39" s="238">
        <f ca="1">ROUND(C33*F20,0)</f>
        <v>1343</v>
      </c>
      <c r="D39" s="238"/>
      <c r="E39" s="238"/>
      <c r="F39" s="2535">
        <f>F20</f>
        <v>0.03</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2005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1947</v>
      </c>
      <c r="D42" s="244"/>
      <c r="E42" s="244"/>
      <c r="F42" s="245"/>
      <c r="G42" s="3261" t="s">
        <v>2230</v>
      </c>
    </row>
    <row r="43" spans="1:7" ht="13.5" customHeight="1">
      <c r="A43" s="888" t="s">
        <v>792</v>
      </c>
      <c r="B43" s="221" t="s">
        <v>2231</v>
      </c>
      <c r="C43" s="244">
        <f ca="1">ROUND(IF('数据-取费表'!B22&lt;=1,C39*F22*'数据-取费表'!B21/2,C39*(POWER((1+F22),'数据-取费表'!B21/2)-1)),0)</f>
        <v>58</v>
      </c>
      <c r="D43" s="244"/>
      <c r="E43" s="244"/>
      <c r="F43" s="245"/>
      <c r="G43" s="3262"/>
    </row>
    <row r="44" spans="1:7" ht="13.5" customHeight="1">
      <c r="A44" s="888" t="s">
        <v>793</v>
      </c>
      <c r="B44" s="221" t="s">
        <v>2232</v>
      </c>
      <c r="C44" s="244">
        <f ca="1">ROUND(IF('数据-取费表'!B22&lt;=1,C40*F22*'数据-取费表'!B21/2,C40*(POWER((1+F22),'数据-取费表'!B21/2)-1)),4)</f>
        <v>8.9999999999999998E-4</v>
      </c>
      <c r="D44" s="244"/>
      <c r="E44" s="244"/>
      <c r="F44" s="245"/>
      <c r="G44" s="3263"/>
    </row>
    <row r="45" spans="1:7" s="220" customFormat="1" ht="13.5" customHeight="1">
      <c r="A45" s="261" t="s">
        <v>2233</v>
      </c>
      <c r="B45" s="250" t="s">
        <v>2199</v>
      </c>
      <c r="C45" s="251">
        <f ca="1">C46</f>
        <v>8299</v>
      </c>
      <c r="D45" s="241">
        <f ca="1">C47</f>
        <v>3.5999999999999999E-3</v>
      </c>
      <c r="E45" s="242" t="s">
        <v>2225</v>
      </c>
      <c r="F45" s="2537">
        <f ca="1">F27</f>
        <v>0.18</v>
      </c>
      <c r="G45" s="253" t="s">
        <v>2234</v>
      </c>
    </row>
    <row r="46" spans="1:7" s="220" customFormat="1" ht="13.5" customHeight="1">
      <c r="A46" s="888" t="s">
        <v>791</v>
      </c>
      <c r="B46" s="254" t="s">
        <v>2235</v>
      </c>
      <c r="C46" s="255">
        <f ca="1">ROUND((C33+C39)*F27,0)</f>
        <v>8299</v>
      </c>
      <c r="D46" s="269"/>
      <c r="E46" s="242"/>
      <c r="F46" s="252"/>
      <c r="G46" s="253"/>
    </row>
    <row r="47" spans="1:7" s="220" customFormat="1" ht="13.5" customHeight="1">
      <c r="A47" s="888" t="s">
        <v>792</v>
      </c>
      <c r="B47" s="254" t="s">
        <v>2236</v>
      </c>
      <c r="C47" s="244">
        <f ca="1">ROUND(C40*F27,4)</f>
        <v>3.5999999999999999E-3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61111</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59278</v>
      </c>
      <c r="D51" s="238"/>
      <c r="E51" s="238"/>
      <c r="F51" s="270"/>
      <c r="G51" s="240" t="s">
        <v>2246</v>
      </c>
    </row>
    <row r="52" spans="1:7" s="214" customFormat="1" ht="16.5" thickBot="1">
      <c r="A52" s="271" t="s">
        <v>2247</v>
      </c>
      <c r="B52" s="272"/>
      <c r="C52" s="273">
        <f ca="1">C31+C51</f>
        <v>248183</v>
      </c>
      <c r="D52" s="272"/>
      <c r="E52" s="272"/>
      <c r="F52" s="272"/>
      <c r="G52" s="274"/>
    </row>
    <row r="55" spans="1:7" ht="15">
      <c r="B55" s="276" t="s">
        <v>2248</v>
      </c>
      <c r="C55" s="277"/>
    </row>
    <row r="56" spans="1:7">
      <c r="B56" s="279" t="s">
        <v>1478</v>
      </c>
      <c r="C56" s="281">
        <f ca="1">1-C57</f>
        <v>0.76100000000000001</v>
      </c>
    </row>
    <row r="57" spans="1:7">
      <c r="B57" s="279" t="s">
        <v>1479</v>
      </c>
      <c r="C57" s="280">
        <f ca="1">ROUND(C51/C52,3)</f>
        <v>0.23899999999999999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北京市房地产抵押价值预评估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66739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5062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26371126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26371126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26371126</v>
      </c>
      <c r="D10" s="954">
        <f ca="1">IF(B1="",'数据-汇总表'!E6,IF(INDIRECT("'数据-取费表'!c"&amp;$G$1)="住宅",INDIRECT("'数据-取费表'!s"&amp;$G$1),INDIRECT("'数据-取费表'!k"&amp;$G$1)+INDIRECT("'数据-取费表'!s"&amp;$G$1)))</f>
        <v>131855.63</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26371126</v>
      </c>
      <c r="D19" s="958">
        <f ca="1">D9+D10</f>
        <v>131855.63</v>
      </c>
      <c r="E19" s="217">
        <f>'数据-取费表'!B31</f>
        <v>200</v>
      </c>
      <c r="F19" s="237"/>
      <c r="G19" s="2042"/>
    </row>
    <row r="20" spans="1:7" s="220" customFormat="1" ht="13.5" customHeight="1">
      <c r="A20" s="261" t="s">
        <v>2260</v>
      </c>
      <c r="B20" s="216" t="s">
        <v>2261</v>
      </c>
      <c r="C20" s="238">
        <f ca="1">ROUND((C5+C19)*F20,0)</f>
        <v>1582268</v>
      </c>
      <c r="D20" s="238"/>
      <c r="E20" s="238"/>
      <c r="F20" s="239">
        <f>'数据-取费表'!B37</f>
        <v>0.03</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4757207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2344189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2344189</v>
      </c>
      <c r="D24" s="244"/>
      <c r="E24" s="244"/>
      <c r="F24" s="245"/>
      <c r="G24" s="246" t="s">
        <v>2272</v>
      </c>
    </row>
    <row r="25" spans="1:7" s="220" customFormat="1" ht="24">
      <c r="A25" s="888" t="s">
        <v>2162</v>
      </c>
      <c r="B25" s="221" t="s">
        <v>2273</v>
      </c>
      <c r="C25" s="1290">
        <f ca="1">ROUND(IF('数据-取费表'!B22&lt;=1,C20*F22*'数据-取费表'!B22/2,C20*(POWER((1+F22),'数据-取费表'!B22/2)-1)),0)</f>
        <v>68829</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9778414</v>
      </c>
      <c r="D27" s="241">
        <f ca="1">C29</f>
        <v>3.5999999999999999E-3</v>
      </c>
      <c r="E27" s="242" t="s">
        <v>2200</v>
      </c>
      <c r="F27" s="252">
        <f ca="1">IF(B1="",'数据-取费表'!Q16,INDIRECT("'数据-取费表'!q"&amp;$G$1))</f>
        <v>0.18</v>
      </c>
      <c r="G27" s="253" t="s">
        <v>2201</v>
      </c>
    </row>
    <row r="28" spans="1:7" s="220" customFormat="1" ht="13.5" customHeight="1">
      <c r="A28" s="888" t="s">
        <v>791</v>
      </c>
      <c r="B28" s="254" t="s">
        <v>2202</v>
      </c>
      <c r="C28" s="255">
        <f ca="1">ROUND((C5+C19+C20)*F27,0)</f>
        <v>9778414</v>
      </c>
      <c r="D28" s="241"/>
      <c r="E28" s="242"/>
      <c r="F28" s="252"/>
      <c r="G28" s="253"/>
    </row>
    <row r="29" spans="1:7" s="220" customFormat="1" ht="13.5" customHeight="1">
      <c r="A29" s="888" t="s">
        <v>792</v>
      </c>
      <c r="B29" s="254" t="s">
        <v>2203</v>
      </c>
      <c r="C29" s="244">
        <f ca="1">ROUND(C21*F27,4)</f>
        <v>3.5999999999999999E-3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74596621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447649864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395566890</v>
      </c>
      <c r="D34" s="223"/>
      <c r="E34" s="226"/>
      <c r="F34" s="263"/>
      <c r="G34" s="225"/>
    </row>
    <row r="35" spans="1:7" ht="13.5" customHeight="1">
      <c r="A35" s="888" t="s">
        <v>796</v>
      </c>
      <c r="B35" s="221" t="s">
        <v>2213</v>
      </c>
      <c r="C35" s="226">
        <f ca="1">ROUND(C34*F35,0)</f>
        <v>19778345</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26371126</v>
      </c>
      <c r="D37" s="223">
        <f ca="1">D19</f>
        <v>131855.63</v>
      </c>
      <c r="E37" s="255">
        <f>'数据-取费表'!B35</f>
        <v>200</v>
      </c>
      <c r="F37" s="265"/>
      <c r="G37" s="267"/>
    </row>
    <row r="38" spans="1:7" ht="13.5" customHeight="1">
      <c r="A38" s="888" t="s">
        <v>799</v>
      </c>
      <c r="B38" s="221" t="s">
        <v>2219</v>
      </c>
      <c r="C38" s="226">
        <f ca="1">ROUND(C34*F38,0)</f>
        <v>5933503</v>
      </c>
      <c r="D38" s="226"/>
      <c r="E38" s="226"/>
      <c r="F38" s="265">
        <f>'数据-取费表'!B36</f>
        <v>1.4999999999999999E-2</v>
      </c>
      <c r="G38" s="225" t="s">
        <v>2214</v>
      </c>
    </row>
    <row r="39" spans="1:7" s="220" customFormat="1" ht="13.5" customHeight="1">
      <c r="A39" s="261" t="s">
        <v>2220</v>
      </c>
      <c r="B39" s="216" t="s">
        <v>2221</v>
      </c>
      <c r="C39" s="238">
        <f ca="1">ROUND(C33*F20,0)</f>
        <v>13429496</v>
      </c>
      <c r="D39" s="238"/>
      <c r="E39" s="238"/>
      <c r="F39" s="2535">
        <f>F20</f>
        <v>0.03</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20056952</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19472769</v>
      </c>
      <c r="D42" s="244"/>
      <c r="E42" s="244"/>
      <c r="F42" s="245"/>
      <c r="G42" s="3261" t="s">
        <v>2277</v>
      </c>
    </row>
    <row r="43" spans="1:7" ht="13.5" customHeight="1">
      <c r="A43" s="888" t="s">
        <v>792</v>
      </c>
      <c r="B43" s="221" t="s">
        <v>2231</v>
      </c>
      <c r="C43" s="244">
        <f ca="1">ROUND(IF('数据-取费表'!B22&lt;=1,C39*F22*'数据-取费表'!B20/2,C39*(POWER((1+F22),'数据-取费表'!B20/2)-1)),0)</f>
        <v>584183</v>
      </c>
      <c r="D43" s="244"/>
      <c r="E43" s="244"/>
      <c r="F43" s="245"/>
      <c r="G43" s="3262"/>
    </row>
    <row r="44" spans="1:7" ht="13.5" customHeight="1">
      <c r="A44" s="888" t="s">
        <v>793</v>
      </c>
      <c r="B44" s="221" t="s">
        <v>2232</v>
      </c>
      <c r="C44" s="244">
        <f ca="1">ROUND(IF('数据-取费表'!B22&lt;=1,C40*F22*'数据-取费表'!B20/2,C40*(POWER((1+F22),'数据-取费表'!B20/2)-1)),4)</f>
        <v>8.9999999999999998E-4</v>
      </c>
      <c r="D44" s="244"/>
      <c r="E44" s="244"/>
      <c r="F44" s="245"/>
      <c r="G44" s="3263"/>
    </row>
    <row r="45" spans="1:7" s="220" customFormat="1" ht="13.5" customHeight="1">
      <c r="A45" s="261" t="s">
        <v>2233</v>
      </c>
      <c r="B45" s="250" t="s">
        <v>2199</v>
      </c>
      <c r="C45" s="251">
        <f ca="1">C46</f>
        <v>82994285</v>
      </c>
      <c r="D45" s="241">
        <f ca="1">C47</f>
        <v>3.5999999999999999E-3</v>
      </c>
      <c r="E45" s="242" t="s">
        <v>2225</v>
      </c>
      <c r="F45" s="2537">
        <f ca="1">F27</f>
        <v>0.18</v>
      </c>
      <c r="G45" s="253" t="s">
        <v>2234</v>
      </c>
    </row>
    <row r="46" spans="1:7" s="220" customFormat="1" ht="13.5" customHeight="1">
      <c r="A46" s="888" t="s">
        <v>791</v>
      </c>
      <c r="B46" s="254" t="s">
        <v>2235</v>
      </c>
      <c r="C46" s="255">
        <f ca="1">ROUND((C33+C39)*F27,0)</f>
        <v>82994285</v>
      </c>
      <c r="D46" s="269"/>
      <c r="E46" s="242"/>
      <c r="F46" s="252"/>
      <c r="G46" s="253"/>
    </row>
    <row r="47" spans="1:7" s="220" customFormat="1" ht="13.5" customHeight="1">
      <c r="A47" s="888" t="s">
        <v>792</v>
      </c>
      <c r="B47" s="254" t="s">
        <v>2236</v>
      </c>
      <c r="C47" s="244">
        <f ca="1">ROUND(C40*F27,4)</f>
        <v>3.5999999999999999E-3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611126202</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592792416</v>
      </c>
      <c r="D51" s="238"/>
      <c r="E51" s="238"/>
      <c r="F51" s="270"/>
      <c r="G51" s="240" t="s">
        <v>2246</v>
      </c>
    </row>
    <row r="52" spans="1:7" s="214" customFormat="1" ht="16.5" thickBot="1">
      <c r="A52" s="271" t="s">
        <v>2247</v>
      </c>
      <c r="B52" s="272"/>
      <c r="C52" s="273">
        <f ca="1">C31+C51</f>
        <v>667389037</v>
      </c>
      <c r="D52" s="272"/>
      <c r="E52" s="272"/>
      <c r="F52" s="272"/>
      <c r="G52" s="274"/>
    </row>
    <row r="55" spans="1:7" ht="15">
      <c r="B55" s="276" t="s">
        <v>2248</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7"/>
      <c r="F1" s="3037"/>
      <c r="G1" s="2900"/>
      <c r="H1" s="3037"/>
      <c r="I1" s="3037"/>
      <c r="J1" s="3037"/>
      <c r="K1" s="3038">
        <f>MATCH(C1,'数据-取费表'!A6:A16,0)+5</f>
        <v>8</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131855.63</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131855.63</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2637</v>
      </c>
      <c r="D20" s="955">
        <f ca="1">IF(C1="",'数据-汇总表'!E6,IF(INDIRECT("'数据-取费表'!c"&amp;$K$1)="住宅",INDIRECT("'数据-取费表'!s"&amp;$K$1),INDIRECT("'数据-取费表'!k"&amp;$K$1)+INDIRECT("'数据-取费表'!s"&amp;$K$1)))</f>
        <v>131855.63</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 sqref="C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3290</v>
      </c>
      <c r="D1" s="1546" t="s">
        <v>70</v>
      </c>
      <c r="E1" s="1547" t="s">
        <v>1352</v>
      </c>
      <c r="F1" s="1193">
        <f ca="1">J53</f>
        <v>44.31</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2887</v>
      </c>
      <c r="C2" s="1571" t="s">
        <v>1481</v>
      </c>
      <c r="D2" s="1571"/>
      <c r="E2" s="1572"/>
      <c r="F2" s="1573"/>
      <c r="G2" s="2935"/>
      <c r="H2" s="2924"/>
      <c r="I2" s="2924"/>
      <c r="J2" s="2924"/>
      <c r="K2" s="2925"/>
      <c r="L2" s="2924"/>
      <c r="M2" s="2924"/>
    </row>
    <row r="3" spans="1:37" ht="18" customHeight="1" thickBot="1">
      <c r="A3" s="1574" t="s">
        <v>1482</v>
      </c>
      <c r="B3" s="1575">
        <f ca="1">IF(ISERROR(B2*10000/F43),0,ROUND(B2*10000/F43,0))</f>
        <v>1689</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281</v>
      </c>
      <c r="D5" s="1548" t="s">
        <v>1367</v>
      </c>
      <c r="E5" s="1203"/>
      <c r="F5" s="1204"/>
      <c r="G5" s="1568"/>
      <c r="H5" s="305">
        <v>1</v>
      </c>
      <c r="I5" s="306" t="s">
        <v>1366</v>
      </c>
      <c r="J5" s="1202">
        <f ca="1">J6+J10+J12</f>
        <v>0</v>
      </c>
      <c r="K5" s="1548" t="s">
        <v>1367</v>
      </c>
      <c r="L5" s="1203"/>
      <c r="M5" s="1204"/>
    </row>
    <row r="6" spans="1:37" ht="18" customHeight="1">
      <c r="A6" s="1201" t="s">
        <v>1003</v>
      </c>
      <c r="B6" s="3264" t="s">
        <v>1368</v>
      </c>
      <c r="C6" s="1206">
        <f ca="1">ROUND(F6*F8*F7*(1-F9)/10000,0)</f>
        <v>281</v>
      </c>
      <c r="D6" s="160" t="s">
        <v>2851</v>
      </c>
      <c r="E6" s="308" t="s">
        <v>1370</v>
      </c>
      <c r="F6" s="309">
        <f ca="1">INDIRECT("'数据-取费表'!u"&amp;$G$1)</f>
        <v>0.5</v>
      </c>
      <c r="G6" s="1568"/>
      <c r="H6" s="1201" t="s">
        <v>1003</v>
      </c>
      <c r="I6" s="3264" t="s">
        <v>1368</v>
      </c>
      <c r="J6" s="307">
        <f ca="1">ROUND(M6*M8*M7*(1-M9)/10000,0)</f>
        <v>0</v>
      </c>
      <c r="K6" s="160" t="s">
        <v>2850</v>
      </c>
      <c r="L6" s="308" t="s">
        <v>1370</v>
      </c>
      <c r="M6" s="309">
        <f ca="1">INDIRECT("'数据-取费表'!z"&amp;$G$1)</f>
        <v>0</v>
      </c>
    </row>
    <row r="7" spans="1:37" ht="18" customHeight="1">
      <c r="A7" s="1205"/>
      <c r="B7" s="3265"/>
      <c r="C7" s="1207"/>
      <c r="D7" s="313"/>
      <c r="E7" s="3047" t="s">
        <v>1371</v>
      </c>
      <c r="F7" s="309">
        <f ca="1">IF(INDIRECT("'数据-取费表'!ah"&amp;$G$1)="",INDIRECT("'数据-取费表'!k"&amp;$G$1),INDIRECT("'数据-取费表'!ah"&amp;$G$1))</f>
        <v>17089.22</v>
      </c>
      <c r="G7" s="1568">
        <f ca="1">F7/35</f>
        <v>488.26342857142862</v>
      </c>
      <c r="H7" s="310"/>
      <c r="I7" s="3265"/>
      <c r="J7" s="312"/>
      <c r="K7" s="313"/>
      <c r="L7" s="308" t="s">
        <v>1371</v>
      </c>
      <c r="M7" s="309">
        <f ca="1">F7</f>
        <v>17089.22</v>
      </c>
    </row>
    <row r="8" spans="1:37" ht="18" customHeight="1">
      <c r="A8" s="310"/>
      <c r="B8" s="3265"/>
      <c r="C8" s="312"/>
      <c r="D8" s="313"/>
      <c r="E8" s="308" t="s">
        <v>1372</v>
      </c>
      <c r="F8" s="309">
        <f ca="1">INDIRECT("'数据-取费表'!ai"&amp;$G$1)</f>
        <v>365</v>
      </c>
      <c r="G8" s="1568"/>
      <c r="H8" s="310"/>
      <c r="I8" s="3265"/>
      <c r="J8" s="312"/>
      <c r="K8" s="313"/>
      <c r="L8" s="308" t="s">
        <v>1372</v>
      </c>
      <c r="M8" s="309">
        <f ca="1">INDIRECT("'数据-取费表'!ai"&amp;$G$1)</f>
        <v>365</v>
      </c>
    </row>
    <row r="9" spans="1:37" ht="18" customHeight="1">
      <c r="A9" s="310"/>
      <c r="B9" s="3266"/>
      <c r="C9" s="312"/>
      <c r="D9" s="313"/>
      <c r="E9" s="308" t="s">
        <v>1373</v>
      </c>
      <c r="F9" s="318">
        <f ca="1">INDIRECT("'数据-取费表'!w"&amp;$G$1)</f>
        <v>0.1</v>
      </c>
      <c r="G9" s="1568"/>
      <c r="H9" s="310"/>
      <c r="I9" s="326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3295</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7068</v>
      </c>
      <c r="D13" s="3044" t="s">
        <v>1380</v>
      </c>
      <c r="E13" s="3044" t="s">
        <v>1381</v>
      </c>
      <c r="F13" s="1242">
        <f ca="1">INDIRECT("'数据-取费表'!y"&amp;$G$1)</f>
        <v>0.97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5292</v>
      </c>
      <c r="D14" s="3050" t="s">
        <v>1383</v>
      </c>
      <c r="E14" s="3049"/>
      <c r="F14" s="325"/>
      <c r="G14" s="1568"/>
      <c r="H14" s="1113" t="s">
        <v>1003</v>
      </c>
      <c r="I14" s="308" t="s">
        <v>1384</v>
      </c>
      <c r="J14" s="24">
        <f ca="1">C29</f>
        <v>7287</v>
      </c>
      <c r="K14" s="3046"/>
      <c r="L14" s="916"/>
      <c r="M14" s="917"/>
    </row>
    <row r="15" spans="1:37" s="1581" customFormat="1" ht="18" customHeight="1" thickBot="1">
      <c r="A15" s="1113" t="s">
        <v>1004</v>
      </c>
      <c r="B15" s="308" t="s">
        <v>1385</v>
      </c>
      <c r="C15" s="24">
        <f ca="1">ROUND(C14*F15,0)</f>
        <v>265</v>
      </c>
      <c r="D15" s="3045" t="s">
        <v>1386</v>
      </c>
      <c r="E15" s="3045"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171</v>
      </c>
      <c r="K16" s="1247" t="s">
        <v>1390</v>
      </c>
      <c r="L16" s="3052"/>
      <c r="M16" s="1204"/>
    </row>
    <row r="17" spans="1:37" s="1581" customFormat="1" ht="18" customHeight="1">
      <c r="A17" s="1113" t="s">
        <v>1355</v>
      </c>
      <c r="B17" s="308" t="s">
        <v>1391</v>
      </c>
      <c r="C17" s="24">
        <f ca="1">ROUND(F17*(F43+INDIRECT("'数据-取费表'!S"&amp;$G$1))/10000,0)</f>
        <v>353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62</v>
      </c>
      <c r="K17" s="3050" t="s">
        <v>1395</v>
      </c>
      <c r="L17" s="305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79</v>
      </c>
      <c r="D18" s="308" t="s">
        <v>1386</v>
      </c>
      <c r="E18" s="308" t="s">
        <v>1387</v>
      </c>
      <c r="F18" s="328">
        <f>'数据-取费表'!B36</f>
        <v>1.4999999999999999E-2</v>
      </c>
      <c r="G18" s="1580"/>
      <c r="H18" s="1113" t="s">
        <v>1002</v>
      </c>
      <c r="I18" s="308" t="s">
        <v>1398</v>
      </c>
      <c r="J18" s="24">
        <f ca="1">ROUND(J6*M18/(1+'数据-取费表'!C42),2)</f>
        <v>0</v>
      </c>
      <c r="K18" s="305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5989</v>
      </c>
      <c r="D19" s="136" t="s">
        <v>1401</v>
      </c>
      <c r="E19" s="3054"/>
      <c r="F19" s="26"/>
      <c r="G19" s="1568"/>
      <c r="H19" s="1113" t="s">
        <v>1004</v>
      </c>
      <c r="I19" s="308" t="s">
        <v>1402</v>
      </c>
      <c r="J19" s="24">
        <f ca="1">IF(K19="按租金收入计税",ROUND(J6*M19/(1+'数据-取费表'!C42),2),ROUND(C29*M19*0.7,2))</f>
        <v>61.21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180</v>
      </c>
      <c r="D20" s="329" t="s">
        <v>1405</v>
      </c>
      <c r="E20" s="308" t="s">
        <v>1387</v>
      </c>
      <c r="F20" s="328">
        <f>'数据-取费表'!B37</f>
        <v>0.03</v>
      </c>
      <c r="G20" s="1580"/>
      <c r="H20" s="1113" t="s">
        <v>1354</v>
      </c>
      <c r="I20" s="160" t="s">
        <v>1406</v>
      </c>
      <c r="J20" s="25">
        <f ca="1">ROUND(M20*M21/10000,2)</f>
        <v>0.83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5549.5499999999993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68"/>
      <c r="H22" s="1113" t="s">
        <v>1007</v>
      </c>
      <c r="I22" s="308" t="s">
        <v>1414</v>
      </c>
      <c r="J22" s="24">
        <f ca="1">ROUND(J14*M22,1)</f>
        <v>109.3</v>
      </c>
      <c r="K22" s="305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269</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51"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54"/>
      <c r="F25" s="26"/>
      <c r="G25" s="1568"/>
      <c r="H25" s="1239" t="s">
        <v>999</v>
      </c>
      <c r="I25" s="1254" t="s">
        <v>1428</v>
      </c>
      <c r="J25" s="316">
        <f ca="1">J5-J16</f>
        <v>-171</v>
      </c>
      <c r="K25" s="1255" t="s">
        <v>1429</v>
      </c>
      <c r="L25" s="1256"/>
      <c r="M25" s="1257"/>
    </row>
    <row r="26" spans="1:37">
      <c r="A26" s="1113" t="s">
        <v>1002</v>
      </c>
      <c r="B26" s="308" t="s">
        <v>1430</v>
      </c>
      <c r="C26" s="24">
        <f ca="1">ROUND((C19+C20)*F26,0)</f>
        <v>308</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45"/>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7287</v>
      </c>
      <c r="D29" s="1252"/>
      <c r="E29" s="1250"/>
      <c r="F29" s="1253"/>
      <c r="G29" s="1580"/>
      <c r="H29" s="340" t="s">
        <v>1001</v>
      </c>
      <c r="I29" s="341" t="s">
        <v>1444</v>
      </c>
      <c r="J29" s="342">
        <f ca="1">ROUND(J26/(1+F40)^F41,0)</f>
        <v>0</v>
      </c>
      <c r="K29" s="343" t="s">
        <v>1445</v>
      </c>
      <c r="L29" s="344"/>
      <c r="M29" s="345">
        <f ca="1">INDIRECT("'数据-取费表'!k"&amp;$G$1)</f>
        <v>17089.22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171</v>
      </c>
      <c r="D30" s="1247" t="s">
        <v>1390</v>
      </c>
      <c r="E30" s="3052"/>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48</v>
      </c>
      <c r="D31" s="3050" t="s">
        <v>1395</v>
      </c>
      <c r="E31" s="3051"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14.72</v>
      </c>
      <c r="D32" s="3051"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32.11</v>
      </c>
      <c r="D33" s="1554" t="s">
        <v>3276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0.83</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5549.5499999999993</v>
      </c>
      <c r="G35" s="1568"/>
      <c r="H35" s="2926"/>
      <c r="I35" s="1582"/>
      <c r="J35" s="1583"/>
      <c r="K35" s="2930"/>
      <c r="L35" s="2929"/>
      <c r="M35" s="2929"/>
    </row>
    <row r="36" spans="1:18" ht="18" customHeight="1">
      <c r="A36" s="1262" t="s">
        <v>1007</v>
      </c>
      <c r="B36" s="308" t="s">
        <v>1414</v>
      </c>
      <c r="C36" s="24">
        <f ca="1">ROUND(C29*F36,1)</f>
        <v>109.3</v>
      </c>
      <c r="D36" s="3051"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10.6</v>
      </c>
      <c r="D37" s="3051"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2.8</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110</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2887</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44.31</v>
      </c>
      <c r="G41" s="1568"/>
      <c r="H41" s="1352"/>
      <c r="I41" s="1582"/>
      <c r="J41" s="1583"/>
      <c r="K41" s="2770"/>
      <c r="L41" s="1352"/>
      <c r="M41" s="1352"/>
    </row>
    <row r="42" spans="1:18" ht="18" customHeight="1">
      <c r="A42" s="314"/>
      <c r="B42" s="315"/>
      <c r="C42" s="316"/>
      <c r="D42" s="333"/>
      <c r="E42" s="308" t="s">
        <v>1442</v>
      </c>
      <c r="F42" s="318">
        <f ca="1">INDIRECT("'数据-取费表'!v"&amp;$G$1)</f>
        <v>2.5000000000000001E-2</v>
      </c>
      <c r="G42" s="1568"/>
      <c r="H42" s="1352"/>
      <c r="I42" s="1582"/>
      <c r="J42" s="1583"/>
      <c r="K42" s="2770"/>
      <c r="L42" s="1352"/>
      <c r="M42" s="1352"/>
    </row>
    <row r="43" spans="1:18" ht="18" customHeight="1" thickBot="1">
      <c r="A43" s="340" t="s">
        <v>1001</v>
      </c>
      <c r="B43" s="341" t="s">
        <v>1452</v>
      </c>
      <c r="C43" s="342">
        <f ca="1">ROUND(C40*10000/F43,0)</f>
        <v>1689</v>
      </c>
      <c r="D43" s="343" t="s">
        <v>1453</v>
      </c>
      <c r="E43" s="344" t="s">
        <v>1454</v>
      </c>
      <c r="F43" s="345">
        <f ca="1">INDIRECT("'数据-取费表'!k"&amp;$G$1)</f>
        <v>17089.22</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-15860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3278</v>
      </c>
      <c r="K47" s="1600" t="s">
        <v>1492</v>
      </c>
      <c r="L47" s="1601">
        <f ca="1">INDIRECT("'数据-取费表'!d"&amp;$G$1)</f>
        <v>50</v>
      </c>
      <c r="M47" s="1564" t="str">
        <f>IF(ISNUMBER(FIND("住宅",C1)),"住宅","非住宅")</f>
        <v>非住宅</v>
      </c>
      <c r="O47" s="1602" t="s">
        <v>1008</v>
      </c>
      <c r="P47" s="1603" t="s">
        <v>1493</v>
      </c>
      <c r="Q47" s="1604">
        <f ca="1">C40+J29</f>
        <v>2887</v>
      </c>
      <c r="R47" s="1604" t="s">
        <v>1494</v>
      </c>
    </row>
    <row r="48" spans="1:18" s="1568" customFormat="1" ht="28.5" thickBot="1">
      <c r="A48" s="1270" t="s">
        <v>1103</v>
      </c>
      <c r="B48" s="306" t="s">
        <v>1366</v>
      </c>
      <c r="C48" s="3053">
        <f ca="1">C49+C53+C55</f>
        <v>0</v>
      </c>
      <c r="D48" s="1272"/>
      <c r="E48" s="1273"/>
      <c r="F48" s="1093"/>
      <c r="G48" s="731"/>
      <c r="H48" s="732"/>
      <c r="I48" s="1605" t="s">
        <v>1495</v>
      </c>
      <c r="J48" s="1606" t="s">
        <v>3277</v>
      </c>
      <c r="K48" s="1607" t="s">
        <v>1496</v>
      </c>
      <c r="L48" s="1608">
        <f ca="1">INDIRECT("'数据-取费表'!f"&amp;$G$1)</f>
        <v>44.31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7287</v>
      </c>
      <c r="R49" s="1604" t="s">
        <v>1494</v>
      </c>
    </row>
    <row r="50" spans="1:18" s="1568" customFormat="1" ht="13.5" thickBot="1">
      <c r="A50" s="1107"/>
      <c r="B50" s="1110"/>
      <c r="C50" s="1278"/>
      <c r="D50" s="1084"/>
      <c r="E50" s="1187" t="s">
        <v>1371</v>
      </c>
      <c r="F50" s="1188">
        <f ca="1">F7</f>
        <v>17089.22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-10129</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44.31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44.31</v>
      </c>
      <c r="K53" s="3267" t="s">
        <v>1513</v>
      </c>
      <c r="L53" s="3268"/>
      <c r="O53" s="1602" t="s">
        <v>1014</v>
      </c>
      <c r="P53" s="1603" t="s">
        <v>1514</v>
      </c>
      <c r="Q53" s="1604">
        <f ca="1">Q47+Q48</f>
        <v>2887</v>
      </c>
      <c r="R53" s="1604" t="s">
        <v>1015</v>
      </c>
    </row>
    <row r="54" spans="1:18" s="1568" customFormat="1" ht="13.5" thickBot="1">
      <c r="A54" s="1315"/>
      <c r="B54" s="1551" t="s">
        <v>1353</v>
      </c>
      <c r="C54" s="1090"/>
      <c r="D54" s="1550"/>
      <c r="E54" s="304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4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7068</v>
      </c>
      <c r="D56" s="1631"/>
      <c r="E56" s="1632"/>
      <c r="F56" s="1624"/>
      <c r="I56" s="1633" t="s">
        <v>1519</v>
      </c>
      <c r="J56" s="1634" t="s">
        <v>3079</v>
      </c>
      <c r="K56" s="1605" t="s">
        <v>1520</v>
      </c>
      <c r="L56" s="1608" t="str">
        <f ca="1">IF(L48&lt;J51,"——",L48-J53)</f>
        <v>——</v>
      </c>
      <c r="O56" s="1602" t="s">
        <v>1008</v>
      </c>
      <c r="P56" s="1603" t="s">
        <v>1493</v>
      </c>
      <c r="Q56" s="1604">
        <f ca="1">C40+J29</f>
        <v>2887</v>
      </c>
      <c r="R56" s="1604" t="s">
        <v>1494</v>
      </c>
    </row>
    <row r="57" spans="1:18" s="1568" customFormat="1" ht="24.75" thickBot="1">
      <c r="A57" s="1635"/>
      <c r="B57" s="1081" t="s">
        <v>1443</v>
      </c>
      <c r="C57" s="244">
        <f ca="1">C29</f>
        <v>7287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733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613</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IF(项目基本情况!B11="自然人","——",IF(D61="按租金收入计税",ROUND(C48*F61,2),IF(D61="按房产原值计税",ROUND(C57*F61*0.7,2),INDIRECT("'数据-取费表'!Aj"&amp;$G$1))))</f>
        <v>612.11</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0.83</v>
      </c>
      <c r="D62" s="1096" t="s">
        <v>1407</v>
      </c>
      <c r="E62" s="1081" t="s">
        <v>1408</v>
      </c>
      <c r="F62" s="331">
        <f t="shared" si="0"/>
        <v>1.5</v>
      </c>
      <c r="I62" s="1646" t="s">
        <v>1535</v>
      </c>
      <c r="J62" s="1647" t="s">
        <v>1536</v>
      </c>
      <c r="K62" s="1647" t="s">
        <v>1537</v>
      </c>
      <c r="L62" s="1647" t="s">
        <v>1538</v>
      </c>
      <c r="M62" s="1648" t="s">
        <v>1539</v>
      </c>
      <c r="O62" s="1602" t="s">
        <v>1014</v>
      </c>
      <c r="P62" s="1603" t="s">
        <v>1514</v>
      </c>
      <c r="Q62" s="1604">
        <f ca="1">Q56+Q57</f>
        <v>2887</v>
      </c>
      <c r="R62" s="1604" t="s">
        <v>1015</v>
      </c>
    </row>
    <row r="63" spans="1:18" s="1568" customFormat="1" ht="13.5" thickBot="1">
      <c r="A63" s="332"/>
      <c r="B63" s="1087"/>
      <c r="C63" s="29"/>
      <c r="D63" s="1097"/>
      <c r="E63" s="1081" t="s">
        <v>1412</v>
      </c>
      <c r="F63" s="309">
        <f t="shared" ca="1" si="0"/>
        <v>5549.5499999999993</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109.3</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10.6</v>
      </c>
      <c r="D65" s="1095" t="s">
        <v>1419</v>
      </c>
      <c r="E65" s="1081" t="s">
        <v>1387</v>
      </c>
      <c r="F65" s="336">
        <f t="shared" ca="1" si="0"/>
        <v>1.5E-3</v>
      </c>
      <c r="I65" s="1646" t="s">
        <v>1544</v>
      </c>
      <c r="J65" s="1647">
        <v>40</v>
      </c>
      <c r="K65" s="1647">
        <v>30</v>
      </c>
      <c r="L65" s="1647">
        <v>50</v>
      </c>
      <c r="M65" s="1649">
        <v>0.02</v>
      </c>
      <c r="O65" s="1602" t="s">
        <v>1008</v>
      </c>
      <c r="P65" s="1603" t="s">
        <v>1493</v>
      </c>
      <c r="Q65" s="1604">
        <f ca="1">C40+J29</f>
        <v>2887</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-733</v>
      </c>
      <c r="D67" s="1094" t="s">
        <v>1429</v>
      </c>
      <c r="E67" s="1099"/>
      <c r="F67" s="1100"/>
      <c r="O67" s="1612" t="s">
        <v>1010</v>
      </c>
      <c r="P67" s="1603" t="s">
        <v>1527</v>
      </c>
      <c r="Q67" s="1650">
        <f ca="1">L51</f>
        <v>-10129</v>
      </c>
      <c r="R67" s="1604" t="s">
        <v>1547</v>
      </c>
    </row>
    <row r="68" spans="1:18" s="1568" customFormat="1" ht="16.5" thickBot="1">
      <c r="A68" s="1078" t="s">
        <v>1000</v>
      </c>
      <c r="B68" s="1079" t="s">
        <v>1450</v>
      </c>
      <c r="C68" s="307">
        <f ca="1">ROUND(C67*(1-((1+F70)/(1+F68))^F69)/(F68-F70),0)</f>
        <v>-12973</v>
      </c>
      <c r="D68" s="1096" t="s">
        <v>1434</v>
      </c>
      <c r="E68" s="1081" t="s">
        <v>1435</v>
      </c>
      <c r="F68" s="318">
        <f ca="1">F40</f>
        <v>0.05</v>
      </c>
      <c r="O68" s="1612" t="s">
        <v>1011</v>
      </c>
      <c r="P68" s="1651" t="s">
        <v>1548</v>
      </c>
      <c r="Q68" s="1604">
        <f ca="1">ROUND(Q69-Q70*Q71,0)</f>
        <v>-491</v>
      </c>
      <c r="R68" s="1604" t="s">
        <v>1019</v>
      </c>
    </row>
    <row r="69" spans="1:18" s="1568" customFormat="1" ht="13.5" thickBot="1">
      <c r="A69" s="1082"/>
      <c r="B69" s="1083"/>
      <c r="C69" s="312"/>
      <c r="D69" s="1101" t="s">
        <v>1438</v>
      </c>
      <c r="E69" s="1081" t="s">
        <v>1439</v>
      </c>
      <c r="F69" s="339">
        <f ca="1">F41</f>
        <v>44.31</v>
      </c>
      <c r="O69" s="1612" t="s">
        <v>1016</v>
      </c>
      <c r="P69" s="1651" t="s">
        <v>1549</v>
      </c>
      <c r="Q69" s="1604">
        <f ca="1">C39</f>
        <v>110</v>
      </c>
      <c r="R69" s="1604" t="s">
        <v>1494</v>
      </c>
    </row>
    <row r="70" spans="1:18" s="1568" customFormat="1" ht="13.5" thickBot="1">
      <c r="A70" s="1085"/>
      <c r="B70" s="1086"/>
      <c r="C70" s="316"/>
      <c r="D70" s="1097"/>
      <c r="E70" s="1081" t="s">
        <v>1442</v>
      </c>
      <c r="F70" s="1185"/>
      <c r="O70" s="1612" t="s">
        <v>1017</v>
      </c>
      <c r="P70" s="1651" t="s">
        <v>1550</v>
      </c>
      <c r="Q70" s="1604">
        <f ca="1">C13</f>
        <v>7068</v>
      </c>
      <c r="R70" s="1604" t="s">
        <v>1494</v>
      </c>
    </row>
    <row r="71" spans="1:18" s="1568" customFormat="1" ht="13.5" thickBot="1">
      <c r="A71" s="1102" t="s">
        <v>1001</v>
      </c>
      <c r="B71" s="1103" t="s">
        <v>1452</v>
      </c>
      <c r="C71" s="342">
        <f ca="1">ROUND(C68*10000/F71,0)</f>
        <v>-7591</v>
      </c>
      <c r="D71" s="1104" t="s">
        <v>1453</v>
      </c>
      <c r="E71" s="1105" t="s">
        <v>1454</v>
      </c>
      <c r="F71" s="345">
        <f ca="1">F43</f>
        <v>17089.22</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601</v>
      </c>
      <c r="D75" s="1568"/>
      <c r="E75" s="1568"/>
      <c r="F75" s="1568"/>
      <c r="K75" s="1586"/>
      <c r="L75" s="1568"/>
      <c r="O75" s="1602" t="s">
        <v>1014</v>
      </c>
      <c r="P75" s="1603" t="s">
        <v>1514</v>
      </c>
      <c r="Q75" s="1604">
        <f ca="1">Q65+Q66</f>
        <v>2887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-4.4640000000000004</v>
      </c>
    </row>
    <row r="80" spans="1:18">
      <c r="B80" s="346" t="s">
        <v>1476</v>
      </c>
      <c r="C80" s="280">
        <f ca="1">ROUND(C75/C39,3)</f>
        <v>5.4640000000000004</v>
      </c>
    </row>
    <row r="81" spans="2:3">
      <c r="B81" s="276" t="s">
        <v>1477</v>
      </c>
      <c r="C81" s="244"/>
    </row>
    <row r="82" spans="2:3">
      <c r="B82" s="279" t="s">
        <v>1478</v>
      </c>
      <c r="C82" s="281">
        <f ca="1">1-C83</f>
        <v>-1.448</v>
      </c>
    </row>
    <row r="83" spans="2:3">
      <c r="B83" s="279" t="s">
        <v>1479</v>
      </c>
      <c r="C83" s="280">
        <f ca="1">ROUND(C13/C40,3)</f>
        <v>2.448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44.31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196390</v>
      </c>
      <c r="C2" s="1571" t="s">
        <v>1481</v>
      </c>
      <c r="D2" s="1571"/>
      <c r="E2" s="1572"/>
      <c r="F2" s="1573"/>
      <c r="G2" s="2935"/>
      <c r="H2" s="2924"/>
      <c r="I2" s="2924"/>
      <c r="J2" s="2924"/>
      <c r="K2" s="2925"/>
      <c r="L2" s="2924"/>
      <c r="M2" s="2924"/>
    </row>
    <row r="3" spans="1:37" ht="18" customHeight="1" thickBot="1">
      <c r="A3" s="1574" t="s">
        <v>1482</v>
      </c>
      <c r="B3" s="1575">
        <f ca="1">IF(ISERROR(B2*10000/F43),0,ROUND(B2*10000/F43,0))</f>
        <v>17747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10192</v>
      </c>
      <c r="D5" s="1548" t="s">
        <v>1367</v>
      </c>
      <c r="E5" s="1203"/>
      <c r="F5" s="1204"/>
      <c r="G5" s="1568"/>
      <c r="H5" s="305">
        <v>1</v>
      </c>
      <c r="I5" s="306" t="s">
        <v>1366</v>
      </c>
      <c r="J5" s="1202">
        <f ca="1">J6+J10+J12</f>
        <v>0</v>
      </c>
      <c r="K5" s="1548" t="s">
        <v>1367</v>
      </c>
      <c r="L5" s="1203"/>
      <c r="M5" s="1204"/>
    </row>
    <row r="6" spans="1:37" ht="18" customHeight="1">
      <c r="A6" s="1201" t="s">
        <v>1003</v>
      </c>
      <c r="B6" s="3264" t="s">
        <v>1368</v>
      </c>
      <c r="C6" s="1206">
        <f ca="1">ROUND(F6*F8*F7*(1-F9)/10000,0)</f>
        <v>10179</v>
      </c>
      <c r="D6" s="160" t="s">
        <v>2851</v>
      </c>
      <c r="E6" s="308" t="s">
        <v>1370</v>
      </c>
      <c r="F6" s="309">
        <f ca="1">INDIRECT("'数据-取费表'!u"&amp;$G$1)</f>
        <v>2.8</v>
      </c>
      <c r="G6" s="1568"/>
      <c r="H6" s="1201" t="s">
        <v>1003</v>
      </c>
      <c r="I6" s="3264" t="s">
        <v>1368</v>
      </c>
      <c r="J6" s="307">
        <f ca="1">ROUND(M6*M8*M7*(1-M9)/10000,0)</f>
        <v>0</v>
      </c>
      <c r="K6" s="160" t="s">
        <v>2850</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110663.31</v>
      </c>
      <c r="G7" s="1568"/>
      <c r="H7" s="310"/>
      <c r="I7" s="3265"/>
      <c r="J7" s="312"/>
      <c r="K7" s="313"/>
      <c r="L7" s="308" t="s">
        <v>1371</v>
      </c>
      <c r="M7" s="309">
        <f ca="1">F7</f>
        <v>110663.31</v>
      </c>
    </row>
    <row r="8" spans="1:37" ht="18" customHeight="1">
      <c r="A8" s="310"/>
      <c r="B8" s="3265"/>
      <c r="C8" s="312"/>
      <c r="D8" s="313"/>
      <c r="E8" s="308" t="s">
        <v>1372</v>
      </c>
      <c r="F8" s="309">
        <f ca="1">INDIRECT("'数据-取费表'!ai"&amp;$G$1)</f>
        <v>365</v>
      </c>
      <c r="G8" s="1568"/>
      <c r="H8" s="310"/>
      <c r="I8" s="3265"/>
      <c r="J8" s="312"/>
      <c r="K8" s="313"/>
      <c r="L8" s="308" t="s">
        <v>1372</v>
      </c>
      <c r="M8" s="309">
        <f ca="1">INDIRECT("'数据-取费表'!ai"&amp;$G$1)</f>
        <v>365</v>
      </c>
    </row>
    <row r="9" spans="1:37" ht="18" customHeight="1">
      <c r="A9" s="310"/>
      <c r="B9" s="3266"/>
      <c r="C9" s="312"/>
      <c r="D9" s="313"/>
      <c r="E9" s="308" t="s">
        <v>1373</v>
      </c>
      <c r="F9" s="318">
        <f ca="1">INDIRECT("'数据-取费表'!w"&amp;$G$1)</f>
        <v>0.1</v>
      </c>
      <c r="G9" s="1568"/>
      <c r="H9" s="310"/>
      <c r="I9" s="3266"/>
      <c r="J9" s="312"/>
      <c r="K9" s="313"/>
      <c r="L9" s="319" t="s">
        <v>1373</v>
      </c>
      <c r="M9" s="320">
        <f ca="1">INDIRECT("'数据-取费表'!ab"&amp;$G$1)</f>
        <v>0</v>
      </c>
    </row>
    <row r="10" spans="1:37" ht="18" customHeight="1">
      <c r="A10" s="1201" t="s">
        <v>1007</v>
      </c>
      <c r="B10" s="1549" t="s">
        <v>1374</v>
      </c>
      <c r="C10" s="322">
        <f ca="1">ROUND(IF(F10="押一",C6/12*F11,IF(F10="押二",C6/12*2*F11,IF(F10="押三",C6/12*3*F11,C11*F11))),0)</f>
        <v>13</v>
      </c>
      <c r="D10" s="1550" t="s">
        <v>2859</v>
      </c>
      <c r="E10" s="319" t="s">
        <v>1375</v>
      </c>
      <c r="F10" s="1276" t="s">
        <v>3275</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52211</v>
      </c>
      <c r="D13" s="1241" t="s">
        <v>1380</v>
      </c>
      <c r="E13" s="1241" t="s">
        <v>1381</v>
      </c>
      <c r="F13" s="1242">
        <f ca="1">INDIRECT("'数据-取费表'!y"&amp;$G$1)</f>
        <v>0.97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34265</v>
      </c>
      <c r="D14" s="1529" t="s">
        <v>1383</v>
      </c>
      <c r="E14" s="1526"/>
      <c r="F14" s="325"/>
      <c r="G14" s="1568"/>
      <c r="H14" s="1113" t="s">
        <v>1003</v>
      </c>
      <c r="I14" s="308" t="s">
        <v>1384</v>
      </c>
      <c r="J14" s="24">
        <f ca="1">C29</f>
        <v>53826</v>
      </c>
      <c r="K14" s="15"/>
      <c r="L14" s="916"/>
      <c r="M14" s="917"/>
    </row>
    <row r="15" spans="1:37" s="1581" customFormat="1" ht="18" customHeight="1" thickBot="1">
      <c r="A15" s="1113" t="s">
        <v>1004</v>
      </c>
      <c r="B15" s="308" t="s">
        <v>1385</v>
      </c>
      <c r="C15" s="24">
        <f ca="1">ROUND(C14*F15,0)</f>
        <v>1713</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1265</v>
      </c>
      <c r="K16" s="1247" t="s">
        <v>1390</v>
      </c>
      <c r="L16" s="1248"/>
      <c r="M16" s="1204"/>
    </row>
    <row r="17" spans="1:37" s="1581" customFormat="1" ht="18" customHeight="1">
      <c r="A17" s="1113" t="s">
        <v>1355</v>
      </c>
      <c r="B17" s="308" t="s">
        <v>1391</v>
      </c>
      <c r="C17" s="24">
        <f ca="1">ROUND(F17*(F43+INDIRECT("'数据-取费表'!S"&amp;$G$1))/10000,0)</f>
        <v>2284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458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514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38776</v>
      </c>
      <c r="D19" s="136" t="s">
        <v>1401</v>
      </c>
      <c r="E19" s="1544"/>
      <c r="F19" s="26"/>
      <c r="G19" s="1568"/>
      <c r="H19" s="1113" t="s">
        <v>1004</v>
      </c>
      <c r="I19" s="308" t="s">
        <v>1402</v>
      </c>
      <c r="J19" s="24">
        <f ca="1">IF(K19="按租金收入计税",ROUND(J6*M19/(1+'数据-取费表'!C42),2),ROUND(C29*M19*0.7,2))</f>
        <v>452.14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1163</v>
      </c>
      <c r="D20" s="329" t="s">
        <v>1405</v>
      </c>
      <c r="E20" s="308" t="s">
        <v>1387</v>
      </c>
      <c r="F20" s="328">
        <f>'数据-取费表'!B37</f>
        <v>0.03</v>
      </c>
      <c r="G20" s="1580"/>
      <c r="H20" s="1113" t="s">
        <v>1354</v>
      </c>
      <c r="I20" s="160" t="s">
        <v>1406</v>
      </c>
      <c r="J20" s="25">
        <f ca="1">ROUND(M20*M21/10000,2)</f>
        <v>5.39</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35936.81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807.4</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1738</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-1265</v>
      </c>
      <c r="K25" s="1255" t="s">
        <v>1429</v>
      </c>
      <c r="L25" s="1256"/>
      <c r="M25" s="1257"/>
    </row>
    <row r="26" spans="1:37">
      <c r="A26" s="1113" t="s">
        <v>1002</v>
      </c>
      <c r="B26" s="308" t="s">
        <v>1430</v>
      </c>
      <c r="C26" s="24">
        <f ca="1">ROUND((C19+C20)*F26,0)</f>
        <v>7988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53826</v>
      </c>
      <c r="D29" s="1252"/>
      <c r="E29" s="1250"/>
      <c r="F29" s="1253"/>
      <c r="G29" s="1580"/>
      <c r="H29" s="340" t="s">
        <v>1001</v>
      </c>
      <c r="I29" s="341" t="s">
        <v>1444</v>
      </c>
      <c r="J29" s="342">
        <f ca="1">ROUND(J26/(1+F40)^F41,0)</f>
        <v>0</v>
      </c>
      <c r="K29" s="343" t="s">
        <v>1445</v>
      </c>
      <c r="L29" s="344"/>
      <c r="M29" s="345">
        <f ca="1">INDIRECT("'数据-取费表'!k"&amp;$G$1)</f>
        <v>110663.31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2690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1702</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533.19000000000005</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1163.31</v>
      </c>
      <c r="D33" s="1554" t="s">
        <v>3276</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5.39</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35936.81</v>
      </c>
      <c r="G35" s="1568"/>
      <c r="H35" s="2926"/>
      <c r="I35" s="1582"/>
      <c r="J35" s="1583"/>
      <c r="K35" s="2930"/>
      <c r="L35" s="2929"/>
      <c r="M35" s="2929"/>
    </row>
    <row r="36" spans="1:18" ht="18" customHeight="1">
      <c r="A36" s="1262" t="s">
        <v>1007</v>
      </c>
      <c r="B36" s="308" t="s">
        <v>1414</v>
      </c>
      <c r="C36" s="24">
        <f ca="1">ROUND(C29*F36,1)</f>
        <v>807.4</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78.3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101.9</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7502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196390</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44.31</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ROUND(C40*10000/F43,0)</f>
        <v>17747</v>
      </c>
      <c r="D43" s="343" t="s">
        <v>1453</v>
      </c>
      <c r="E43" s="344" t="s">
        <v>1454</v>
      </c>
      <c r="F43" s="345">
        <f ca="1">INDIRECT("'数据-取费表'!k"&amp;$G$1)</f>
        <v>110663.31</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-285630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3278</v>
      </c>
      <c r="K47" s="1600" t="s">
        <v>1492</v>
      </c>
      <c r="L47" s="1601">
        <f ca="1">INDIRECT("'数据-取费表'!d"&amp;$G$1)</f>
        <v>50</v>
      </c>
      <c r="M47" s="1564" t="str">
        <f>IF(ISNUMBER(FIND("住宅",C1)),"住宅","非住宅")</f>
        <v>非住宅</v>
      </c>
      <c r="O47" s="1602" t="s">
        <v>1008</v>
      </c>
      <c r="P47" s="1603" t="s">
        <v>1493</v>
      </c>
      <c r="Q47" s="1604">
        <f ca="1">C40+J29</f>
        <v>196390</v>
      </c>
      <c r="R47" s="1604" t="s">
        <v>1494</v>
      </c>
    </row>
    <row r="48" spans="1:18" s="1568" customFormat="1" ht="28.5" thickBot="1">
      <c r="A48" s="1270" t="s">
        <v>1103</v>
      </c>
      <c r="B48" s="306" t="s">
        <v>1366</v>
      </c>
      <c r="C48" s="1543">
        <f ca="1">C49+C53+C55</f>
        <v>0</v>
      </c>
      <c r="D48" s="1272"/>
      <c r="E48" s="1273"/>
      <c r="F48" s="1093"/>
      <c r="G48" s="731"/>
      <c r="H48" s="732"/>
      <c r="I48" s="1605" t="s">
        <v>1495</v>
      </c>
      <c r="J48" s="1606" t="s">
        <v>3277</v>
      </c>
      <c r="K48" s="1607" t="s">
        <v>1496</v>
      </c>
      <c r="L48" s="1608">
        <f ca="1">INDIRECT("'数据-取费表'!f"&amp;$G$1)</f>
        <v>44.31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53826</v>
      </c>
      <c r="R49" s="1604" t="s">
        <v>1494</v>
      </c>
    </row>
    <row r="50" spans="1:18" s="1568" customFormat="1" ht="13.5" thickBot="1">
      <c r="A50" s="1107"/>
      <c r="B50" s="1110"/>
      <c r="C50" s="1278"/>
      <c r="D50" s="1084"/>
      <c r="E50" s="1187" t="s">
        <v>1371</v>
      </c>
      <c r="F50" s="1188">
        <f ca="1">F7</f>
        <v>110663.31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58001</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44.31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44.31</v>
      </c>
      <c r="K53" s="3267" t="s">
        <v>1513</v>
      </c>
      <c r="L53" s="3268"/>
      <c r="O53" s="1602" t="s">
        <v>1014</v>
      </c>
      <c r="P53" s="1603" t="s">
        <v>1514</v>
      </c>
      <c r="Q53" s="1604">
        <f ca="1">Q47+Q48</f>
        <v>196390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52211</v>
      </c>
      <c r="D56" s="1631"/>
      <c r="E56" s="1632"/>
      <c r="F56" s="1624"/>
      <c r="I56" s="1633" t="s">
        <v>1519</v>
      </c>
      <c r="J56" s="1634" t="s">
        <v>3079</v>
      </c>
      <c r="K56" s="1605" t="s">
        <v>1520</v>
      </c>
      <c r="L56" s="1608" t="str">
        <f ca="1">IF(L48&lt;J51,"——",L48-J53)</f>
        <v>——</v>
      </c>
      <c r="O56" s="1602" t="s">
        <v>1008</v>
      </c>
      <c r="P56" s="1603" t="s">
        <v>1493</v>
      </c>
      <c r="Q56" s="1604">
        <f ca="1">C40+J29</f>
        <v>196390</v>
      </c>
      <c r="R56" s="1604" t="s">
        <v>1494</v>
      </c>
    </row>
    <row r="57" spans="1:18" s="1568" customFormat="1" ht="24.75" thickBot="1">
      <c r="A57" s="1635"/>
      <c r="B57" s="1081" t="s">
        <v>1443</v>
      </c>
      <c r="C57" s="244">
        <f ca="1">C29</f>
        <v>53826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5413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4527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4521.38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5.39</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196390</v>
      </c>
      <c r="R62" s="1604" t="s">
        <v>1015</v>
      </c>
    </row>
    <row r="63" spans="1:18" s="1568" customFormat="1" ht="13.5" thickBot="1">
      <c r="A63" s="332"/>
      <c r="B63" s="1087"/>
      <c r="C63" s="29"/>
      <c r="D63" s="1097"/>
      <c r="E63" s="1081" t="s">
        <v>1464</v>
      </c>
      <c r="F63" s="309">
        <f t="shared" ca="1" si="0"/>
        <v>35936.81</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807.4</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78.3</v>
      </c>
      <c r="D65" s="1095" t="s">
        <v>1419</v>
      </c>
      <c r="E65" s="1081" t="s">
        <v>1420</v>
      </c>
      <c r="F65" s="336">
        <f t="shared" ca="1" si="0"/>
        <v>1.5E-3</v>
      </c>
      <c r="I65" s="1646" t="s">
        <v>1544</v>
      </c>
      <c r="J65" s="1647">
        <v>40</v>
      </c>
      <c r="K65" s="1647">
        <v>30</v>
      </c>
      <c r="L65" s="1647">
        <v>50</v>
      </c>
      <c r="M65" s="1649">
        <v>0.02</v>
      </c>
      <c r="O65" s="1602" t="s">
        <v>1008</v>
      </c>
      <c r="P65" s="1603" t="s">
        <v>1545</v>
      </c>
      <c r="Q65" s="1604">
        <f ca="1">C40+J29</f>
        <v>196390</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-5413</v>
      </c>
      <c r="D67" s="1094" t="s">
        <v>1429</v>
      </c>
      <c r="E67" s="1099"/>
      <c r="F67" s="1100"/>
      <c r="O67" s="1612" t="s">
        <v>1010</v>
      </c>
      <c r="P67" s="1603" t="s">
        <v>1527</v>
      </c>
      <c r="Q67" s="1650">
        <f ca="1">L51</f>
        <v>58001</v>
      </c>
      <c r="R67" s="1604" t="s">
        <v>1547</v>
      </c>
    </row>
    <row r="68" spans="1:18" s="1568" customFormat="1" ht="16.5" thickBot="1">
      <c r="A68" s="1078" t="s">
        <v>1000</v>
      </c>
      <c r="B68" s="1079" t="s">
        <v>1450</v>
      </c>
      <c r="C68" s="307">
        <f ca="1">ROUND(C67*(1-((1+F70)/(1+F68))^F69)/(F68-F70),0)</f>
        <v>-89240</v>
      </c>
      <c r="D68" s="1096" t="s">
        <v>1434</v>
      </c>
      <c r="E68" s="1081" t="s">
        <v>1435</v>
      </c>
      <c r="F68" s="318">
        <f ca="1">F40</f>
        <v>5.5E-2</v>
      </c>
      <c r="O68" s="1612" t="s">
        <v>1011</v>
      </c>
      <c r="P68" s="1651" t="s">
        <v>1548</v>
      </c>
      <c r="Q68" s="1604">
        <f ca="1">ROUND(Q69-Q70*Q71,0)</f>
        <v>3064</v>
      </c>
      <c r="R68" s="1604" t="s">
        <v>1019</v>
      </c>
    </row>
    <row r="69" spans="1:18" s="1568" customFormat="1" ht="13.5" thickBot="1">
      <c r="A69" s="1082"/>
      <c r="B69" s="1083"/>
      <c r="C69" s="312"/>
      <c r="D69" s="1101" t="s">
        <v>1438</v>
      </c>
      <c r="E69" s="1081" t="s">
        <v>1439</v>
      </c>
      <c r="F69" s="339">
        <f ca="1">F41</f>
        <v>44.31</v>
      </c>
      <c r="O69" s="1612" t="s">
        <v>1016</v>
      </c>
      <c r="P69" s="1651" t="s">
        <v>1549</v>
      </c>
      <c r="Q69" s="1604">
        <f ca="1">C39</f>
        <v>7502</v>
      </c>
      <c r="R69" s="1604" t="s">
        <v>1494</v>
      </c>
    </row>
    <row r="70" spans="1:18" s="1568" customFormat="1" ht="13.5" thickBot="1">
      <c r="A70" s="1085"/>
      <c r="B70" s="1086"/>
      <c r="C70" s="316"/>
      <c r="D70" s="1097"/>
      <c r="E70" s="1081" t="s">
        <v>1442</v>
      </c>
      <c r="F70" s="1185"/>
      <c r="O70" s="1612" t="s">
        <v>1017</v>
      </c>
      <c r="P70" s="1651" t="s">
        <v>1550</v>
      </c>
      <c r="Q70" s="1604">
        <f ca="1">C13</f>
        <v>52211</v>
      </c>
      <c r="R70" s="1604" t="s">
        <v>1494</v>
      </c>
    </row>
    <row r="71" spans="1:18" s="1568" customFormat="1" ht="13.5" thickBot="1">
      <c r="A71" s="1102" t="s">
        <v>1001</v>
      </c>
      <c r="B71" s="1103" t="s">
        <v>1452</v>
      </c>
      <c r="C71" s="342">
        <f ca="1">ROUND(C68*10000/F71,0)</f>
        <v>-8064</v>
      </c>
      <c r="D71" s="1104" t="s">
        <v>1453</v>
      </c>
      <c r="E71" s="1105" t="s">
        <v>1454</v>
      </c>
      <c r="F71" s="345">
        <f ca="1">F43</f>
        <v>110663.31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4438</v>
      </c>
      <c r="D75" s="1568"/>
      <c r="E75" s="1568"/>
      <c r="F75" s="1568"/>
      <c r="K75" s="1586"/>
      <c r="L75" s="1568"/>
      <c r="O75" s="1602" t="s">
        <v>1014</v>
      </c>
      <c r="P75" s="1603" t="s">
        <v>1514</v>
      </c>
      <c r="Q75" s="1604">
        <f ca="1">Q65+Q66</f>
        <v>196390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0.40800000000000003</v>
      </c>
    </row>
    <row r="80" spans="1:18">
      <c r="B80" s="346" t="s">
        <v>1476</v>
      </c>
      <c r="C80" s="280">
        <f ca="1">ROUND(C75/C39,3)</f>
        <v>0.59199999999999997</v>
      </c>
    </row>
    <row r="81" spans="2:3">
      <c r="B81" s="276" t="s">
        <v>1477</v>
      </c>
      <c r="C81" s="244"/>
    </row>
    <row r="82" spans="2:3">
      <c r="B82" s="279" t="s">
        <v>1478</v>
      </c>
      <c r="C82" s="281">
        <f ca="1">1-C83</f>
        <v>0.73399999999999999</v>
      </c>
    </row>
    <row r="83" spans="2:3">
      <c r="B83" s="279" t="s">
        <v>1479</v>
      </c>
      <c r="C83" s="280">
        <f ca="1">ROUND(C13/C40,3)</f>
        <v>0.26600000000000001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4" t="s">
        <v>1368</v>
      </c>
      <c r="C6" s="1206">
        <f ca="1">ROUND(F6*F8*F7*(1-F9),0)</f>
        <v>0</v>
      </c>
      <c r="D6" s="160" t="s">
        <v>2848</v>
      </c>
      <c r="E6" s="308" t="s">
        <v>1370</v>
      </c>
      <c r="F6" s="309">
        <f ca="1">INDIRECT("'数据-取费表'!u"&amp;$G$1)</f>
        <v>0</v>
      </c>
      <c r="G6" s="1568"/>
      <c r="H6" s="1201" t="s">
        <v>1003</v>
      </c>
      <c r="I6" s="3264" t="s">
        <v>1368</v>
      </c>
      <c r="J6" s="307">
        <f ca="1">ROUND(M6*M8*M7*(1-M9),0)</f>
        <v>0</v>
      </c>
      <c r="K6" s="1560" t="s">
        <v>2849</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0</v>
      </c>
      <c r="G7" s="1568"/>
      <c r="H7" s="310"/>
      <c r="I7" s="3265"/>
      <c r="J7" s="312"/>
      <c r="K7" s="313"/>
      <c r="L7" s="308" t="s">
        <v>1371</v>
      </c>
      <c r="M7" s="309">
        <f ca="1">F7</f>
        <v>0</v>
      </c>
    </row>
    <row r="8" spans="1:37" ht="18" customHeight="1">
      <c r="A8" s="310"/>
      <c r="B8" s="3265"/>
      <c r="C8" s="312"/>
      <c r="D8" s="313"/>
      <c r="E8" s="308" t="s">
        <v>1372</v>
      </c>
      <c r="F8" s="309">
        <f ca="1">INDIRECT("'数据-取费表'!ai"&amp;$G$1)</f>
        <v>0</v>
      </c>
      <c r="G8" s="1568"/>
      <c r="H8" s="310"/>
      <c r="I8" s="3265"/>
      <c r="J8" s="312"/>
      <c r="K8" s="313"/>
      <c r="L8" s="308" t="s">
        <v>1372</v>
      </c>
      <c r="M8" s="309">
        <f ca="1">INDIRECT("'数据-取费表'!ai"&amp;$G$1)</f>
        <v>0</v>
      </c>
    </row>
    <row r="9" spans="1:37" ht="18" customHeight="1">
      <c r="A9" s="310"/>
      <c r="B9" s="3266"/>
      <c r="C9" s="312"/>
      <c r="D9" s="313"/>
      <c r="E9" s="308" t="s">
        <v>1373</v>
      </c>
      <c r="F9" s="318">
        <f ca="1">INDIRECT("'数据-取费表'!w"&amp;$G$1)</f>
        <v>0</v>
      </c>
      <c r="G9" s="1568"/>
      <c r="H9" s="310"/>
      <c r="I9" s="3266"/>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70"/>
      <c r="L41" s="1352"/>
      <c r="M41" s="1352"/>
    </row>
    <row r="42" spans="1:18" ht="18" customHeight="1">
      <c r="A42" s="314"/>
      <c r="B42" s="315"/>
      <c r="C42" s="316"/>
      <c r="D42" s="333"/>
      <c r="E42" s="308" t="s">
        <v>1442</v>
      </c>
      <c r="F42" s="318">
        <f ca="1">INDIRECT("'数据-取费表'!v"&amp;$G$1)</f>
        <v>0</v>
      </c>
      <c r="G42" s="1568"/>
      <c r="H42" s="1352"/>
      <c r="I42" s="1582"/>
      <c r="J42" s="1583"/>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67" t="s">
        <v>1513</v>
      </c>
      <c r="L53" s="326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tabSelected="1" view="pageBreakPreview" zoomScaleNormal="100" zoomScaleSheetLayoutView="100" workbookViewId="0">
      <selection activeCell="I18" sqref="I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8" width="9" style="1662"/>
    <col min="9" max="9" width="13.75" style="1662" customWidth="1"/>
    <col min="10" max="10" width="9" style="1662"/>
    <col min="11" max="11" width="10.5" style="1662" bestFit="1" customWidth="1"/>
    <col min="12" max="16384" width="9" style="1662"/>
  </cols>
  <sheetData>
    <row r="1" spans="1:22" ht="21">
      <c r="A1" s="2053" t="s">
        <v>2347</v>
      </c>
      <c r="B1" s="2054"/>
      <c r="C1" s="2054"/>
      <c r="D1" s="2054"/>
      <c r="E1" s="2055"/>
      <c r="F1" s="2936"/>
      <c r="G1" s="1674"/>
      <c r="H1" s="1674"/>
      <c r="I1" s="1674" t="str">
        <f>'数据-基础表'!C13</f>
        <v>9号院1号楼</v>
      </c>
      <c r="J1" s="1674">
        <f ca="1">ROUND(G6*10000/('数据-汇总表'!F19+0.4*'数据-汇总表'!G19),0)</f>
        <v>24203</v>
      </c>
      <c r="K1" s="1674">
        <f ca="1">ROUND(J1*'数据-基础表'!H13/10000,0)</f>
        <v>33674</v>
      </c>
      <c r="L1" s="1674">
        <f ca="1">ROUND(K1*10000/'数据-基础表'!G13,0)</f>
        <v>22490</v>
      </c>
      <c r="M1" s="1674"/>
      <c r="N1" s="1674"/>
      <c r="O1" s="1674"/>
      <c r="P1" s="1674"/>
      <c r="Q1" s="1674"/>
      <c r="R1" s="1674"/>
      <c r="S1" s="1674"/>
    </row>
    <row r="2" spans="1:22" ht="15.75">
      <c r="A2" s="2056" t="s">
        <v>2148</v>
      </c>
      <c r="B2" s="2057">
        <f ca="1">SUMIF(B6:B13,"&lt;&gt;#ref!",B6:B13)</f>
        <v>199277</v>
      </c>
      <c r="C2" s="2058" t="s">
        <v>2340</v>
      </c>
      <c r="D2" s="2059" t="s">
        <v>2341</v>
      </c>
      <c r="E2" s="2833">
        <f>SUM(E6:E13)</f>
        <v>131855.63</v>
      </c>
      <c r="F2" s="2936"/>
      <c r="G2" s="1674"/>
      <c r="H2" s="1674"/>
      <c r="I2" s="1674" t="str">
        <f>'数据-基础表'!C14</f>
        <v>9号院2号楼</v>
      </c>
      <c r="J2" s="1674">
        <f ca="1">J1</f>
        <v>24203</v>
      </c>
      <c r="K2" s="1674">
        <f ca="1">ROUND(J2*'数据-基础表'!H14/10000,0)</f>
        <v>76586</v>
      </c>
      <c r="L2" s="1674">
        <f ca="1">ROUND(K2*10000/'数据-基础表'!G14,0)</f>
        <v>23028</v>
      </c>
      <c r="M2" s="1674"/>
      <c r="N2" s="1674"/>
      <c r="O2" s="1674"/>
      <c r="P2" s="1674"/>
      <c r="Q2" s="1674"/>
      <c r="R2" s="1674"/>
      <c r="S2" s="1674"/>
    </row>
    <row r="3" spans="1:22" ht="15.75">
      <c r="A3" s="2056" t="s">
        <v>1360</v>
      </c>
      <c r="B3" s="2827">
        <f ca="1">ROUND(B2*10000/E2,0)</f>
        <v>15113</v>
      </c>
      <c r="C3" s="2058" t="s">
        <v>2348</v>
      </c>
      <c r="D3" s="2938"/>
      <c r="E3" s="2940"/>
      <c r="F3" s="2936"/>
      <c r="G3" s="1674"/>
      <c r="H3" s="1674"/>
      <c r="I3" s="1674" t="str">
        <f>'数据-基础表'!C15</f>
        <v>9号院4号楼</v>
      </c>
      <c r="J3" s="1674">
        <f ca="1">J1</f>
        <v>24203</v>
      </c>
      <c r="K3" s="1674">
        <f ca="1">ROUND(J3*'数据-基础表'!H15/10000,0)</f>
        <v>44988</v>
      </c>
      <c r="L3" s="1674">
        <f ca="1">ROUND(K3*10000/'数据-基础表'!G15,0)</f>
        <v>23915</v>
      </c>
      <c r="M3" s="1674"/>
      <c r="N3" s="1674"/>
      <c r="O3" s="1674"/>
      <c r="P3" s="1674"/>
      <c r="Q3" s="1674"/>
      <c r="R3" s="1674"/>
      <c r="S3" s="1674"/>
    </row>
    <row r="4" spans="1:22" ht="15.75">
      <c r="A4" s="2941"/>
      <c r="B4" s="2938"/>
      <c r="C4" s="2938"/>
      <c r="D4" s="2938"/>
      <c r="E4" s="2940"/>
      <c r="F4" s="2936"/>
      <c r="G4" s="1674"/>
      <c r="H4" s="1674"/>
      <c r="I4" s="1674" t="str">
        <f>'数据-基础表'!C16</f>
        <v>9号院5号楼</v>
      </c>
      <c r="J4" s="1674">
        <f ca="1">J1</f>
        <v>24203</v>
      </c>
      <c r="K4" s="1674">
        <f ca="1">ROUND(J4*'数据-基础表'!H16/10000,0)</f>
        <v>33672</v>
      </c>
      <c r="L4" s="1674">
        <f ca="1">ROUND(K4*10000/'数据-基础表'!G16,0)</f>
        <v>22276</v>
      </c>
      <c r="M4" s="1674"/>
      <c r="N4" s="1674"/>
      <c r="O4" s="1674"/>
      <c r="P4" s="1674"/>
      <c r="Q4" s="1674"/>
      <c r="R4" s="1674"/>
      <c r="S4" s="1674"/>
    </row>
    <row r="5" spans="1:22" ht="15">
      <c r="A5" s="2829" t="s">
        <v>2342</v>
      </c>
      <c r="B5" s="3269" t="s">
        <v>2343</v>
      </c>
      <c r="C5" s="3270"/>
      <c r="D5" s="2937"/>
      <c r="E5" s="2060" t="s">
        <v>2344</v>
      </c>
      <c r="F5" s="2061" t="s">
        <v>2345</v>
      </c>
      <c r="G5" s="1674"/>
      <c r="H5" s="1674"/>
      <c r="I5" s="1674" t="str">
        <f>'数据-基础表'!C17</f>
        <v>地下室</v>
      </c>
      <c r="J5" s="1674">
        <f ca="1">ROUND(K5*10000/'数据-基础表'!H17,0)</f>
        <v>7005</v>
      </c>
      <c r="K5" s="1674">
        <f ca="1">ROUND(G6-SUM(K1:K4),0)+G7</f>
        <v>34810</v>
      </c>
      <c r="L5" s="1674">
        <f ca="1">ROUND(K5*10000/'数据-基础表'!G17,0)</f>
        <v>7005</v>
      </c>
      <c r="M5" s="1674"/>
      <c r="N5" s="1674"/>
      <c r="O5" s="1674"/>
      <c r="P5" s="1674"/>
      <c r="Q5" s="1674"/>
      <c r="R5" s="1674"/>
      <c r="S5" s="1674"/>
    </row>
    <row r="6" spans="1:22">
      <c r="A6" s="2830" t="str">
        <f>'数据-取费表'!AN6</f>
        <v>收益法</v>
      </c>
      <c r="B6" s="2828">
        <f ca="1">IF(F6="是",'数据-取费表'!AO6,0)</f>
        <v>196390</v>
      </c>
      <c r="C6" s="2058" t="s">
        <v>2340</v>
      </c>
      <c r="D6" s="2938"/>
      <c r="E6" s="2832">
        <f>IF(OR(A6=0,F6="否"),0,'数据-取费表'!K6+'数据-取费表'!S6)</f>
        <v>114217.55</v>
      </c>
      <c r="F6" s="2062" t="s">
        <v>2346</v>
      </c>
      <c r="G6" s="1674">
        <f ca="1">ROUND(B6/B2*结果表!G19,0)</f>
        <v>220489</v>
      </c>
      <c r="H6" s="1674"/>
      <c r="I6" s="1674"/>
      <c r="J6" s="1674"/>
      <c r="K6" s="1674"/>
      <c r="L6" s="1674"/>
      <c r="M6" s="1674"/>
      <c r="N6" s="1674"/>
      <c r="O6" s="1674"/>
      <c r="P6" s="1674"/>
      <c r="Q6" s="1674"/>
      <c r="R6" s="1674"/>
      <c r="S6" s="1674"/>
    </row>
    <row r="7" spans="1:22">
      <c r="A7" s="2830" t="str">
        <f>'数据-取费表'!AN7</f>
        <v>收益法 (2)</v>
      </c>
      <c r="B7" s="2828">
        <f ca="1">IF(F7="是",'数据-取费表'!AO7,0)</f>
        <v>2887</v>
      </c>
      <c r="C7" s="2058" t="s">
        <v>2340</v>
      </c>
      <c r="D7" s="2938"/>
      <c r="E7" s="2832">
        <f>IF(OR(A7=0,F7="否"),0,'数据-取费表'!K7+'数据-取费表'!S7)</f>
        <v>17638.080000000002</v>
      </c>
      <c r="F7" s="2062" t="s">
        <v>2346</v>
      </c>
      <c r="G7" s="1674">
        <f ca="1">结果表!G19-'收益法（汇总）'!G6</f>
        <v>3241</v>
      </c>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disablePrompts="1"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80"/>
      <c r="C21" s="3280"/>
      <c r="D21" s="3280"/>
      <c r="E21" s="3280"/>
      <c r="F21" s="3280"/>
      <c r="G21" s="3280"/>
      <c r="H21" s="1502">
        <v>0.1</v>
      </c>
      <c r="I21" s="1220">
        <f>ROUND(I10*H21,0)</f>
        <v>0</v>
      </c>
    </row>
    <row r="22" spans="1:9" ht="14.25">
      <c r="A22" s="3281" t="s">
        <v>1078</v>
      </c>
      <c r="B22" s="3282"/>
      <c r="C22" s="3283"/>
      <c r="D22" s="1227" t="s">
        <v>1079</v>
      </c>
      <c r="E22" s="1227" t="s">
        <v>1080</v>
      </c>
      <c r="F22" s="1228" t="s">
        <v>1081</v>
      </c>
      <c r="G22" s="1228" t="s">
        <v>1082</v>
      </c>
      <c r="H22" s="1221" t="s">
        <v>1083</v>
      </c>
      <c r="I22" s="1212" t="s">
        <v>1084</v>
      </c>
    </row>
    <row r="23" spans="1:9" ht="14.25" thickBot="1">
      <c r="A23" s="3284"/>
      <c r="B23" s="3285"/>
      <c r="C23" s="3286"/>
      <c r="D23" s="1229"/>
      <c r="E23" s="1229"/>
      <c r="F23" s="1229"/>
      <c r="G23" s="1230"/>
      <c r="H23" s="1231"/>
      <c r="I23" s="1232">
        <f>ROUND(E23*D23*F23*(1-G23)/10000,0)</f>
        <v>0</v>
      </c>
    </row>
    <row r="26" spans="1:9">
      <c r="A26" s="1233" t="s">
        <v>1085</v>
      </c>
      <c r="B26" s="1233"/>
      <c r="C26" s="1233"/>
      <c r="D26" s="1233"/>
      <c r="E26" s="3287">
        <f>C27-C30-C31-C32</f>
        <v>0</v>
      </c>
      <c r="F26" s="3287"/>
      <c r="G26" s="3287"/>
      <c r="H26" s="1499"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89" t="s">
        <v>1097</v>
      </c>
      <c r="B33" s="3290"/>
      <c r="C33" s="3290"/>
      <c r="D33" s="3291"/>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9" t="s">
        <v>1102</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44"/>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131855.63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10" t="s">
        <v>2357</v>
      </c>
      <c r="D4" s="3311"/>
      <c r="E4" s="3312" t="s">
        <v>2358</v>
      </c>
      <c r="F4" s="3313"/>
      <c r="G4" s="3310" t="s">
        <v>2359</v>
      </c>
      <c r="H4" s="3311"/>
      <c r="I4" s="3310" t="s">
        <v>2360</v>
      </c>
      <c r="J4" s="3311"/>
      <c r="K4" s="2075" t="s">
        <v>2361</v>
      </c>
      <c r="L4" s="2944"/>
      <c r="M4" s="2945"/>
      <c r="N4" s="2945"/>
      <c r="O4" s="2945"/>
      <c r="P4" s="3314" t="s">
        <v>2362</v>
      </c>
      <c r="Q4" s="3315"/>
      <c r="R4" s="3297" t="s">
        <v>2358</v>
      </c>
      <c r="S4" s="3298"/>
      <c r="T4" s="3297" t="s">
        <v>2359</v>
      </c>
      <c r="U4" s="3298"/>
      <c r="V4" s="3322" t="s">
        <v>2360</v>
      </c>
      <c r="W4" s="3322"/>
      <c r="X4" s="1539"/>
      <c r="Y4" s="3297" t="s">
        <v>2362</v>
      </c>
      <c r="Z4" s="3298"/>
      <c r="AA4" s="3292" t="s">
        <v>2358</v>
      </c>
      <c r="AB4" s="3292" t="s">
        <v>2359</v>
      </c>
      <c r="AC4" s="3292" t="s">
        <v>2360</v>
      </c>
    </row>
    <row r="5" spans="1:29" ht="15">
      <c r="A5" s="364"/>
      <c r="B5" s="365"/>
      <c r="C5" s="3303" t="s">
        <v>2363</v>
      </c>
      <c r="D5" s="3304"/>
      <c r="E5" s="3301" t="s">
        <v>2364</v>
      </c>
      <c r="F5" s="3302"/>
      <c r="G5" s="3303" t="s">
        <v>2365</v>
      </c>
      <c r="H5" s="3304"/>
      <c r="I5" s="3303" t="s">
        <v>2366</v>
      </c>
      <c r="J5" s="3304"/>
      <c r="K5" s="2076"/>
      <c r="L5" s="2944"/>
      <c r="M5" s="2945"/>
      <c r="N5" s="2945"/>
      <c r="O5" s="2945"/>
      <c r="P5" s="3316"/>
      <c r="Q5" s="3317"/>
      <c r="R5" s="3299"/>
      <c r="S5" s="3300"/>
      <c r="T5" s="3299"/>
      <c r="U5" s="3300"/>
      <c r="V5" s="3322"/>
      <c r="W5" s="3322"/>
      <c r="X5" s="1539"/>
      <c r="Y5" s="3299"/>
      <c r="Z5" s="3300"/>
      <c r="AA5" s="3293"/>
      <c r="AB5" s="3293"/>
      <c r="AC5" s="3293"/>
    </row>
    <row r="6" spans="1:29" ht="15.75" thickBot="1">
      <c r="A6" s="366"/>
      <c r="B6" s="367"/>
      <c r="C6" s="3305" t="s">
        <v>2367</v>
      </c>
      <c r="D6" s="3306"/>
      <c r="E6" s="3307" t="s">
        <v>2367</v>
      </c>
      <c r="F6" s="3308"/>
      <c r="G6" s="3305" t="s">
        <v>2367</v>
      </c>
      <c r="H6" s="3306"/>
      <c r="I6" s="3305" t="s">
        <v>2367</v>
      </c>
      <c r="J6" s="3306"/>
      <c r="K6" s="2076" t="s">
        <v>2368</v>
      </c>
      <c r="L6" s="2944"/>
      <c r="M6" s="2945"/>
      <c r="N6" s="2945"/>
      <c r="O6" s="2945"/>
      <c r="P6" s="3318"/>
      <c r="Q6" s="3319"/>
      <c r="R6" s="3299"/>
      <c r="S6" s="3300"/>
      <c r="T6" s="3320"/>
      <c r="U6" s="3321"/>
      <c r="V6" s="3322"/>
      <c r="W6" s="3322"/>
      <c r="X6" s="1539"/>
      <c r="Y6" s="3320"/>
      <c r="Z6" s="3321"/>
      <c r="AA6" s="3294"/>
      <c r="AB6" s="3294"/>
      <c r="AC6" s="3294"/>
    </row>
    <row r="7" spans="1:29" s="113" customFormat="1" ht="15.75" thickBot="1">
      <c r="A7" s="368" t="s">
        <v>2369</v>
      </c>
      <c r="B7" s="369"/>
      <c r="C7" s="370">
        <f>'数据-取费表'!B2</f>
        <v>44314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95" t="s">
        <v>2370</v>
      </c>
      <c r="Q7" s="3323"/>
      <c r="R7" s="710" t="s">
        <v>23</v>
      </c>
      <c r="S7" s="711">
        <f t="shared" ref="S7:S15" si="0">F7</f>
        <v>0</v>
      </c>
      <c r="T7" s="710" t="s">
        <v>23</v>
      </c>
      <c r="U7" s="711">
        <f t="shared" ref="U7:U15" si="1">H7</f>
        <v>0</v>
      </c>
      <c r="V7" s="710" t="s">
        <v>23</v>
      </c>
      <c r="W7" s="711">
        <f t="shared" ref="W7:W15" si="2">J7</f>
        <v>0</v>
      </c>
      <c r="X7" s="712"/>
      <c r="Y7" s="3295" t="s">
        <v>2370</v>
      </c>
      <c r="Z7" s="329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95" t="s">
        <v>2373</v>
      </c>
      <c r="Q8" s="3296"/>
      <c r="R8" s="710" t="s">
        <v>23</v>
      </c>
      <c r="S8" s="711">
        <f t="shared" si="0"/>
        <v>0</v>
      </c>
      <c r="T8" s="710" t="s">
        <v>23</v>
      </c>
      <c r="U8" s="711">
        <f t="shared" si="1"/>
        <v>0</v>
      </c>
      <c r="V8" s="710" t="s">
        <v>23</v>
      </c>
      <c r="W8" s="711">
        <f t="shared" si="2"/>
        <v>0</v>
      </c>
      <c r="X8" s="712"/>
      <c r="Y8" s="3295" t="s">
        <v>2373</v>
      </c>
      <c r="Z8" s="329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9"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9"/>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9"/>
      <c r="Q11" s="1527" t="str">
        <f t="shared" si="6"/>
        <v>容积率</v>
      </c>
      <c r="R11" s="710" t="s">
        <v>21</v>
      </c>
      <c r="S11" s="711" t="e">
        <f t="shared" si="0"/>
        <v>#N/A</v>
      </c>
      <c r="T11" s="710" t="s">
        <v>21</v>
      </c>
      <c r="U11" s="711" t="e">
        <f t="shared" si="1"/>
        <v>#N/A</v>
      </c>
      <c r="V11" s="710" t="s">
        <v>21</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9"/>
      <c r="Q12" s="1527">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9"/>
      <c r="Q13" s="1527">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9"/>
      <c r="Q14" s="1527">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36" t="s">
        <v>2381</v>
      </c>
      <c r="Q15" s="1536" t="str">
        <f t="shared" si="6"/>
        <v>居住社区成熟度</v>
      </c>
      <c r="R15" s="714" t="s">
        <v>21</v>
      </c>
      <c r="S15" s="715">
        <f t="shared" si="0"/>
        <v>100</v>
      </c>
      <c r="T15" s="714" t="s">
        <v>21</v>
      </c>
      <c r="U15" s="715">
        <f t="shared" si="1"/>
        <v>100</v>
      </c>
      <c r="V15" s="714" t="s">
        <v>21</v>
      </c>
      <c r="W15" s="715">
        <f t="shared" si="2"/>
        <v>100</v>
      </c>
      <c r="X15" s="1539"/>
      <c r="Y15" s="332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37"/>
      <c r="Q16" s="1536"/>
      <c r="R16" s="714"/>
      <c r="S16" s="715"/>
      <c r="T16" s="714"/>
      <c r="U16" s="715"/>
      <c r="V16" s="714"/>
      <c r="W16" s="715"/>
      <c r="X16" s="1539"/>
      <c r="Y16" s="333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37"/>
      <c r="Q17" s="1536" t="str">
        <f>B17</f>
        <v>交通便捷度</v>
      </c>
      <c r="R17" s="714" t="s">
        <v>21</v>
      </c>
      <c r="S17" s="715">
        <f>F17</f>
        <v>100</v>
      </c>
      <c r="T17" s="714" t="s">
        <v>21</v>
      </c>
      <c r="U17" s="715">
        <f>H17</f>
        <v>100</v>
      </c>
      <c r="V17" s="714" t="s">
        <v>21</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37"/>
      <c r="Q18" s="1536"/>
      <c r="R18" s="714"/>
      <c r="S18" s="715"/>
      <c r="T18" s="714"/>
      <c r="U18" s="715"/>
      <c r="V18" s="714"/>
      <c r="W18" s="715"/>
      <c r="X18" s="1539"/>
      <c r="Y18" s="3330"/>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37"/>
      <c r="Q19" s="1536" t="str">
        <f>B19</f>
        <v>公共配套设施</v>
      </c>
      <c r="R19" s="714" t="s">
        <v>21</v>
      </c>
      <c r="S19" s="715">
        <f>F19</f>
        <v>100</v>
      </c>
      <c r="T19" s="714" t="s">
        <v>21</v>
      </c>
      <c r="U19" s="715">
        <f>H19</f>
        <v>100</v>
      </c>
      <c r="V19" s="714" t="s">
        <v>21</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37"/>
      <c r="Q20" s="1536"/>
      <c r="R20" s="714"/>
      <c r="S20" s="715"/>
      <c r="T20" s="714"/>
      <c r="U20" s="715"/>
      <c r="V20" s="714"/>
      <c r="W20" s="715"/>
      <c r="X20" s="1539"/>
      <c r="Y20" s="3330"/>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37"/>
      <c r="Q22" s="1536"/>
      <c r="R22" s="714"/>
      <c r="S22" s="715"/>
      <c r="T22" s="714"/>
      <c r="U22" s="715"/>
      <c r="V22" s="714"/>
      <c r="W22" s="715"/>
      <c r="X22" s="1539"/>
      <c r="Y22" s="3330"/>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37"/>
      <c r="Q23" s="1536" t="str">
        <f>B23</f>
        <v>自然及人文环境</v>
      </c>
      <c r="R23" s="714" t="s">
        <v>21</v>
      </c>
      <c r="S23" s="715">
        <f>F23</f>
        <v>100</v>
      </c>
      <c r="T23" s="714" t="s">
        <v>21</v>
      </c>
      <c r="U23" s="715">
        <f>H23</f>
        <v>100</v>
      </c>
      <c r="V23" s="714" t="s">
        <v>21</v>
      </c>
      <c r="W23" s="715">
        <f>J23</f>
        <v>100</v>
      </c>
      <c r="X23" s="1539"/>
      <c r="Y23" s="333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37"/>
      <c r="Q24" s="1536"/>
      <c r="R24" s="714"/>
      <c r="S24" s="715"/>
      <c r="T24" s="714"/>
      <c r="U24" s="715"/>
      <c r="V24" s="714"/>
      <c r="W24" s="715"/>
      <c r="X24" s="1539"/>
      <c r="Y24" s="333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3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37"/>
      <c r="Q26" s="1536" t="str">
        <f t="shared" si="11"/>
        <v>朝向</v>
      </c>
      <c r="R26" s="714" t="s">
        <v>21</v>
      </c>
      <c r="S26" s="715">
        <f t="shared" si="12"/>
        <v>100</v>
      </c>
      <c r="T26" s="714" t="s">
        <v>21</v>
      </c>
      <c r="U26" s="715">
        <f t="shared" si="13"/>
        <v>100</v>
      </c>
      <c r="V26" s="714" t="s">
        <v>21</v>
      </c>
      <c r="W26" s="715">
        <f t="shared" si="14"/>
        <v>100</v>
      </c>
      <c r="X26" s="1539"/>
      <c r="Y26" s="333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37"/>
      <c r="Q27" s="1527">
        <f t="shared" si="11"/>
        <v>111</v>
      </c>
      <c r="R27" s="710" t="s">
        <v>21</v>
      </c>
      <c r="S27" s="711">
        <f t="shared" si="12"/>
        <v>100</v>
      </c>
      <c r="T27" s="710" t="s">
        <v>21</v>
      </c>
      <c r="U27" s="711">
        <f t="shared" si="13"/>
        <v>100</v>
      </c>
      <c r="V27" s="710" t="s">
        <v>21</v>
      </c>
      <c r="W27" s="711">
        <f t="shared" si="14"/>
        <v>100</v>
      </c>
      <c r="X27" s="712"/>
      <c r="Y27" s="333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37"/>
      <c r="Q28" s="1536">
        <f t="shared" si="11"/>
        <v>111</v>
      </c>
      <c r="R28" s="714" t="s">
        <v>21</v>
      </c>
      <c r="S28" s="715">
        <f t="shared" si="12"/>
        <v>100</v>
      </c>
      <c r="T28" s="714" t="s">
        <v>21</v>
      </c>
      <c r="U28" s="715">
        <f t="shared" si="13"/>
        <v>100</v>
      </c>
      <c r="V28" s="714" t="s">
        <v>21</v>
      </c>
      <c r="W28" s="715">
        <f t="shared" si="14"/>
        <v>100</v>
      </c>
      <c r="X28" s="1539"/>
      <c r="Y28" s="333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37"/>
      <c r="Q29" s="1536">
        <f t="shared" si="11"/>
        <v>111</v>
      </c>
      <c r="R29" s="714" t="s">
        <v>21</v>
      </c>
      <c r="S29" s="715">
        <f t="shared" si="12"/>
        <v>100</v>
      </c>
      <c r="T29" s="714" t="s">
        <v>21</v>
      </c>
      <c r="U29" s="715">
        <f t="shared" si="13"/>
        <v>100</v>
      </c>
      <c r="V29" s="714" t="s">
        <v>21</v>
      </c>
      <c r="W29" s="715">
        <f t="shared" si="14"/>
        <v>100</v>
      </c>
      <c r="X29" s="1539"/>
      <c r="Y29" s="333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37"/>
      <c r="Q30" s="1536">
        <f t="shared" si="11"/>
        <v>111</v>
      </c>
      <c r="R30" s="714" t="s">
        <v>21</v>
      </c>
      <c r="S30" s="715">
        <f t="shared" si="12"/>
        <v>100</v>
      </c>
      <c r="T30" s="714" t="s">
        <v>21</v>
      </c>
      <c r="U30" s="715">
        <f t="shared" si="13"/>
        <v>100</v>
      </c>
      <c r="V30" s="714" t="s">
        <v>21</v>
      </c>
      <c r="W30" s="715">
        <f t="shared" si="14"/>
        <v>100</v>
      </c>
      <c r="X30" s="1539"/>
      <c r="Y30" s="333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37"/>
      <c r="Q31" s="1536">
        <f t="shared" si="11"/>
        <v>111</v>
      </c>
      <c r="R31" s="714" t="s">
        <v>21</v>
      </c>
      <c r="S31" s="715">
        <f t="shared" si="12"/>
        <v>100</v>
      </c>
      <c r="T31" s="714" t="s">
        <v>21</v>
      </c>
      <c r="U31" s="715">
        <f t="shared" si="13"/>
        <v>100</v>
      </c>
      <c r="V31" s="714" t="s">
        <v>21</v>
      </c>
      <c r="W31" s="715">
        <f t="shared" si="14"/>
        <v>100</v>
      </c>
      <c r="X31" s="1539"/>
      <c r="Y31" s="333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1" t="s">
        <v>2386</v>
      </c>
      <c r="Q32" s="1536" t="str">
        <f t="shared" si="11"/>
        <v>建筑类型</v>
      </c>
      <c r="R32" s="714" t="s">
        <v>21</v>
      </c>
      <c r="S32" s="715">
        <f t="shared" si="12"/>
        <v>100</v>
      </c>
      <c r="T32" s="714" t="s">
        <v>21</v>
      </c>
      <c r="U32" s="715">
        <f t="shared" si="13"/>
        <v>100</v>
      </c>
      <c r="V32" s="714" t="s">
        <v>21</v>
      </c>
      <c r="W32" s="715">
        <f t="shared" si="14"/>
        <v>100</v>
      </c>
      <c r="X32" s="1539"/>
      <c r="Y32" s="3334"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2"/>
      <c r="Q33" s="716" t="str">
        <f t="shared" si="11"/>
        <v>项目建筑规模</v>
      </c>
      <c r="R33" s="717" t="s">
        <v>21</v>
      </c>
      <c r="S33" s="718" t="e">
        <f t="shared" si="12"/>
        <v>#N/A</v>
      </c>
      <c r="T33" s="717" t="s">
        <v>21</v>
      </c>
      <c r="U33" s="718" t="e">
        <f t="shared" si="13"/>
        <v>#N/A</v>
      </c>
      <c r="V33" s="717" t="s">
        <v>21</v>
      </c>
      <c r="W33" s="718" t="e">
        <f t="shared" si="14"/>
        <v>#N/A</v>
      </c>
      <c r="X33" s="719"/>
      <c r="Y33" s="3334"/>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2"/>
      <c r="Q34" s="1536" t="str">
        <f t="shared" si="11"/>
        <v>建筑结构</v>
      </c>
      <c r="R34" s="714" t="s">
        <v>21</v>
      </c>
      <c r="S34" s="715">
        <f t="shared" si="12"/>
        <v>100</v>
      </c>
      <c r="T34" s="714" t="s">
        <v>21</v>
      </c>
      <c r="U34" s="715">
        <f t="shared" si="13"/>
        <v>100</v>
      </c>
      <c r="V34" s="714" t="s">
        <v>21</v>
      </c>
      <c r="W34" s="715">
        <f t="shared" si="14"/>
        <v>100</v>
      </c>
      <c r="X34" s="1539"/>
      <c r="Y34" s="3334"/>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2"/>
      <c r="Q35" s="1536" t="str">
        <f t="shared" si="11"/>
        <v>建筑品质</v>
      </c>
      <c r="R35" s="714" t="s">
        <v>21</v>
      </c>
      <c r="S35" s="715">
        <f t="shared" si="12"/>
        <v>100</v>
      </c>
      <c r="T35" s="714" t="s">
        <v>21</v>
      </c>
      <c r="U35" s="715">
        <f t="shared" si="13"/>
        <v>100</v>
      </c>
      <c r="V35" s="714" t="s">
        <v>21</v>
      </c>
      <c r="W35" s="715">
        <f t="shared" si="14"/>
        <v>100</v>
      </c>
      <c r="X35" s="1539"/>
      <c r="Y35" s="3334"/>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2"/>
      <c r="Q36" s="1536" t="str">
        <f t="shared" si="11"/>
        <v>公共部分装修</v>
      </c>
      <c r="R36" s="714" t="s">
        <v>21</v>
      </c>
      <c r="S36" s="715">
        <f t="shared" si="12"/>
        <v>100</v>
      </c>
      <c r="T36" s="714" t="s">
        <v>21</v>
      </c>
      <c r="U36" s="715">
        <f t="shared" si="13"/>
        <v>100</v>
      </c>
      <c r="V36" s="714" t="s">
        <v>21</v>
      </c>
      <c r="W36" s="715">
        <f t="shared" si="14"/>
        <v>100</v>
      </c>
      <c r="X36" s="1539"/>
      <c r="Y36" s="3334"/>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2"/>
      <c r="Q37" s="1527" t="str">
        <f t="shared" si="11"/>
        <v>成新度</v>
      </c>
      <c r="R37" s="710" t="s">
        <v>21</v>
      </c>
      <c r="S37" s="711" t="e">
        <f t="shared" si="12"/>
        <v>#N/A</v>
      </c>
      <c r="T37" s="710" t="s">
        <v>21</v>
      </c>
      <c r="U37" s="711" t="e">
        <f t="shared" si="13"/>
        <v>#N/A</v>
      </c>
      <c r="V37" s="710" t="s">
        <v>21</v>
      </c>
      <c r="W37" s="711" t="e">
        <f t="shared" si="14"/>
        <v>#N/A</v>
      </c>
      <c r="X37" s="712"/>
      <c r="Y37" s="3334"/>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2" t="s">
        <v>2386</v>
      </c>
      <c r="Q38" s="1536" t="str">
        <f t="shared" si="11"/>
        <v>物业管理</v>
      </c>
      <c r="R38" s="714" t="s">
        <v>21</v>
      </c>
      <c r="S38" s="715">
        <f t="shared" si="12"/>
        <v>100</v>
      </c>
      <c r="T38" s="714" t="s">
        <v>21</v>
      </c>
      <c r="U38" s="715">
        <f t="shared" si="13"/>
        <v>100</v>
      </c>
      <c r="V38" s="714" t="s">
        <v>21</v>
      </c>
      <c r="W38" s="715">
        <f t="shared" si="14"/>
        <v>100</v>
      </c>
      <c r="X38" s="1539"/>
      <c r="Y38" s="3334"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2"/>
      <c r="Q39" s="1536" t="str">
        <f t="shared" si="11"/>
        <v>市政基础设施</v>
      </c>
      <c r="R39" s="714" t="s">
        <v>21</v>
      </c>
      <c r="S39" s="715">
        <f t="shared" si="12"/>
        <v>100</v>
      </c>
      <c r="T39" s="714" t="s">
        <v>21</v>
      </c>
      <c r="U39" s="715">
        <f t="shared" si="13"/>
        <v>100</v>
      </c>
      <c r="V39" s="714" t="s">
        <v>21</v>
      </c>
      <c r="W39" s="715">
        <f t="shared" si="14"/>
        <v>100</v>
      </c>
      <c r="X39" s="1539"/>
      <c r="Y39" s="3334"/>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2"/>
      <c r="Q40" s="1536" t="str">
        <f t="shared" si="11"/>
        <v>房型</v>
      </c>
      <c r="R40" s="714" t="s">
        <v>21</v>
      </c>
      <c r="S40" s="715">
        <f t="shared" si="12"/>
        <v>100</v>
      </c>
      <c r="T40" s="714" t="s">
        <v>21</v>
      </c>
      <c r="U40" s="715">
        <f t="shared" si="13"/>
        <v>100</v>
      </c>
      <c r="V40" s="714" t="s">
        <v>21</v>
      </c>
      <c r="W40" s="715">
        <f t="shared" si="14"/>
        <v>100</v>
      </c>
      <c r="X40" s="1539"/>
      <c r="Y40" s="3334"/>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2"/>
      <c r="Q41" s="716" t="str">
        <f t="shared" si="11"/>
        <v>单套/主力户型建筑面积</v>
      </c>
      <c r="R41" s="717" t="s">
        <v>21</v>
      </c>
      <c r="S41" s="718">
        <f t="shared" si="12"/>
        <v>100</v>
      </c>
      <c r="T41" s="717" t="s">
        <v>21</v>
      </c>
      <c r="U41" s="718">
        <f t="shared" si="13"/>
        <v>100</v>
      </c>
      <c r="V41" s="717" t="s">
        <v>21</v>
      </c>
      <c r="W41" s="718">
        <f t="shared" si="14"/>
        <v>100</v>
      </c>
      <c r="X41" s="719"/>
      <c r="Y41" s="3334"/>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2"/>
      <c r="Q42" s="1536" t="str">
        <f t="shared" si="11"/>
        <v>内部装修</v>
      </c>
      <c r="R42" s="714" t="s">
        <v>21</v>
      </c>
      <c r="S42" s="715">
        <f t="shared" si="12"/>
        <v>100</v>
      </c>
      <c r="T42" s="714" t="s">
        <v>21</v>
      </c>
      <c r="U42" s="715">
        <f t="shared" si="13"/>
        <v>100</v>
      </c>
      <c r="V42" s="714" t="s">
        <v>21</v>
      </c>
      <c r="W42" s="715">
        <f t="shared" si="14"/>
        <v>100</v>
      </c>
      <c r="X42" s="1539"/>
      <c r="Y42" s="3334"/>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2"/>
      <c r="Q43" s="1536" t="str">
        <f t="shared" si="11"/>
        <v>内部装修维护情况</v>
      </c>
      <c r="R43" s="714" t="s">
        <v>21</v>
      </c>
      <c r="S43" s="715">
        <f t="shared" si="12"/>
        <v>100</v>
      </c>
      <c r="T43" s="714" t="s">
        <v>21</v>
      </c>
      <c r="U43" s="715">
        <f t="shared" si="13"/>
        <v>100</v>
      </c>
      <c r="V43" s="714" t="s">
        <v>21</v>
      </c>
      <c r="W43" s="715">
        <f t="shared" si="14"/>
        <v>100</v>
      </c>
      <c r="X43" s="1539"/>
      <c r="Y43" s="333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2"/>
      <c r="Q44" s="1527">
        <f t="shared" si="11"/>
        <v>111</v>
      </c>
      <c r="R44" s="710" t="s">
        <v>21</v>
      </c>
      <c r="S44" s="711">
        <f t="shared" si="12"/>
        <v>100</v>
      </c>
      <c r="T44" s="710" t="s">
        <v>21</v>
      </c>
      <c r="U44" s="711">
        <f t="shared" si="13"/>
        <v>100</v>
      </c>
      <c r="V44" s="710" t="s">
        <v>21</v>
      </c>
      <c r="W44" s="711">
        <f t="shared" si="14"/>
        <v>100</v>
      </c>
      <c r="X44" s="712"/>
      <c r="Y44" s="333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2"/>
      <c r="Q45" s="1536">
        <f t="shared" si="11"/>
        <v>111</v>
      </c>
      <c r="R45" s="714" t="s">
        <v>21</v>
      </c>
      <c r="S45" s="715">
        <f t="shared" si="12"/>
        <v>100</v>
      </c>
      <c r="T45" s="714" t="s">
        <v>21</v>
      </c>
      <c r="U45" s="715">
        <f t="shared" si="13"/>
        <v>100</v>
      </c>
      <c r="V45" s="714" t="s">
        <v>21</v>
      </c>
      <c r="W45" s="715">
        <f t="shared" si="14"/>
        <v>100</v>
      </c>
      <c r="X45" s="1539"/>
      <c r="Y45" s="333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33"/>
      <c r="Q46" s="1536">
        <f t="shared" si="11"/>
        <v>111</v>
      </c>
      <c r="R46" s="714" t="s">
        <v>20</v>
      </c>
      <c r="S46" s="715">
        <f t="shared" si="12"/>
        <v>100</v>
      </c>
      <c r="T46" s="714" t="s">
        <v>20</v>
      </c>
      <c r="U46" s="715">
        <f t="shared" si="13"/>
        <v>100</v>
      </c>
      <c r="V46" s="714" t="s">
        <v>20</v>
      </c>
      <c r="W46" s="715">
        <f t="shared" si="14"/>
        <v>100</v>
      </c>
      <c r="X46" s="1539"/>
      <c r="Y46" s="3335"/>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27" t="str">
        <f>A47</f>
        <v>成交单价（元/平方米）</v>
      </c>
      <c r="Q47" s="3327"/>
      <c r="R47" s="3328">
        <f>E47</f>
        <v>0</v>
      </c>
      <c r="S47" s="3328"/>
      <c r="T47" s="3328">
        <f>G47</f>
        <v>0</v>
      </c>
      <c r="U47" s="3328"/>
      <c r="V47" s="3328">
        <f>I47</f>
        <v>0</v>
      </c>
      <c r="W47" s="3328"/>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43"/>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131855.63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10" t="s">
        <v>2467</v>
      </c>
      <c r="D4" s="3311"/>
      <c r="E4" s="3312" t="s">
        <v>2468</v>
      </c>
      <c r="F4" s="3313"/>
      <c r="G4" s="3310" t="s">
        <v>2469</v>
      </c>
      <c r="H4" s="3311"/>
      <c r="I4" s="3310" t="s">
        <v>2470</v>
      </c>
      <c r="J4" s="3311"/>
      <c r="K4" s="567" t="s">
        <v>2471</v>
      </c>
      <c r="L4" s="2944"/>
      <c r="M4" s="2945"/>
      <c r="N4" s="2945"/>
      <c r="O4" s="2945"/>
      <c r="P4" s="3314" t="s">
        <v>2472</v>
      </c>
      <c r="Q4" s="3315"/>
      <c r="R4" s="3297" t="s">
        <v>2468</v>
      </c>
      <c r="S4" s="3298"/>
      <c r="T4" s="3297" t="s">
        <v>2469</v>
      </c>
      <c r="U4" s="3298"/>
      <c r="V4" s="3322" t="s">
        <v>2470</v>
      </c>
      <c r="W4" s="3322"/>
      <c r="X4" s="1539"/>
      <c r="Y4" s="3297" t="s">
        <v>2472</v>
      </c>
      <c r="Z4" s="3298"/>
      <c r="AA4" s="3292" t="s">
        <v>2468</v>
      </c>
      <c r="AB4" s="3322" t="s">
        <v>2469</v>
      </c>
      <c r="AC4" s="3292" t="s">
        <v>2470</v>
      </c>
    </row>
    <row r="5" spans="1:29" ht="15">
      <c r="A5" s="364"/>
      <c r="B5" s="365"/>
      <c r="C5" s="3303" t="s">
        <v>2363</v>
      </c>
      <c r="D5" s="3304"/>
      <c r="E5" s="3301" t="s">
        <v>2364</v>
      </c>
      <c r="F5" s="3302"/>
      <c r="G5" s="3303" t="s">
        <v>2365</v>
      </c>
      <c r="H5" s="3304"/>
      <c r="I5" s="3303" t="s">
        <v>2366</v>
      </c>
      <c r="J5" s="3304"/>
      <c r="K5" s="567"/>
      <c r="L5" s="2944"/>
      <c r="M5" s="2945"/>
      <c r="N5" s="2945"/>
      <c r="O5" s="2945"/>
      <c r="P5" s="3316"/>
      <c r="Q5" s="3317"/>
      <c r="R5" s="3299"/>
      <c r="S5" s="3300"/>
      <c r="T5" s="3299"/>
      <c r="U5" s="3300"/>
      <c r="V5" s="3322"/>
      <c r="W5" s="3322"/>
      <c r="X5" s="1539"/>
      <c r="Y5" s="3299"/>
      <c r="Z5" s="3300"/>
      <c r="AA5" s="3293"/>
      <c r="AB5" s="3322"/>
      <c r="AC5" s="3293"/>
    </row>
    <row r="6" spans="1:29" ht="15.75" thickBot="1">
      <c r="A6" s="366"/>
      <c r="B6" s="367"/>
      <c r="C6" s="3305" t="s">
        <v>2367</v>
      </c>
      <c r="D6" s="3306"/>
      <c r="E6" s="3307" t="s">
        <v>2367</v>
      </c>
      <c r="F6" s="3308"/>
      <c r="G6" s="3305" t="s">
        <v>2367</v>
      </c>
      <c r="H6" s="3306"/>
      <c r="I6" s="3305" t="s">
        <v>2367</v>
      </c>
      <c r="J6" s="3306"/>
      <c r="K6" s="567" t="s">
        <v>2368</v>
      </c>
      <c r="L6" s="2944"/>
      <c r="M6" s="2945"/>
      <c r="N6" s="2945"/>
      <c r="O6" s="2945"/>
      <c r="P6" s="3318"/>
      <c r="Q6" s="3319"/>
      <c r="R6" s="3299"/>
      <c r="S6" s="3300"/>
      <c r="T6" s="3320"/>
      <c r="U6" s="3321"/>
      <c r="V6" s="3322"/>
      <c r="W6" s="3322"/>
      <c r="X6" s="1539"/>
      <c r="Y6" s="3320"/>
      <c r="Z6" s="3321"/>
      <c r="AA6" s="3294"/>
      <c r="AB6" s="3322"/>
      <c r="AC6" s="3294"/>
    </row>
    <row r="7" spans="1:29" s="113" customFormat="1" ht="15.75" thickBot="1">
      <c r="A7" s="368" t="s">
        <v>2369</v>
      </c>
      <c r="B7" s="369"/>
      <c r="C7" s="370">
        <f>'数据-取费表'!B2</f>
        <v>44314</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95" t="s">
        <v>2370</v>
      </c>
      <c r="Q7" s="3323"/>
      <c r="R7" s="710" t="s">
        <v>17</v>
      </c>
      <c r="S7" s="711">
        <f t="shared" ref="S7:S15" si="0">F7</f>
        <v>0</v>
      </c>
      <c r="T7" s="710" t="s">
        <v>17</v>
      </c>
      <c r="U7" s="711">
        <f t="shared" ref="U7:U15" si="1">H7</f>
        <v>0</v>
      </c>
      <c r="V7" s="710" t="s">
        <v>17</v>
      </c>
      <c r="W7" s="711">
        <f t="shared" ref="W7:W15" si="2">J7</f>
        <v>0</v>
      </c>
      <c r="X7" s="712"/>
      <c r="Y7" s="3295" t="s">
        <v>2370</v>
      </c>
      <c r="Z7" s="329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95" t="s">
        <v>2373</v>
      </c>
      <c r="Q8" s="3296"/>
      <c r="R8" s="710" t="s">
        <v>17</v>
      </c>
      <c r="S8" s="711">
        <f t="shared" si="0"/>
        <v>0</v>
      </c>
      <c r="T8" s="710" t="s">
        <v>17</v>
      </c>
      <c r="U8" s="711">
        <f t="shared" si="1"/>
        <v>0</v>
      </c>
      <c r="V8" s="710" t="s">
        <v>17</v>
      </c>
      <c r="W8" s="711">
        <f t="shared" si="2"/>
        <v>0</v>
      </c>
      <c r="X8" s="712"/>
      <c r="Y8" s="3295" t="s">
        <v>2373</v>
      </c>
      <c r="Z8" s="329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9"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9"/>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9"/>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9"/>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9"/>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9"/>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36" t="s">
        <v>2381</v>
      </c>
      <c r="Q15" s="1536" t="str">
        <f t="shared" si="6"/>
        <v>商业繁华度</v>
      </c>
      <c r="R15" s="714" t="s">
        <v>17</v>
      </c>
      <c r="S15" s="715">
        <f t="shared" si="0"/>
        <v>100</v>
      </c>
      <c r="T15" s="714" t="s">
        <v>17</v>
      </c>
      <c r="U15" s="715">
        <f t="shared" si="1"/>
        <v>100</v>
      </c>
      <c r="V15" s="714" t="s">
        <v>17</v>
      </c>
      <c r="W15" s="715">
        <f t="shared" si="2"/>
        <v>100</v>
      </c>
      <c r="X15" s="1539"/>
      <c r="Y15" s="3329"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37"/>
      <c r="Q16" s="1536"/>
      <c r="R16" s="714"/>
      <c r="S16" s="715"/>
      <c r="T16" s="714"/>
      <c r="U16" s="715"/>
      <c r="V16" s="714"/>
      <c r="W16" s="715"/>
      <c r="X16" s="1539"/>
      <c r="Y16" s="333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37"/>
      <c r="Q18" s="1536"/>
      <c r="R18" s="714"/>
      <c r="S18" s="715"/>
      <c r="T18" s="714"/>
      <c r="U18" s="715"/>
      <c r="V18" s="714"/>
      <c r="W18" s="715"/>
      <c r="X18" s="1539"/>
      <c r="Y18" s="3330"/>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37"/>
      <c r="Q20" s="1536"/>
      <c r="R20" s="714"/>
      <c r="S20" s="715"/>
      <c r="T20" s="714"/>
      <c r="U20" s="715"/>
      <c r="V20" s="714"/>
      <c r="W20" s="715"/>
      <c r="X20" s="1539"/>
      <c r="Y20" s="3330"/>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37"/>
      <c r="Q22" s="1536"/>
      <c r="R22" s="714"/>
      <c r="S22" s="715"/>
      <c r="T22" s="714"/>
      <c r="U22" s="715"/>
      <c r="V22" s="714"/>
      <c r="W22" s="715"/>
      <c r="X22" s="1539"/>
      <c r="Y22" s="3330"/>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37"/>
      <c r="Q23" s="1536" t="str">
        <f>B23</f>
        <v>自然及人文环境</v>
      </c>
      <c r="R23" s="714" t="s">
        <v>17</v>
      </c>
      <c r="S23" s="715">
        <f>F23</f>
        <v>100</v>
      </c>
      <c r="T23" s="714" t="s">
        <v>17</v>
      </c>
      <c r="U23" s="715">
        <f>H23</f>
        <v>100</v>
      </c>
      <c r="V23" s="714" t="s">
        <v>17</v>
      </c>
      <c r="W23" s="715">
        <f>J23</f>
        <v>100</v>
      </c>
      <c r="X23" s="1539"/>
      <c r="Y23" s="333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37"/>
      <c r="Q24" s="1536"/>
      <c r="R24" s="714"/>
      <c r="S24" s="715"/>
      <c r="T24" s="714"/>
      <c r="U24" s="715"/>
      <c r="V24" s="714"/>
      <c r="W24" s="715"/>
      <c r="X24" s="1539"/>
      <c r="Y24" s="3330"/>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37"/>
      <c r="Q25" s="1536" t="str">
        <f t="shared" ref="Q25:Q46" si="11">B25</f>
        <v>临街状况</v>
      </c>
      <c r="R25" s="714" t="s">
        <v>17</v>
      </c>
      <c r="S25" s="715">
        <f>F25</f>
        <v>100</v>
      </c>
      <c r="T25" s="714" t="s">
        <v>17</v>
      </c>
      <c r="U25" s="715">
        <f>H25</f>
        <v>100</v>
      </c>
      <c r="V25" s="714" t="s">
        <v>17</v>
      </c>
      <c r="W25" s="715">
        <f>J25</f>
        <v>100</v>
      </c>
      <c r="X25" s="1539"/>
      <c r="Y25" s="3330"/>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37"/>
      <c r="Q26" s="1536" t="str">
        <f t="shared" si="11"/>
        <v>平面位置/可视性</v>
      </c>
      <c r="R26" s="714" t="s">
        <v>17</v>
      </c>
      <c r="S26" s="715">
        <f>F26</f>
        <v>100</v>
      </c>
      <c r="T26" s="714" t="s">
        <v>17</v>
      </c>
      <c r="U26" s="715">
        <f>H26</f>
        <v>100</v>
      </c>
      <c r="V26" s="714" t="s">
        <v>17</v>
      </c>
      <c r="W26" s="715">
        <f>J26</f>
        <v>100</v>
      </c>
      <c r="X26" s="1539"/>
      <c r="Y26" s="3330"/>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37"/>
      <c r="Q27" s="1527" t="str">
        <f t="shared" si="11"/>
        <v>人流量</v>
      </c>
      <c r="R27" s="710" t="s">
        <v>17</v>
      </c>
      <c r="S27" s="711">
        <f>F27</f>
        <v>100</v>
      </c>
      <c r="T27" s="710" t="s">
        <v>17</v>
      </c>
      <c r="U27" s="711">
        <f>H27</f>
        <v>100</v>
      </c>
      <c r="V27" s="710" t="s">
        <v>17</v>
      </c>
      <c r="W27" s="711">
        <f>J27</f>
        <v>100</v>
      </c>
      <c r="X27" s="712"/>
      <c r="Y27" s="3330"/>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3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37"/>
      <c r="Q29" s="1536">
        <f t="shared" si="11"/>
        <v>111</v>
      </c>
      <c r="R29" s="714" t="s">
        <v>17</v>
      </c>
      <c r="S29" s="715">
        <f t="shared" si="12"/>
        <v>100</v>
      </c>
      <c r="T29" s="714" t="s">
        <v>17</v>
      </c>
      <c r="U29" s="715">
        <f t="shared" si="13"/>
        <v>100</v>
      </c>
      <c r="V29" s="714" t="s">
        <v>17</v>
      </c>
      <c r="W29" s="715">
        <f t="shared" si="14"/>
        <v>100</v>
      </c>
      <c r="X29" s="1539"/>
      <c r="Y29" s="333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1" t="s">
        <v>2386</v>
      </c>
      <c r="Q32" s="1536" t="str">
        <f t="shared" si="11"/>
        <v>商业类型</v>
      </c>
      <c r="R32" s="714" t="s">
        <v>17</v>
      </c>
      <c r="S32" s="715">
        <f t="shared" si="12"/>
        <v>100</v>
      </c>
      <c r="T32" s="714" t="s">
        <v>17</v>
      </c>
      <c r="U32" s="715">
        <f t="shared" si="13"/>
        <v>100</v>
      </c>
      <c r="V32" s="714" t="s">
        <v>17</v>
      </c>
      <c r="W32" s="715">
        <f t="shared" si="14"/>
        <v>100</v>
      </c>
      <c r="X32" s="1539"/>
      <c r="Y32" s="3334"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2"/>
      <c r="Q33" s="716" t="str">
        <f t="shared" si="11"/>
        <v>项目建筑规模</v>
      </c>
      <c r="R33" s="717" t="s">
        <v>17</v>
      </c>
      <c r="S33" s="718" t="e">
        <f t="shared" si="12"/>
        <v>#N/A</v>
      </c>
      <c r="T33" s="717" t="s">
        <v>17</v>
      </c>
      <c r="U33" s="718" t="e">
        <f t="shared" si="13"/>
        <v>#N/A</v>
      </c>
      <c r="V33" s="717" t="s">
        <v>17</v>
      </c>
      <c r="W33" s="718" t="e">
        <f t="shared" si="14"/>
        <v>#N/A</v>
      </c>
      <c r="X33" s="719"/>
      <c r="Y33" s="3334"/>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2"/>
      <c r="Q34" s="1536" t="str">
        <f t="shared" si="11"/>
        <v>建筑结构</v>
      </c>
      <c r="R34" s="714" t="s">
        <v>17</v>
      </c>
      <c r="S34" s="715">
        <f t="shared" si="12"/>
        <v>100</v>
      </c>
      <c r="T34" s="714" t="s">
        <v>17</v>
      </c>
      <c r="U34" s="715">
        <f t="shared" si="13"/>
        <v>100</v>
      </c>
      <c r="V34" s="714" t="s">
        <v>17</v>
      </c>
      <c r="W34" s="715">
        <f t="shared" si="14"/>
        <v>100</v>
      </c>
      <c r="X34" s="1539"/>
      <c r="Y34" s="3334"/>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2"/>
      <c r="Q35" s="1536" t="str">
        <f t="shared" si="11"/>
        <v>公共部分装修</v>
      </c>
      <c r="R35" s="714" t="s">
        <v>17</v>
      </c>
      <c r="S35" s="715">
        <f t="shared" si="12"/>
        <v>100</v>
      </c>
      <c r="T35" s="714" t="s">
        <v>17</v>
      </c>
      <c r="U35" s="715">
        <f t="shared" si="13"/>
        <v>100</v>
      </c>
      <c r="V35" s="714" t="s">
        <v>17</v>
      </c>
      <c r="W35" s="715">
        <f t="shared" si="14"/>
        <v>100</v>
      </c>
      <c r="X35" s="1539"/>
      <c r="Y35" s="3334"/>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2"/>
      <c r="Q36" s="1536" t="str">
        <f t="shared" si="11"/>
        <v>成新度</v>
      </c>
      <c r="R36" s="714" t="s">
        <v>17</v>
      </c>
      <c r="S36" s="715" t="e">
        <f t="shared" si="12"/>
        <v>#N/A</v>
      </c>
      <c r="T36" s="714" t="s">
        <v>17</v>
      </c>
      <c r="U36" s="715" t="e">
        <f t="shared" si="13"/>
        <v>#N/A</v>
      </c>
      <c r="V36" s="714" t="s">
        <v>17</v>
      </c>
      <c r="W36" s="715" t="e">
        <f t="shared" si="14"/>
        <v>#N/A</v>
      </c>
      <c r="X36" s="1539"/>
      <c r="Y36" s="3334"/>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2"/>
      <c r="Q37" s="1527" t="str">
        <f t="shared" si="11"/>
        <v>市政基础设施</v>
      </c>
      <c r="R37" s="710" t="s">
        <v>17</v>
      </c>
      <c r="S37" s="711">
        <f t="shared" si="12"/>
        <v>100</v>
      </c>
      <c r="T37" s="710" t="s">
        <v>17</v>
      </c>
      <c r="U37" s="711">
        <f t="shared" si="13"/>
        <v>100</v>
      </c>
      <c r="V37" s="710" t="s">
        <v>17</v>
      </c>
      <c r="W37" s="711">
        <f t="shared" si="14"/>
        <v>100</v>
      </c>
      <c r="X37" s="712"/>
      <c r="Y37" s="3334"/>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2" t="s">
        <v>2386</v>
      </c>
      <c r="Q38" s="1536" t="str">
        <f t="shared" si="11"/>
        <v>业态</v>
      </c>
      <c r="R38" s="714" t="s">
        <v>17</v>
      </c>
      <c r="S38" s="715">
        <f t="shared" si="12"/>
        <v>100</v>
      </c>
      <c r="T38" s="714" t="s">
        <v>17</v>
      </c>
      <c r="U38" s="715">
        <f t="shared" si="13"/>
        <v>100</v>
      </c>
      <c r="V38" s="714" t="s">
        <v>17</v>
      </c>
      <c r="W38" s="715">
        <f t="shared" si="14"/>
        <v>100</v>
      </c>
      <c r="X38" s="1539"/>
      <c r="Y38" s="3334"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2"/>
      <c r="Q39" s="1536" t="str">
        <f t="shared" si="11"/>
        <v>层高</v>
      </c>
      <c r="R39" s="714" t="s">
        <v>17</v>
      </c>
      <c r="S39" s="715">
        <f t="shared" si="12"/>
        <v>100</v>
      </c>
      <c r="T39" s="714" t="s">
        <v>17</v>
      </c>
      <c r="U39" s="715">
        <f t="shared" si="13"/>
        <v>100</v>
      </c>
      <c r="V39" s="714" t="s">
        <v>17</v>
      </c>
      <c r="W39" s="715">
        <f t="shared" si="14"/>
        <v>100</v>
      </c>
      <c r="X39" s="1539"/>
      <c r="Y39" s="3334"/>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2"/>
      <c r="Q40" s="1536" t="str">
        <f t="shared" si="11"/>
        <v>单套建筑面积</v>
      </c>
      <c r="R40" s="714" t="s">
        <v>17</v>
      </c>
      <c r="S40" s="715">
        <f t="shared" si="12"/>
        <v>100</v>
      </c>
      <c r="T40" s="714" t="s">
        <v>17</v>
      </c>
      <c r="U40" s="715">
        <f t="shared" si="13"/>
        <v>100</v>
      </c>
      <c r="V40" s="714" t="s">
        <v>17</v>
      </c>
      <c r="W40" s="715">
        <f t="shared" si="14"/>
        <v>100</v>
      </c>
      <c r="X40" s="1539"/>
      <c r="Y40" s="3334"/>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2"/>
      <c r="Q41" s="716" t="str">
        <f t="shared" si="11"/>
        <v>进深比</v>
      </c>
      <c r="R41" s="717" t="s">
        <v>17</v>
      </c>
      <c r="S41" s="718">
        <f t="shared" si="12"/>
        <v>100</v>
      </c>
      <c r="T41" s="717" t="s">
        <v>17</v>
      </c>
      <c r="U41" s="718">
        <f t="shared" si="13"/>
        <v>100</v>
      </c>
      <c r="V41" s="717" t="s">
        <v>17</v>
      </c>
      <c r="W41" s="718">
        <f t="shared" si="14"/>
        <v>100</v>
      </c>
      <c r="X41" s="719"/>
      <c r="Y41" s="3334"/>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2"/>
      <c r="Q42" s="1536" t="str">
        <f t="shared" si="11"/>
        <v>内部装修</v>
      </c>
      <c r="R42" s="714" t="s">
        <v>17</v>
      </c>
      <c r="S42" s="715">
        <f t="shared" si="12"/>
        <v>100</v>
      </c>
      <c r="T42" s="714" t="s">
        <v>17</v>
      </c>
      <c r="U42" s="715">
        <f t="shared" si="13"/>
        <v>100</v>
      </c>
      <c r="V42" s="714" t="s">
        <v>17</v>
      </c>
      <c r="W42" s="715">
        <f t="shared" si="14"/>
        <v>100</v>
      </c>
      <c r="X42" s="1539"/>
      <c r="Y42" s="3334"/>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2"/>
      <c r="Q43" s="1536" t="str">
        <f t="shared" si="11"/>
        <v>内部装修维护情况</v>
      </c>
      <c r="R43" s="714" t="s">
        <v>17</v>
      </c>
      <c r="S43" s="715">
        <f t="shared" si="12"/>
        <v>100</v>
      </c>
      <c r="T43" s="714" t="s">
        <v>17</v>
      </c>
      <c r="U43" s="715">
        <f t="shared" si="13"/>
        <v>100</v>
      </c>
      <c r="V43" s="714" t="s">
        <v>17</v>
      </c>
      <c r="W43" s="715">
        <f t="shared" si="14"/>
        <v>100</v>
      </c>
      <c r="X43" s="1539"/>
      <c r="Y43" s="333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2"/>
      <c r="Q44" s="1527">
        <f t="shared" si="11"/>
        <v>111</v>
      </c>
      <c r="R44" s="710" t="s">
        <v>17</v>
      </c>
      <c r="S44" s="711">
        <f t="shared" si="12"/>
        <v>100</v>
      </c>
      <c r="T44" s="710" t="s">
        <v>17</v>
      </c>
      <c r="U44" s="711">
        <f t="shared" si="13"/>
        <v>100</v>
      </c>
      <c r="V44" s="710" t="s">
        <v>17</v>
      </c>
      <c r="W44" s="711">
        <f t="shared" si="14"/>
        <v>100</v>
      </c>
      <c r="X44" s="712"/>
      <c r="Y44" s="333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2"/>
      <c r="Q45" s="1536">
        <f t="shared" si="11"/>
        <v>111</v>
      </c>
      <c r="R45" s="714" t="s">
        <v>17</v>
      </c>
      <c r="S45" s="715">
        <f t="shared" si="12"/>
        <v>100</v>
      </c>
      <c r="T45" s="714" t="s">
        <v>17</v>
      </c>
      <c r="U45" s="715">
        <f t="shared" si="13"/>
        <v>100</v>
      </c>
      <c r="V45" s="714" t="s">
        <v>17</v>
      </c>
      <c r="W45" s="715">
        <f t="shared" si="14"/>
        <v>100</v>
      </c>
      <c r="X45" s="1539"/>
      <c r="Y45" s="333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3"/>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27" t="str">
        <f>A47</f>
        <v>成交单价（元/平方米）</v>
      </c>
      <c r="Q47" s="3327"/>
      <c r="R47" s="3322">
        <f>E47</f>
        <v>0</v>
      </c>
      <c r="S47" s="3322"/>
      <c r="T47" s="3322">
        <f>G47</f>
        <v>0</v>
      </c>
      <c r="U47" s="3322"/>
      <c r="V47" s="3322">
        <f>I47</f>
        <v>0</v>
      </c>
      <c r="W47" s="3322"/>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Z59" sqref="Z5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131855.63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10" t="s">
        <v>2467</v>
      </c>
      <c r="D4" s="3311"/>
      <c r="E4" s="3312" t="s">
        <v>2468</v>
      </c>
      <c r="F4" s="3313"/>
      <c r="G4" s="3310" t="s">
        <v>2469</v>
      </c>
      <c r="H4" s="3311"/>
      <c r="I4" s="3310" t="s">
        <v>2470</v>
      </c>
      <c r="J4" s="3311"/>
      <c r="K4" s="567" t="s">
        <v>2471</v>
      </c>
      <c r="L4" s="2944"/>
      <c r="M4" s="2945"/>
      <c r="N4" s="2945"/>
      <c r="O4" s="2945"/>
      <c r="P4" s="3344" t="s">
        <v>2472</v>
      </c>
      <c r="Q4" s="3345"/>
      <c r="R4" s="3339" t="s">
        <v>2468</v>
      </c>
      <c r="S4" s="3340"/>
      <c r="T4" s="3339" t="s">
        <v>2469</v>
      </c>
      <c r="U4" s="3340"/>
      <c r="V4" s="3348" t="s">
        <v>2470</v>
      </c>
      <c r="W4" s="3348"/>
      <c r="X4" s="2144"/>
      <c r="Y4" s="3339" t="s">
        <v>2472</v>
      </c>
      <c r="Z4" s="3340"/>
      <c r="AA4" s="3338" t="s">
        <v>2468</v>
      </c>
      <c r="AB4" s="3338" t="s">
        <v>2469</v>
      </c>
      <c r="AC4" s="3341" t="s">
        <v>2470</v>
      </c>
    </row>
    <row r="5" spans="1:29" ht="15">
      <c r="A5" s="364"/>
      <c r="B5" s="365"/>
      <c r="C5" s="3303" t="s">
        <v>2363</v>
      </c>
      <c r="D5" s="3304"/>
      <c r="E5" s="3301" t="s">
        <v>2364</v>
      </c>
      <c r="F5" s="3302"/>
      <c r="G5" s="3303" t="s">
        <v>2365</v>
      </c>
      <c r="H5" s="3304"/>
      <c r="I5" s="3303" t="s">
        <v>2366</v>
      </c>
      <c r="J5" s="3304"/>
      <c r="K5" s="567"/>
      <c r="L5" s="2944"/>
      <c r="M5" s="2945"/>
      <c r="N5" s="2945"/>
      <c r="O5" s="2945"/>
      <c r="P5" s="3346"/>
      <c r="Q5" s="3317"/>
      <c r="R5" s="3299"/>
      <c r="S5" s="3300"/>
      <c r="T5" s="3299"/>
      <c r="U5" s="3300"/>
      <c r="V5" s="3322"/>
      <c r="W5" s="3322"/>
      <c r="X5" s="1539"/>
      <c r="Y5" s="3299"/>
      <c r="Z5" s="3300"/>
      <c r="AA5" s="3293"/>
      <c r="AB5" s="3293"/>
      <c r="AC5" s="3342"/>
    </row>
    <row r="6" spans="1:29" ht="15.75" thickBot="1">
      <c r="A6" s="366"/>
      <c r="B6" s="367"/>
      <c r="C6" s="3305" t="s">
        <v>2367</v>
      </c>
      <c r="D6" s="3306"/>
      <c r="E6" s="3307" t="s">
        <v>2367</v>
      </c>
      <c r="F6" s="3308"/>
      <c r="G6" s="3305" t="s">
        <v>2367</v>
      </c>
      <c r="H6" s="3306"/>
      <c r="I6" s="3305" t="s">
        <v>2367</v>
      </c>
      <c r="J6" s="3306"/>
      <c r="K6" s="567" t="s">
        <v>2368</v>
      </c>
      <c r="L6" s="2944"/>
      <c r="M6" s="2945"/>
      <c r="N6" s="2945"/>
      <c r="O6" s="2945"/>
      <c r="P6" s="3347"/>
      <c r="Q6" s="3319"/>
      <c r="R6" s="3299"/>
      <c r="S6" s="3300"/>
      <c r="T6" s="3320"/>
      <c r="U6" s="3321"/>
      <c r="V6" s="3322"/>
      <c r="W6" s="3322"/>
      <c r="X6" s="1539"/>
      <c r="Y6" s="3320"/>
      <c r="Z6" s="3321"/>
      <c r="AA6" s="3294"/>
      <c r="AB6" s="3294"/>
      <c r="AC6" s="3343"/>
    </row>
    <row r="7" spans="1:29" s="113" customFormat="1" ht="15.75" thickBot="1">
      <c r="A7" s="368" t="s">
        <v>2369</v>
      </c>
      <c r="B7" s="369"/>
      <c r="C7" s="370">
        <f>'数据-取费表'!B2</f>
        <v>44314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9" t="s">
        <v>2370</v>
      </c>
      <c r="Q7" s="3323"/>
      <c r="R7" s="710" t="s">
        <v>17</v>
      </c>
      <c r="S7" s="711">
        <f t="shared" ref="S7:S15" si="0">F7</f>
        <v>0</v>
      </c>
      <c r="T7" s="710" t="s">
        <v>17</v>
      </c>
      <c r="U7" s="711">
        <f t="shared" ref="U7:U15" si="1">H7</f>
        <v>0</v>
      </c>
      <c r="V7" s="710" t="s">
        <v>17</v>
      </c>
      <c r="W7" s="711">
        <f t="shared" ref="W7:W15" si="2">J7</f>
        <v>0</v>
      </c>
      <c r="X7" s="712"/>
      <c r="Y7" s="3295" t="s">
        <v>2370</v>
      </c>
      <c r="Z7" s="3296"/>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9" t="s">
        <v>2373</v>
      </c>
      <c r="Q8" s="3296"/>
      <c r="R8" s="710" t="s">
        <v>17</v>
      </c>
      <c r="S8" s="711">
        <f t="shared" si="0"/>
        <v>0</v>
      </c>
      <c r="T8" s="710" t="s">
        <v>17</v>
      </c>
      <c r="U8" s="711">
        <f t="shared" si="1"/>
        <v>0</v>
      </c>
      <c r="V8" s="710" t="s">
        <v>17</v>
      </c>
      <c r="W8" s="711">
        <f t="shared" si="2"/>
        <v>0</v>
      </c>
      <c r="X8" s="712"/>
      <c r="Y8" s="3295" t="s">
        <v>2373</v>
      </c>
      <c r="Z8" s="3296"/>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9"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9"/>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9"/>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9"/>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9"/>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9"/>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36" t="s">
        <v>2381</v>
      </c>
      <c r="Q15" s="1536" t="str">
        <f t="shared" si="6"/>
        <v>办公集聚程度</v>
      </c>
      <c r="R15" s="714" t="s">
        <v>17</v>
      </c>
      <c r="S15" s="715">
        <f t="shared" si="0"/>
        <v>100</v>
      </c>
      <c r="T15" s="714" t="s">
        <v>17</v>
      </c>
      <c r="U15" s="715">
        <f t="shared" si="1"/>
        <v>100</v>
      </c>
      <c r="V15" s="714" t="s">
        <v>17</v>
      </c>
      <c r="W15" s="715">
        <f t="shared" si="2"/>
        <v>100</v>
      </c>
      <c r="X15" s="1539"/>
      <c r="Y15" s="3329"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37"/>
      <c r="Q16" s="1536"/>
      <c r="R16" s="714"/>
      <c r="S16" s="715"/>
      <c r="T16" s="714"/>
      <c r="U16" s="715"/>
      <c r="V16" s="714"/>
      <c r="W16" s="715"/>
      <c r="X16" s="1539"/>
      <c r="Y16" s="3330"/>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37"/>
      <c r="Q18" s="1536"/>
      <c r="R18" s="714"/>
      <c r="S18" s="715"/>
      <c r="T18" s="714"/>
      <c r="U18" s="715"/>
      <c r="V18" s="714"/>
      <c r="W18" s="715"/>
      <c r="X18" s="1539"/>
      <c r="Y18" s="3330"/>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37"/>
      <c r="Q20" s="1536"/>
      <c r="R20" s="714"/>
      <c r="S20" s="715"/>
      <c r="T20" s="714"/>
      <c r="U20" s="715"/>
      <c r="V20" s="714"/>
      <c r="W20" s="715"/>
      <c r="X20" s="1539"/>
      <c r="Y20" s="3330"/>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37"/>
      <c r="Q22" s="1536"/>
      <c r="R22" s="714"/>
      <c r="S22" s="715"/>
      <c r="T22" s="714"/>
      <c r="U22" s="715"/>
      <c r="V22" s="714"/>
      <c r="W22" s="715"/>
      <c r="X22" s="1539"/>
      <c r="Y22" s="3330"/>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37"/>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37"/>
      <c r="Q24" s="1536"/>
      <c r="R24" s="714"/>
      <c r="S24" s="715"/>
      <c r="T24" s="714"/>
      <c r="U24" s="715"/>
      <c r="V24" s="714"/>
      <c r="W24" s="715"/>
      <c r="X24" s="1539"/>
      <c r="Y24" s="3330"/>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37"/>
      <c r="Q25" s="1536" t="str">
        <f>B25</f>
        <v>毗邻道路的类型与等级</v>
      </c>
      <c r="R25" s="714" t="s">
        <v>17</v>
      </c>
      <c r="S25" s="715">
        <f>F25</f>
        <v>100</v>
      </c>
      <c r="T25" s="714" t="s">
        <v>17</v>
      </c>
      <c r="U25" s="715">
        <f>H25</f>
        <v>100</v>
      </c>
      <c r="V25" s="714" t="s">
        <v>17</v>
      </c>
      <c r="W25" s="715">
        <f>J25</f>
        <v>100</v>
      </c>
      <c r="X25" s="1539"/>
      <c r="Y25" s="333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37"/>
      <c r="Q26" s="1536"/>
      <c r="R26" s="714"/>
      <c r="S26" s="715"/>
      <c r="T26" s="714"/>
      <c r="U26" s="715"/>
      <c r="V26" s="714"/>
      <c r="W26" s="715"/>
      <c r="X26" s="1539"/>
      <c r="Y26" s="3330"/>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37"/>
      <c r="Q27" s="1536" t="str">
        <f t="shared" ref="Q27:Q47" si="11">B27</f>
        <v>楼层</v>
      </c>
      <c r="R27" s="714" t="s">
        <v>17</v>
      </c>
      <c r="S27" s="715">
        <f>F27</f>
        <v>100</v>
      </c>
      <c r="T27" s="714" t="s">
        <v>17</v>
      </c>
      <c r="U27" s="715">
        <f>H27</f>
        <v>100</v>
      </c>
      <c r="V27" s="714" t="s">
        <v>17</v>
      </c>
      <c r="W27" s="715">
        <f>J27</f>
        <v>100</v>
      </c>
      <c r="X27" s="1539"/>
      <c r="Y27" s="3330"/>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37"/>
      <c r="Q28" s="1527" t="str">
        <f t="shared" si="11"/>
        <v>朝向</v>
      </c>
      <c r="R28" s="710" t="s">
        <v>17</v>
      </c>
      <c r="S28" s="711">
        <f>F28</f>
        <v>100</v>
      </c>
      <c r="T28" s="710" t="s">
        <v>17</v>
      </c>
      <c r="U28" s="711">
        <f>H28</f>
        <v>100</v>
      </c>
      <c r="V28" s="710" t="s">
        <v>17</v>
      </c>
      <c r="W28" s="711">
        <f>J28</f>
        <v>100</v>
      </c>
      <c r="X28" s="712"/>
      <c r="Y28" s="333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37"/>
      <c r="Q29" s="1536">
        <f t="shared" si="11"/>
        <v>111</v>
      </c>
      <c r="R29" s="714" t="s">
        <v>17</v>
      </c>
      <c r="S29" s="715">
        <f t="shared" ref="S29:S47" si="12">F29</f>
        <v>100</v>
      </c>
      <c r="T29" s="714" t="s">
        <v>17</v>
      </c>
      <c r="U29" s="715">
        <f t="shared" ref="U29:U47" si="13">H29</f>
        <v>100</v>
      </c>
      <c r="V29" s="714" t="s">
        <v>17</v>
      </c>
      <c r="W29" s="715">
        <f t="shared" ref="W29:W47" si="14">J29</f>
        <v>100</v>
      </c>
      <c r="X29" s="1539"/>
      <c r="Y29" s="333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37"/>
      <c r="Q32" s="1536">
        <f t="shared" si="11"/>
        <v>111</v>
      </c>
      <c r="R32" s="714" t="s">
        <v>17</v>
      </c>
      <c r="S32" s="715">
        <f t="shared" si="12"/>
        <v>100</v>
      </c>
      <c r="T32" s="714" t="s">
        <v>17</v>
      </c>
      <c r="U32" s="715">
        <f t="shared" si="13"/>
        <v>100</v>
      </c>
      <c r="V32" s="714" t="s">
        <v>17</v>
      </c>
      <c r="W32" s="715">
        <f t="shared" si="14"/>
        <v>100</v>
      </c>
      <c r="X32" s="1539"/>
      <c r="Y32" s="333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1" t="s">
        <v>2386</v>
      </c>
      <c r="Q33" s="1536" t="str">
        <f t="shared" si="11"/>
        <v>建筑类型</v>
      </c>
      <c r="R33" s="714" t="s">
        <v>17</v>
      </c>
      <c r="S33" s="715">
        <f t="shared" si="12"/>
        <v>100</v>
      </c>
      <c r="T33" s="714" t="s">
        <v>17</v>
      </c>
      <c r="U33" s="715">
        <f t="shared" si="13"/>
        <v>100</v>
      </c>
      <c r="V33" s="714" t="s">
        <v>17</v>
      </c>
      <c r="W33" s="715">
        <f t="shared" si="14"/>
        <v>100</v>
      </c>
      <c r="X33" s="1539"/>
      <c r="Y33" s="3334"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2"/>
      <c r="Q34" s="716" t="str">
        <f t="shared" si="11"/>
        <v>项目建筑规模</v>
      </c>
      <c r="R34" s="717" t="s">
        <v>17</v>
      </c>
      <c r="S34" s="718" t="e">
        <f t="shared" si="12"/>
        <v>#N/A</v>
      </c>
      <c r="T34" s="717" t="s">
        <v>17</v>
      </c>
      <c r="U34" s="718" t="e">
        <f t="shared" si="13"/>
        <v>#N/A</v>
      </c>
      <c r="V34" s="717" t="s">
        <v>17</v>
      </c>
      <c r="W34" s="718" t="e">
        <f t="shared" si="14"/>
        <v>#N/A</v>
      </c>
      <c r="X34" s="719"/>
      <c r="Y34" s="3334"/>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2"/>
      <c r="Q35" s="1536" t="str">
        <f t="shared" si="11"/>
        <v>建筑结构</v>
      </c>
      <c r="R35" s="714" t="s">
        <v>17</v>
      </c>
      <c r="S35" s="715">
        <f t="shared" si="12"/>
        <v>100</v>
      </c>
      <c r="T35" s="714" t="s">
        <v>17</v>
      </c>
      <c r="U35" s="715">
        <f t="shared" si="13"/>
        <v>100</v>
      </c>
      <c r="V35" s="714" t="s">
        <v>17</v>
      </c>
      <c r="W35" s="715">
        <f t="shared" si="14"/>
        <v>100</v>
      </c>
      <c r="X35" s="1539"/>
      <c r="Y35" s="3334"/>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2"/>
      <c r="Q36" s="1536" t="str">
        <f t="shared" si="11"/>
        <v>公共部分装修</v>
      </c>
      <c r="R36" s="714" t="s">
        <v>17</v>
      </c>
      <c r="S36" s="715">
        <f t="shared" si="12"/>
        <v>100</v>
      </c>
      <c r="T36" s="714" t="s">
        <v>17</v>
      </c>
      <c r="U36" s="715">
        <f t="shared" si="13"/>
        <v>100</v>
      </c>
      <c r="V36" s="714" t="s">
        <v>17</v>
      </c>
      <c r="W36" s="715">
        <f t="shared" si="14"/>
        <v>100</v>
      </c>
      <c r="X36" s="1539"/>
      <c r="Y36" s="3334"/>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2"/>
      <c r="Q37" s="1536" t="str">
        <f t="shared" si="11"/>
        <v>成新度</v>
      </c>
      <c r="R37" s="714" t="s">
        <v>17</v>
      </c>
      <c r="S37" s="715" t="e">
        <f t="shared" si="12"/>
        <v>#N/A</v>
      </c>
      <c r="T37" s="714" t="s">
        <v>17</v>
      </c>
      <c r="U37" s="715" t="e">
        <f t="shared" si="13"/>
        <v>#N/A</v>
      </c>
      <c r="V37" s="714" t="s">
        <v>17</v>
      </c>
      <c r="W37" s="715" t="e">
        <f t="shared" si="14"/>
        <v>#N/A</v>
      </c>
      <c r="X37" s="1539"/>
      <c r="Y37" s="3334"/>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2"/>
      <c r="Q38" s="1527" t="str">
        <f t="shared" si="11"/>
        <v>写字楼等级</v>
      </c>
      <c r="R38" s="710" t="s">
        <v>17</v>
      </c>
      <c r="S38" s="711">
        <f t="shared" si="12"/>
        <v>100</v>
      </c>
      <c r="T38" s="710" t="s">
        <v>17</v>
      </c>
      <c r="U38" s="711">
        <f t="shared" si="13"/>
        <v>100</v>
      </c>
      <c r="V38" s="710" t="s">
        <v>17</v>
      </c>
      <c r="W38" s="711">
        <f t="shared" si="14"/>
        <v>100</v>
      </c>
      <c r="X38" s="712"/>
      <c r="Y38" s="3334"/>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2" t="s">
        <v>2386</v>
      </c>
      <c r="Q39" s="1536" t="str">
        <f t="shared" si="11"/>
        <v>物业管理</v>
      </c>
      <c r="R39" s="714" t="s">
        <v>17</v>
      </c>
      <c r="S39" s="715">
        <f t="shared" si="12"/>
        <v>100</v>
      </c>
      <c r="T39" s="714" t="s">
        <v>17</v>
      </c>
      <c r="U39" s="715">
        <f t="shared" si="13"/>
        <v>100</v>
      </c>
      <c r="V39" s="714" t="s">
        <v>17</v>
      </c>
      <c r="W39" s="715">
        <f t="shared" si="14"/>
        <v>100</v>
      </c>
      <c r="X39" s="1539"/>
      <c r="Y39" s="3334"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2"/>
      <c r="Q40" s="1536" t="str">
        <f t="shared" si="11"/>
        <v>市政基础设施</v>
      </c>
      <c r="R40" s="714" t="s">
        <v>17</v>
      </c>
      <c r="S40" s="715">
        <f t="shared" si="12"/>
        <v>100</v>
      </c>
      <c r="T40" s="714" t="s">
        <v>17</v>
      </c>
      <c r="U40" s="715">
        <f t="shared" si="13"/>
        <v>100</v>
      </c>
      <c r="V40" s="714" t="s">
        <v>17</v>
      </c>
      <c r="W40" s="715">
        <f t="shared" si="14"/>
        <v>100</v>
      </c>
      <c r="X40" s="1539"/>
      <c r="Y40" s="3334"/>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2"/>
      <c r="Q41" s="1536" t="str">
        <f t="shared" si="11"/>
        <v>层高</v>
      </c>
      <c r="R41" s="714" t="s">
        <v>17</v>
      </c>
      <c r="S41" s="715">
        <f t="shared" si="12"/>
        <v>100</v>
      </c>
      <c r="T41" s="714" t="s">
        <v>17</v>
      </c>
      <c r="U41" s="715">
        <f t="shared" si="13"/>
        <v>100</v>
      </c>
      <c r="V41" s="714" t="s">
        <v>17</v>
      </c>
      <c r="W41" s="715">
        <f t="shared" si="14"/>
        <v>100</v>
      </c>
      <c r="X41" s="1539"/>
      <c r="Y41" s="3334"/>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2"/>
      <c r="Q42" s="716" t="str">
        <f t="shared" si="11"/>
        <v>单套建筑面积</v>
      </c>
      <c r="R42" s="717" t="s">
        <v>17</v>
      </c>
      <c r="S42" s="718">
        <f t="shared" si="12"/>
        <v>100</v>
      </c>
      <c r="T42" s="717" t="s">
        <v>17</v>
      </c>
      <c r="U42" s="718">
        <f t="shared" si="13"/>
        <v>100</v>
      </c>
      <c r="V42" s="717" t="s">
        <v>17</v>
      </c>
      <c r="W42" s="718">
        <f t="shared" si="14"/>
        <v>100</v>
      </c>
      <c r="X42" s="719"/>
      <c r="Y42" s="3334"/>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2"/>
      <c r="Q43" s="1536" t="str">
        <f t="shared" si="11"/>
        <v>内部装修</v>
      </c>
      <c r="R43" s="714" t="s">
        <v>17</v>
      </c>
      <c r="S43" s="715">
        <f t="shared" si="12"/>
        <v>100</v>
      </c>
      <c r="T43" s="714" t="s">
        <v>17</v>
      </c>
      <c r="U43" s="715">
        <f t="shared" si="13"/>
        <v>100</v>
      </c>
      <c r="V43" s="714" t="s">
        <v>17</v>
      </c>
      <c r="W43" s="715">
        <f t="shared" si="14"/>
        <v>100</v>
      </c>
      <c r="X43" s="1539"/>
      <c r="Y43" s="3334"/>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2"/>
      <c r="Q44" s="1536" t="str">
        <f t="shared" si="11"/>
        <v>内部装修维护情况</v>
      </c>
      <c r="R44" s="714" t="s">
        <v>17</v>
      </c>
      <c r="S44" s="715">
        <f t="shared" si="12"/>
        <v>100</v>
      </c>
      <c r="T44" s="714" t="s">
        <v>17</v>
      </c>
      <c r="U44" s="715">
        <f t="shared" si="13"/>
        <v>100</v>
      </c>
      <c r="V44" s="714" t="s">
        <v>17</v>
      </c>
      <c r="W44" s="715">
        <f t="shared" si="14"/>
        <v>100</v>
      </c>
      <c r="X44" s="1539"/>
      <c r="Y44" s="333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2"/>
      <c r="Q45" s="1527">
        <f t="shared" si="11"/>
        <v>111</v>
      </c>
      <c r="R45" s="710" t="s">
        <v>17</v>
      </c>
      <c r="S45" s="711">
        <f t="shared" si="12"/>
        <v>100</v>
      </c>
      <c r="T45" s="710" t="s">
        <v>17</v>
      </c>
      <c r="U45" s="711">
        <f t="shared" si="13"/>
        <v>100</v>
      </c>
      <c r="V45" s="710" t="s">
        <v>17</v>
      </c>
      <c r="W45" s="711">
        <f t="shared" si="14"/>
        <v>100</v>
      </c>
      <c r="X45" s="712"/>
      <c r="Y45" s="333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2"/>
      <c r="Q46" s="1536">
        <f t="shared" si="11"/>
        <v>111</v>
      </c>
      <c r="R46" s="714" t="s">
        <v>17</v>
      </c>
      <c r="S46" s="715">
        <f t="shared" si="12"/>
        <v>100</v>
      </c>
      <c r="T46" s="714" t="s">
        <v>17</v>
      </c>
      <c r="U46" s="715">
        <f t="shared" si="13"/>
        <v>100</v>
      </c>
      <c r="V46" s="714" t="s">
        <v>17</v>
      </c>
      <c r="W46" s="715">
        <f t="shared" si="14"/>
        <v>100</v>
      </c>
      <c r="X46" s="1539"/>
      <c r="Y46" s="333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3"/>
      <c r="Q47" s="1536">
        <f t="shared" si="11"/>
        <v>111</v>
      </c>
      <c r="R47" s="714" t="s">
        <v>17</v>
      </c>
      <c r="S47" s="715">
        <f t="shared" si="12"/>
        <v>100</v>
      </c>
      <c r="T47" s="714" t="s">
        <v>17</v>
      </c>
      <c r="U47" s="715">
        <f t="shared" si="13"/>
        <v>100</v>
      </c>
      <c r="V47" s="714" t="s">
        <v>17</v>
      </c>
      <c r="W47" s="715">
        <f t="shared" si="14"/>
        <v>100</v>
      </c>
      <c r="X47" s="1539"/>
      <c r="Y47" s="3335"/>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09" t="str">
        <f>A48</f>
        <v>成交单价（元/平方米）</v>
      </c>
      <c r="Q48" s="3327"/>
      <c r="R48" s="3328">
        <f>E48</f>
        <v>0</v>
      </c>
      <c r="S48" s="3328"/>
      <c r="T48" s="3328">
        <f>G48</f>
        <v>0</v>
      </c>
      <c r="U48" s="3328"/>
      <c r="V48" s="3328">
        <f>I48</f>
        <v>0</v>
      </c>
      <c r="W48" s="3328"/>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309" t="str">
        <f>A49</f>
        <v>比较价值（元/平方米）</v>
      </c>
      <c r="Q49" s="3327"/>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0" t="str">
        <f>A50</f>
        <v>估价对象XX用房的比较价值（楼面单价，元/平方米）</v>
      </c>
      <c r="Q50" s="3351"/>
      <c r="R50" s="3352" t="e">
        <f>IF(F1="售价",ROUND(IF(D49="简单平均",AVERAGE(R49:V49),R49*F49+T49*H49+V49*J49),0),ROUND(IF(D49="简单平均",AVERAGE(R49:V49),R49*F49+T49*H49+V49*J49),1))</f>
        <v>#DIV/0!</v>
      </c>
      <c r="S50" s="3352"/>
      <c r="T50" s="3352"/>
      <c r="U50" s="3352"/>
      <c r="V50" s="3352"/>
      <c r="W50" s="3352"/>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估价对象为北京市房地产，为所有。根据《国有土地使用证》[]，估价对象（分摊）出让国有建设用地使用权面积为41486.36平方米，建筑面积为131855.63平方米。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估价对象为北京市房地产,属开发建设的办公项目，该项目尚在开发建设中。根据《国有土地使用证》[]，估价对象（分摊）出让国有建设用地使用权面积为41486.36平方米，规划建筑面积为131855.63平方米。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131855.63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0" t="s">
        <v>2467</v>
      </c>
      <c r="D4" s="3311"/>
      <c r="E4" s="3312" t="s">
        <v>2468</v>
      </c>
      <c r="F4" s="3313"/>
      <c r="G4" s="3310" t="s">
        <v>2469</v>
      </c>
      <c r="H4" s="3311"/>
      <c r="I4" s="3310" t="s">
        <v>2470</v>
      </c>
      <c r="J4" s="3311"/>
      <c r="K4" s="567" t="s">
        <v>2471</v>
      </c>
      <c r="L4" s="1044"/>
      <c r="M4" s="1045"/>
      <c r="N4" s="1045"/>
      <c r="O4" s="1045"/>
      <c r="P4" s="3314" t="s">
        <v>2472</v>
      </c>
      <c r="Q4" s="3315"/>
      <c r="R4" s="3297" t="s">
        <v>2468</v>
      </c>
      <c r="S4" s="3298"/>
      <c r="T4" s="3297" t="s">
        <v>2469</v>
      </c>
      <c r="U4" s="3298"/>
      <c r="V4" s="3322" t="s">
        <v>2470</v>
      </c>
      <c r="W4" s="3322"/>
      <c r="X4" s="1539"/>
      <c r="Y4" s="3297" t="s">
        <v>2472</v>
      </c>
      <c r="Z4" s="3298"/>
      <c r="AA4" s="3292" t="s">
        <v>2468</v>
      </c>
      <c r="AB4" s="3293" t="s">
        <v>2469</v>
      </c>
      <c r="AC4" s="3292" t="s">
        <v>2470</v>
      </c>
    </row>
    <row r="5" spans="1:29" ht="15">
      <c r="A5" s="364"/>
      <c r="B5" s="365"/>
      <c r="C5" s="3303" t="s">
        <v>2363</v>
      </c>
      <c r="D5" s="3304"/>
      <c r="E5" s="3301" t="s">
        <v>2364</v>
      </c>
      <c r="F5" s="3302"/>
      <c r="G5" s="3303" t="s">
        <v>2365</v>
      </c>
      <c r="H5" s="3304"/>
      <c r="I5" s="3303" t="s">
        <v>2366</v>
      </c>
      <c r="J5" s="3304"/>
      <c r="K5" s="567"/>
      <c r="L5" s="1044"/>
      <c r="M5" s="1045"/>
      <c r="N5" s="1045"/>
      <c r="O5" s="1045"/>
      <c r="P5" s="3316"/>
      <c r="Q5" s="3317"/>
      <c r="R5" s="3299"/>
      <c r="S5" s="3300"/>
      <c r="T5" s="3299"/>
      <c r="U5" s="3300"/>
      <c r="V5" s="3322"/>
      <c r="W5" s="3322"/>
      <c r="X5" s="1539"/>
      <c r="Y5" s="3299"/>
      <c r="Z5" s="3300"/>
      <c r="AA5" s="3293"/>
      <c r="AB5" s="3293"/>
      <c r="AC5" s="3293"/>
    </row>
    <row r="6" spans="1:29" ht="15.75" thickBot="1">
      <c r="A6" s="366"/>
      <c r="B6" s="367"/>
      <c r="C6" s="3305" t="s">
        <v>2367</v>
      </c>
      <c r="D6" s="3306"/>
      <c r="E6" s="3307" t="s">
        <v>2367</v>
      </c>
      <c r="F6" s="3308"/>
      <c r="G6" s="3305" t="s">
        <v>2367</v>
      </c>
      <c r="H6" s="3306"/>
      <c r="I6" s="3305" t="s">
        <v>2367</v>
      </c>
      <c r="J6" s="3306"/>
      <c r="K6" s="567" t="s">
        <v>2368</v>
      </c>
      <c r="L6" s="1044"/>
      <c r="M6" s="1045"/>
      <c r="N6" s="1045"/>
      <c r="O6" s="1045"/>
      <c r="P6" s="3318"/>
      <c r="Q6" s="3319"/>
      <c r="R6" s="3299"/>
      <c r="S6" s="3300"/>
      <c r="T6" s="3320"/>
      <c r="U6" s="3321"/>
      <c r="V6" s="3322"/>
      <c r="W6" s="3322"/>
      <c r="X6" s="1539"/>
      <c r="Y6" s="3320"/>
      <c r="Z6" s="3321"/>
      <c r="AA6" s="3294"/>
      <c r="AB6" s="3294"/>
      <c r="AC6" s="3294"/>
    </row>
    <row r="7" spans="1:29" s="113" customFormat="1" ht="15.75" thickBot="1">
      <c r="A7" s="368" t="s">
        <v>2369</v>
      </c>
      <c r="B7" s="369"/>
      <c r="C7" s="370">
        <f>'数据-取费表'!B2</f>
        <v>44314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5" t="s">
        <v>2370</v>
      </c>
      <c r="Q7" s="3323"/>
      <c r="R7" s="710" t="s">
        <v>17</v>
      </c>
      <c r="S7" s="711">
        <f t="shared" ref="S7:S15" si="0">F7</f>
        <v>0</v>
      </c>
      <c r="T7" s="710" t="s">
        <v>17</v>
      </c>
      <c r="U7" s="711">
        <f t="shared" ref="U7:U15" si="1">H7</f>
        <v>0</v>
      </c>
      <c r="V7" s="710" t="s">
        <v>17</v>
      </c>
      <c r="W7" s="711">
        <f t="shared" ref="W7:W15" si="2">J7</f>
        <v>0</v>
      </c>
      <c r="X7" s="712"/>
      <c r="Y7" s="3295" t="s">
        <v>2370</v>
      </c>
      <c r="Z7" s="329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5" t="s">
        <v>2373</v>
      </c>
      <c r="Q8" s="3296"/>
      <c r="R8" s="710" t="s">
        <v>17</v>
      </c>
      <c r="S8" s="711">
        <f t="shared" si="0"/>
        <v>0</v>
      </c>
      <c r="T8" s="710" t="s">
        <v>17</v>
      </c>
      <c r="U8" s="711">
        <f t="shared" si="1"/>
        <v>0</v>
      </c>
      <c r="V8" s="710" t="s">
        <v>17</v>
      </c>
      <c r="W8" s="711">
        <f t="shared" si="2"/>
        <v>0</v>
      </c>
      <c r="X8" s="712"/>
      <c r="Y8" s="3295" t="s">
        <v>2373</v>
      </c>
      <c r="Z8" s="329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7"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7"/>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7"/>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7"/>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7"/>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7"/>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9" t="s">
        <v>2381</v>
      </c>
      <c r="Q15" s="1536" t="str">
        <f t="shared" si="6"/>
        <v>产业集聚程度</v>
      </c>
      <c r="R15" s="714" t="s">
        <v>17</v>
      </c>
      <c r="S15" s="715">
        <f t="shared" si="0"/>
        <v>100</v>
      </c>
      <c r="T15" s="714" t="s">
        <v>17</v>
      </c>
      <c r="U15" s="715">
        <f t="shared" si="1"/>
        <v>100</v>
      </c>
      <c r="V15" s="714" t="s">
        <v>17</v>
      </c>
      <c r="W15" s="715">
        <f t="shared" si="2"/>
        <v>100</v>
      </c>
      <c r="X15" s="1539"/>
      <c r="Y15" s="332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0"/>
      <c r="Q16" s="1536"/>
      <c r="R16" s="714"/>
      <c r="S16" s="715"/>
      <c r="T16" s="714"/>
      <c r="U16" s="715"/>
      <c r="V16" s="714"/>
      <c r="W16" s="715"/>
      <c r="X16" s="1539"/>
      <c r="Y16" s="3330"/>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0"/>
      <c r="Q18" s="1536"/>
      <c r="R18" s="714"/>
      <c r="S18" s="715"/>
      <c r="T18" s="714"/>
      <c r="U18" s="715"/>
      <c r="V18" s="714"/>
      <c r="W18" s="715"/>
      <c r="X18" s="1539"/>
      <c r="Y18" s="3330"/>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0"/>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0"/>
      <c r="Q20" s="1536"/>
      <c r="R20" s="714"/>
      <c r="S20" s="715"/>
      <c r="T20" s="714"/>
      <c r="U20" s="715"/>
      <c r="V20" s="714"/>
      <c r="W20" s="715"/>
      <c r="X20" s="1539"/>
      <c r="Y20" s="3330"/>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0"/>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0"/>
      <c r="Q22" s="1536"/>
      <c r="R22" s="714"/>
      <c r="S22" s="715"/>
      <c r="T22" s="714"/>
      <c r="U22" s="715"/>
      <c r="V22" s="714"/>
      <c r="W22" s="715"/>
      <c r="X22" s="1539"/>
      <c r="Y22" s="3330"/>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0"/>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0"/>
      <c r="Q24" s="1536"/>
      <c r="R24" s="714"/>
      <c r="S24" s="715"/>
      <c r="T24" s="714"/>
      <c r="U24" s="715"/>
      <c r="V24" s="714"/>
      <c r="W24" s="715"/>
      <c r="X24" s="1539"/>
      <c r="Y24" s="333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0"/>
      <c r="Q25" s="1536">
        <f>B25</f>
        <v>111</v>
      </c>
      <c r="R25" s="714" t="s">
        <v>17</v>
      </c>
      <c r="S25" s="715">
        <f>F25</f>
        <v>100</v>
      </c>
      <c r="T25" s="714" t="s">
        <v>17</v>
      </c>
      <c r="U25" s="715">
        <f>H25</f>
        <v>100</v>
      </c>
      <c r="V25" s="714" t="s">
        <v>17</v>
      </c>
      <c r="W25" s="715">
        <f>J25</f>
        <v>100</v>
      </c>
      <c r="X25" s="1539"/>
      <c r="Y25" s="333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0"/>
      <c r="Q26" s="1536">
        <f t="shared" ref="Q26:Q40" si="11">B26</f>
        <v>111</v>
      </c>
      <c r="R26" s="714" t="s">
        <v>17</v>
      </c>
      <c r="S26" s="715">
        <f>F26</f>
        <v>100</v>
      </c>
      <c r="T26" s="714" t="s">
        <v>17</v>
      </c>
      <c r="U26" s="715">
        <f>H26</f>
        <v>100</v>
      </c>
      <c r="V26" s="714" t="s">
        <v>17</v>
      </c>
      <c r="W26" s="715">
        <f>J26</f>
        <v>100</v>
      </c>
      <c r="X26" s="1539"/>
      <c r="Y26" s="333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0"/>
      <c r="Q27" s="1527">
        <f t="shared" si="11"/>
        <v>111</v>
      </c>
      <c r="R27" s="710" t="s">
        <v>17</v>
      </c>
      <c r="S27" s="711">
        <f>F27</f>
        <v>100</v>
      </c>
      <c r="T27" s="710" t="s">
        <v>17</v>
      </c>
      <c r="U27" s="711">
        <f>H27</f>
        <v>100</v>
      </c>
      <c r="V27" s="710" t="s">
        <v>17</v>
      </c>
      <c r="W27" s="711">
        <f>J27</f>
        <v>100</v>
      </c>
      <c r="X27" s="712"/>
      <c r="Y27" s="333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0"/>
      <c r="Q28" s="1536">
        <f t="shared" si="11"/>
        <v>111</v>
      </c>
      <c r="R28" s="714" t="s">
        <v>17</v>
      </c>
      <c r="S28" s="715">
        <f t="shared" ref="S28:S40" si="12">F28</f>
        <v>100</v>
      </c>
      <c r="T28" s="714" t="s">
        <v>17</v>
      </c>
      <c r="U28" s="715">
        <f t="shared" ref="U28:U40" si="13">H28</f>
        <v>100</v>
      </c>
      <c r="V28" s="714" t="s">
        <v>17</v>
      </c>
      <c r="W28" s="715">
        <f t="shared" ref="W28:W40" si="14">J28</f>
        <v>100</v>
      </c>
      <c r="X28" s="1539"/>
      <c r="Y28" s="3330"/>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3" t="s">
        <v>2386</v>
      </c>
      <c r="Q29" s="1536" t="str">
        <f t="shared" si="11"/>
        <v>建筑类型</v>
      </c>
      <c r="R29" s="714" t="s">
        <v>17</v>
      </c>
      <c r="S29" s="715">
        <f t="shared" si="12"/>
        <v>100</v>
      </c>
      <c r="T29" s="714" t="s">
        <v>17</v>
      </c>
      <c r="U29" s="715">
        <f t="shared" si="13"/>
        <v>100</v>
      </c>
      <c r="V29" s="714" t="s">
        <v>17</v>
      </c>
      <c r="W29" s="715">
        <f t="shared" si="14"/>
        <v>100</v>
      </c>
      <c r="X29" s="1539"/>
      <c r="Y29" s="3334"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4"/>
      <c r="Q30" s="716" t="str">
        <f t="shared" si="11"/>
        <v>项目建筑规模</v>
      </c>
      <c r="R30" s="717" t="s">
        <v>17</v>
      </c>
      <c r="S30" s="718" t="e">
        <f t="shared" si="12"/>
        <v>#N/A</v>
      </c>
      <c r="T30" s="717" t="s">
        <v>17</v>
      </c>
      <c r="U30" s="718" t="e">
        <f t="shared" si="13"/>
        <v>#N/A</v>
      </c>
      <c r="V30" s="717" t="s">
        <v>17</v>
      </c>
      <c r="W30" s="718" t="e">
        <f t="shared" si="14"/>
        <v>#N/A</v>
      </c>
      <c r="X30" s="719"/>
      <c r="Y30" s="3334"/>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4"/>
      <c r="Q31" s="1536" t="str">
        <f t="shared" si="11"/>
        <v>建筑结构</v>
      </c>
      <c r="R31" s="714" t="s">
        <v>17</v>
      </c>
      <c r="S31" s="715">
        <f t="shared" si="12"/>
        <v>100</v>
      </c>
      <c r="T31" s="714" t="s">
        <v>17</v>
      </c>
      <c r="U31" s="715">
        <f t="shared" si="13"/>
        <v>100</v>
      </c>
      <c r="V31" s="714" t="s">
        <v>17</v>
      </c>
      <c r="W31" s="715">
        <f t="shared" si="14"/>
        <v>100</v>
      </c>
      <c r="X31" s="1539"/>
      <c r="Y31" s="3334"/>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4"/>
      <c r="Q32" s="1536" t="str">
        <f t="shared" si="11"/>
        <v>公共部分装修</v>
      </c>
      <c r="R32" s="714" t="s">
        <v>17</v>
      </c>
      <c r="S32" s="715">
        <f t="shared" si="12"/>
        <v>100</v>
      </c>
      <c r="T32" s="714" t="s">
        <v>17</v>
      </c>
      <c r="U32" s="715">
        <f t="shared" si="13"/>
        <v>100</v>
      </c>
      <c r="V32" s="714" t="s">
        <v>17</v>
      </c>
      <c r="W32" s="715">
        <f t="shared" si="14"/>
        <v>100</v>
      </c>
      <c r="X32" s="1539"/>
      <c r="Y32" s="3334"/>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4"/>
      <c r="Q33" s="1536" t="str">
        <f t="shared" si="11"/>
        <v>成新度</v>
      </c>
      <c r="R33" s="714" t="s">
        <v>17</v>
      </c>
      <c r="S33" s="715" t="e">
        <f t="shared" si="12"/>
        <v>#N/A</v>
      </c>
      <c r="T33" s="714" t="s">
        <v>17</v>
      </c>
      <c r="U33" s="715" t="e">
        <f t="shared" si="13"/>
        <v>#N/A</v>
      </c>
      <c r="V33" s="714" t="s">
        <v>17</v>
      </c>
      <c r="W33" s="715" t="e">
        <f t="shared" si="14"/>
        <v>#N/A</v>
      </c>
      <c r="X33" s="1539"/>
      <c r="Y33" s="3334"/>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4"/>
      <c r="Q34" s="1527" t="str">
        <f t="shared" si="11"/>
        <v>物业管理</v>
      </c>
      <c r="R34" s="710" t="s">
        <v>17</v>
      </c>
      <c r="S34" s="711">
        <f t="shared" si="12"/>
        <v>100</v>
      </c>
      <c r="T34" s="710" t="s">
        <v>17</v>
      </c>
      <c r="U34" s="711">
        <f t="shared" si="13"/>
        <v>100</v>
      </c>
      <c r="V34" s="710" t="s">
        <v>17</v>
      </c>
      <c r="W34" s="711">
        <f t="shared" si="14"/>
        <v>100</v>
      </c>
      <c r="X34" s="712"/>
      <c r="Y34" s="3334"/>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4" t="s">
        <v>2386</v>
      </c>
      <c r="Q35" s="1536" t="str">
        <f t="shared" si="11"/>
        <v>市政基础设施</v>
      </c>
      <c r="R35" s="714" t="s">
        <v>17</v>
      </c>
      <c r="S35" s="715">
        <f t="shared" si="12"/>
        <v>100</v>
      </c>
      <c r="T35" s="714" t="s">
        <v>17</v>
      </c>
      <c r="U35" s="715">
        <f t="shared" si="13"/>
        <v>100</v>
      </c>
      <c r="V35" s="714" t="s">
        <v>17</v>
      </c>
      <c r="W35" s="715">
        <f t="shared" si="14"/>
        <v>100</v>
      </c>
      <c r="X35" s="1539"/>
      <c r="Y35" s="3334"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4"/>
      <c r="Q36" s="1536" t="str">
        <f t="shared" si="11"/>
        <v>内部装修</v>
      </c>
      <c r="R36" s="714" t="s">
        <v>17</v>
      </c>
      <c r="S36" s="715">
        <f t="shared" si="12"/>
        <v>100</v>
      </c>
      <c r="T36" s="714" t="s">
        <v>17</v>
      </c>
      <c r="U36" s="715">
        <f t="shared" si="13"/>
        <v>100</v>
      </c>
      <c r="V36" s="714" t="s">
        <v>17</v>
      </c>
      <c r="W36" s="715">
        <f t="shared" si="14"/>
        <v>100</v>
      </c>
      <c r="X36" s="1539"/>
      <c r="Y36" s="3334"/>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4"/>
      <c r="Q37" s="1536" t="str">
        <f t="shared" si="11"/>
        <v>内部装修状况</v>
      </c>
      <c r="R37" s="714" t="s">
        <v>17</v>
      </c>
      <c r="S37" s="715">
        <f t="shared" si="12"/>
        <v>100</v>
      </c>
      <c r="T37" s="714" t="s">
        <v>17</v>
      </c>
      <c r="U37" s="715">
        <f t="shared" si="13"/>
        <v>100</v>
      </c>
      <c r="V37" s="714" t="s">
        <v>17</v>
      </c>
      <c r="W37" s="715">
        <f t="shared" si="14"/>
        <v>100</v>
      </c>
      <c r="X37" s="1539"/>
      <c r="Y37" s="333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4"/>
      <c r="Q38" s="716">
        <f t="shared" si="11"/>
        <v>111</v>
      </c>
      <c r="R38" s="717" t="s">
        <v>17</v>
      </c>
      <c r="S38" s="718">
        <f t="shared" si="12"/>
        <v>100</v>
      </c>
      <c r="T38" s="717" t="s">
        <v>17</v>
      </c>
      <c r="U38" s="718">
        <f t="shared" si="13"/>
        <v>100</v>
      </c>
      <c r="V38" s="717" t="s">
        <v>17</v>
      </c>
      <c r="W38" s="718">
        <f t="shared" si="14"/>
        <v>100</v>
      </c>
      <c r="X38" s="719"/>
      <c r="Y38" s="333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4"/>
      <c r="Q39" s="1536">
        <f t="shared" si="11"/>
        <v>111</v>
      </c>
      <c r="R39" s="714" t="s">
        <v>17</v>
      </c>
      <c r="S39" s="715">
        <f t="shared" si="12"/>
        <v>100</v>
      </c>
      <c r="T39" s="714" t="s">
        <v>17</v>
      </c>
      <c r="U39" s="715">
        <f t="shared" si="13"/>
        <v>100</v>
      </c>
      <c r="V39" s="714" t="s">
        <v>17</v>
      </c>
      <c r="W39" s="715">
        <f t="shared" si="14"/>
        <v>100</v>
      </c>
      <c r="X39" s="1539"/>
      <c r="Y39" s="333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5"/>
      <c r="Q40" s="1536">
        <f t="shared" si="11"/>
        <v>111</v>
      </c>
      <c r="R40" s="714" t="s">
        <v>17</v>
      </c>
      <c r="S40" s="715">
        <f t="shared" si="12"/>
        <v>100</v>
      </c>
      <c r="T40" s="714" t="s">
        <v>17</v>
      </c>
      <c r="U40" s="715">
        <f t="shared" si="13"/>
        <v>100</v>
      </c>
      <c r="V40" s="714" t="s">
        <v>17</v>
      </c>
      <c r="W40" s="715">
        <f t="shared" si="14"/>
        <v>100</v>
      </c>
      <c r="X40" s="1539"/>
      <c r="Y40" s="3335"/>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27" t="str">
        <f>A41</f>
        <v>成交单价（元/平方米）</v>
      </c>
      <c r="Q41" s="3327"/>
      <c r="R41" s="3328">
        <f>E41</f>
        <v>0</v>
      </c>
      <c r="S41" s="3328"/>
      <c r="T41" s="3328">
        <f>G41</f>
        <v>0</v>
      </c>
      <c r="U41" s="3328"/>
      <c r="V41" s="3328">
        <f>I41</f>
        <v>0</v>
      </c>
      <c r="W41" s="3328"/>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10" t="s">
        <v>2467</v>
      </c>
      <c r="D4" s="3311"/>
      <c r="E4" s="3312" t="s">
        <v>2468</v>
      </c>
      <c r="F4" s="3313"/>
      <c r="G4" s="3310" t="s">
        <v>2469</v>
      </c>
      <c r="H4" s="3311"/>
      <c r="I4" s="3310" t="s">
        <v>2470</v>
      </c>
      <c r="J4" s="3311"/>
      <c r="K4" s="567" t="s">
        <v>2471</v>
      </c>
      <c r="L4" s="2944"/>
      <c r="M4" s="2945"/>
      <c r="N4" s="2945"/>
      <c r="O4" s="2945"/>
      <c r="P4" s="3314" t="s">
        <v>2472</v>
      </c>
      <c r="Q4" s="3315"/>
      <c r="R4" s="3297" t="s">
        <v>2468</v>
      </c>
      <c r="S4" s="3298"/>
      <c r="T4" s="3297" t="s">
        <v>2469</v>
      </c>
      <c r="U4" s="3298"/>
      <c r="V4" s="3322" t="s">
        <v>2470</v>
      </c>
      <c r="W4" s="3322"/>
      <c r="X4" s="1539"/>
      <c r="Y4" s="3297" t="s">
        <v>2472</v>
      </c>
      <c r="Z4" s="3298"/>
      <c r="AA4" s="3292" t="s">
        <v>2468</v>
      </c>
      <c r="AB4" s="3293" t="s">
        <v>2469</v>
      </c>
      <c r="AC4" s="3292" t="s">
        <v>2470</v>
      </c>
    </row>
    <row r="5" spans="1:29" ht="15">
      <c r="A5" s="364"/>
      <c r="B5" s="365"/>
      <c r="C5" s="3303" t="s">
        <v>2363</v>
      </c>
      <c r="D5" s="3304"/>
      <c r="E5" s="3301" t="s">
        <v>2364</v>
      </c>
      <c r="F5" s="3302"/>
      <c r="G5" s="3303" t="s">
        <v>2365</v>
      </c>
      <c r="H5" s="3304"/>
      <c r="I5" s="3303" t="s">
        <v>2366</v>
      </c>
      <c r="J5" s="3304"/>
      <c r="K5" s="567"/>
      <c r="L5" s="2944"/>
      <c r="M5" s="2945"/>
      <c r="N5" s="2945"/>
      <c r="O5" s="2945"/>
      <c r="P5" s="3316"/>
      <c r="Q5" s="3317"/>
      <c r="R5" s="3299"/>
      <c r="S5" s="3300"/>
      <c r="T5" s="3299"/>
      <c r="U5" s="3300"/>
      <c r="V5" s="3322"/>
      <c r="W5" s="3322"/>
      <c r="X5" s="1539"/>
      <c r="Y5" s="3299"/>
      <c r="Z5" s="3300"/>
      <c r="AA5" s="3293"/>
      <c r="AB5" s="3293"/>
      <c r="AC5" s="3293"/>
    </row>
    <row r="6" spans="1:29" ht="15.75" thickBot="1">
      <c r="A6" s="366"/>
      <c r="B6" s="367"/>
      <c r="C6" s="3305" t="s">
        <v>2367</v>
      </c>
      <c r="D6" s="3306"/>
      <c r="E6" s="3307" t="s">
        <v>2367</v>
      </c>
      <c r="F6" s="3308"/>
      <c r="G6" s="3305" t="s">
        <v>2367</v>
      </c>
      <c r="H6" s="3306"/>
      <c r="I6" s="3305" t="s">
        <v>2367</v>
      </c>
      <c r="J6" s="3306"/>
      <c r="K6" s="567" t="s">
        <v>2368</v>
      </c>
      <c r="L6" s="2944"/>
      <c r="M6" s="2945"/>
      <c r="N6" s="2945"/>
      <c r="O6" s="2945"/>
      <c r="P6" s="3318"/>
      <c r="Q6" s="3319"/>
      <c r="R6" s="3299"/>
      <c r="S6" s="3300"/>
      <c r="T6" s="3320"/>
      <c r="U6" s="3321"/>
      <c r="V6" s="3322"/>
      <c r="W6" s="3322"/>
      <c r="X6" s="1539"/>
      <c r="Y6" s="3320"/>
      <c r="Z6" s="3321"/>
      <c r="AA6" s="3294"/>
      <c r="AB6" s="3294"/>
      <c r="AC6" s="3294"/>
    </row>
    <row r="7" spans="1:29" s="113" customFormat="1" ht="15.75" thickBot="1">
      <c r="A7" s="368" t="s">
        <v>2369</v>
      </c>
      <c r="B7" s="369"/>
      <c r="C7" s="370">
        <f>'数据-取费表'!B2</f>
        <v>44314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95" t="s">
        <v>2370</v>
      </c>
      <c r="Q7" s="3323"/>
      <c r="R7" s="710" t="s">
        <v>17</v>
      </c>
      <c r="S7" s="711">
        <f t="shared" ref="S7:S14" si="0">F7</f>
        <v>0</v>
      </c>
      <c r="T7" s="710" t="s">
        <v>17</v>
      </c>
      <c r="U7" s="711">
        <f t="shared" ref="U7:U14" si="1">H7</f>
        <v>0</v>
      </c>
      <c r="V7" s="710" t="s">
        <v>17</v>
      </c>
      <c r="W7" s="711">
        <f t="shared" ref="W7:W14" si="2">J7</f>
        <v>0</v>
      </c>
      <c r="X7" s="712"/>
      <c r="Y7" s="3295" t="s">
        <v>2370</v>
      </c>
      <c r="Z7" s="329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95" t="s">
        <v>2373</v>
      </c>
      <c r="Q8" s="3296"/>
      <c r="R8" s="710" t="s">
        <v>17</v>
      </c>
      <c r="S8" s="711">
        <f t="shared" si="0"/>
        <v>0</v>
      </c>
      <c r="T8" s="710" t="s">
        <v>17</v>
      </c>
      <c r="U8" s="711">
        <f t="shared" si="1"/>
        <v>0</v>
      </c>
      <c r="V8" s="710" t="s">
        <v>17</v>
      </c>
      <c r="W8" s="711">
        <f t="shared" si="2"/>
        <v>0</v>
      </c>
      <c r="X8" s="712"/>
      <c r="Y8" s="3295" t="s">
        <v>2373</v>
      </c>
      <c r="Z8" s="329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27" t="s">
        <v>2376</v>
      </c>
      <c r="Q9" s="1527"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27"/>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27"/>
      <c r="Q11" s="1527">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27"/>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27"/>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9" t="s">
        <v>2381</v>
      </c>
      <c r="Q14" s="1536" t="str">
        <f t="shared" si="6"/>
        <v>交通便捷度</v>
      </c>
      <c r="R14" s="714" t="s">
        <v>17</v>
      </c>
      <c r="S14" s="715">
        <f t="shared" si="0"/>
        <v>100</v>
      </c>
      <c r="T14" s="714" t="s">
        <v>17</v>
      </c>
      <c r="U14" s="715">
        <f t="shared" si="1"/>
        <v>100</v>
      </c>
      <c r="V14" s="714" t="s">
        <v>17</v>
      </c>
      <c r="W14" s="715">
        <f t="shared" si="2"/>
        <v>100</v>
      </c>
      <c r="X14" s="1539"/>
      <c r="Y14" s="3329"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0"/>
      <c r="Q15" s="1536"/>
      <c r="R15" s="714"/>
      <c r="S15" s="715"/>
      <c r="T15" s="714"/>
      <c r="U15" s="715"/>
      <c r="V15" s="714"/>
      <c r="W15" s="715"/>
      <c r="X15" s="1539"/>
      <c r="Y15" s="3330"/>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0"/>
      <c r="Q17" s="1536"/>
      <c r="R17" s="714"/>
      <c r="S17" s="715"/>
      <c r="T17" s="714"/>
      <c r="U17" s="715"/>
      <c r="V17" s="714"/>
      <c r="W17" s="715"/>
      <c r="X17" s="1539"/>
      <c r="Y17" s="3330"/>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0"/>
      <c r="Q19" s="1536"/>
      <c r="R19" s="714"/>
      <c r="S19" s="715"/>
      <c r="T19" s="714"/>
      <c r="U19" s="715"/>
      <c r="V19" s="714"/>
      <c r="W19" s="715"/>
      <c r="X19" s="1539"/>
      <c r="Y19" s="3330"/>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0"/>
      <c r="Q21" s="1536"/>
      <c r="R21" s="714"/>
      <c r="S21" s="715"/>
      <c r="T21" s="714"/>
      <c r="U21" s="715"/>
      <c r="V21" s="714"/>
      <c r="W21" s="715"/>
      <c r="X21" s="1539"/>
      <c r="Y21" s="3330"/>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0"/>
      <c r="Q24" s="1536">
        <f t="shared" ref="Q24:Q36"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3"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4"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34"/>
      <c r="Q27" s="716" t="str">
        <f t="shared" si="11"/>
        <v>项目停车位配比</v>
      </c>
      <c r="R27" s="717" t="s">
        <v>17</v>
      </c>
      <c r="S27" s="718">
        <f t="shared" si="12"/>
        <v>100</v>
      </c>
      <c r="T27" s="717" t="s">
        <v>17</v>
      </c>
      <c r="U27" s="718">
        <f t="shared" si="13"/>
        <v>100</v>
      </c>
      <c r="V27" s="717" t="s">
        <v>17</v>
      </c>
      <c r="W27" s="718">
        <f t="shared" si="14"/>
        <v>100</v>
      </c>
      <c r="X27" s="719"/>
      <c r="Y27" s="3334"/>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34"/>
      <c r="Q28" s="1536" t="str">
        <f t="shared" si="11"/>
        <v>公共部分装修</v>
      </c>
      <c r="R28" s="714" t="s">
        <v>17</v>
      </c>
      <c r="S28" s="715">
        <f t="shared" si="12"/>
        <v>100</v>
      </c>
      <c r="T28" s="714" t="s">
        <v>17</v>
      </c>
      <c r="U28" s="715">
        <f t="shared" si="13"/>
        <v>100</v>
      </c>
      <c r="V28" s="714" t="s">
        <v>17</v>
      </c>
      <c r="W28" s="715">
        <f t="shared" si="14"/>
        <v>100</v>
      </c>
      <c r="X28" s="1539"/>
      <c r="Y28" s="3334"/>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34"/>
      <c r="Q29" s="1536" t="str">
        <f t="shared" si="11"/>
        <v>成新率</v>
      </c>
      <c r="R29" s="714" t="s">
        <v>17</v>
      </c>
      <c r="S29" s="715" t="e">
        <f t="shared" si="12"/>
        <v>#N/A</v>
      </c>
      <c r="T29" s="714" t="s">
        <v>17</v>
      </c>
      <c r="U29" s="715" t="e">
        <f t="shared" si="13"/>
        <v>#N/A</v>
      </c>
      <c r="V29" s="714" t="s">
        <v>17</v>
      </c>
      <c r="W29" s="715" t="e">
        <f t="shared" si="14"/>
        <v>#N/A</v>
      </c>
      <c r="X29" s="1539"/>
      <c r="Y29" s="3334"/>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34"/>
      <c r="Q30" s="1536" t="str">
        <f t="shared" si="11"/>
        <v>物业等级</v>
      </c>
      <c r="R30" s="714" t="s">
        <v>17</v>
      </c>
      <c r="S30" s="715">
        <f t="shared" si="12"/>
        <v>100</v>
      </c>
      <c r="T30" s="714" t="s">
        <v>17</v>
      </c>
      <c r="U30" s="715">
        <f t="shared" si="13"/>
        <v>100</v>
      </c>
      <c r="V30" s="714" t="s">
        <v>17</v>
      </c>
      <c r="W30" s="715">
        <f t="shared" si="14"/>
        <v>100</v>
      </c>
      <c r="X30" s="1539"/>
      <c r="Y30" s="3334"/>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34"/>
      <c r="Q31" s="1527" t="str">
        <f t="shared" si="11"/>
        <v>停车位面积</v>
      </c>
      <c r="R31" s="710" t="s">
        <v>17</v>
      </c>
      <c r="S31" s="711" t="e">
        <f t="shared" si="12"/>
        <v>#N/A</v>
      </c>
      <c r="T31" s="710" t="s">
        <v>17</v>
      </c>
      <c r="U31" s="711" t="e">
        <f t="shared" si="13"/>
        <v>#N/A</v>
      </c>
      <c r="V31" s="710" t="s">
        <v>17</v>
      </c>
      <c r="W31" s="711" t="e">
        <f t="shared" si="14"/>
        <v>#N/A</v>
      </c>
      <c r="X31" s="712"/>
      <c r="Y31" s="3334"/>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34" t="s">
        <v>2386</v>
      </c>
      <c r="Q32" s="1536" t="str">
        <f t="shared" si="11"/>
        <v>车位类型</v>
      </c>
      <c r="R32" s="714" t="s">
        <v>17</v>
      </c>
      <c r="S32" s="715">
        <f t="shared" si="12"/>
        <v>100</v>
      </c>
      <c r="T32" s="714" t="s">
        <v>17</v>
      </c>
      <c r="U32" s="715">
        <f t="shared" si="13"/>
        <v>100</v>
      </c>
      <c r="V32" s="714" t="s">
        <v>17</v>
      </c>
      <c r="W32" s="715">
        <f t="shared" si="14"/>
        <v>100</v>
      </c>
      <c r="X32" s="1539"/>
      <c r="Y32" s="3334"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34"/>
      <c r="Q33" s="1536" t="str">
        <f t="shared" si="11"/>
        <v>是否直接入户</v>
      </c>
      <c r="R33" s="714" t="s">
        <v>17</v>
      </c>
      <c r="S33" s="715">
        <f t="shared" si="12"/>
        <v>100</v>
      </c>
      <c r="T33" s="714" t="s">
        <v>17</v>
      </c>
      <c r="U33" s="715">
        <f t="shared" si="13"/>
        <v>100</v>
      </c>
      <c r="V33" s="714" t="s">
        <v>17</v>
      </c>
      <c r="W33" s="715">
        <f t="shared" si="14"/>
        <v>100</v>
      </c>
      <c r="X33" s="1539"/>
      <c r="Y33" s="333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34"/>
      <c r="Q35" s="716">
        <f t="shared" si="11"/>
        <v>111</v>
      </c>
      <c r="R35" s="717" t="s">
        <v>17</v>
      </c>
      <c r="S35" s="718">
        <f t="shared" si="12"/>
        <v>100</v>
      </c>
      <c r="T35" s="717" t="s">
        <v>17</v>
      </c>
      <c r="U35" s="718">
        <f t="shared" si="13"/>
        <v>100</v>
      </c>
      <c r="V35" s="717" t="s">
        <v>17</v>
      </c>
      <c r="W35" s="718">
        <f t="shared" si="14"/>
        <v>100</v>
      </c>
      <c r="X35" s="719"/>
      <c r="Y35" s="333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34"/>
      <c r="Q36" s="1536">
        <f t="shared" si="11"/>
        <v>111</v>
      </c>
      <c r="R36" s="714" t="s">
        <v>17</v>
      </c>
      <c r="S36" s="715">
        <f t="shared" si="12"/>
        <v>100</v>
      </c>
      <c r="T36" s="714" t="s">
        <v>17</v>
      </c>
      <c r="U36" s="715">
        <f t="shared" si="13"/>
        <v>100</v>
      </c>
      <c r="V36" s="714" t="s">
        <v>17</v>
      </c>
      <c r="W36" s="715">
        <f t="shared" si="14"/>
        <v>100</v>
      </c>
      <c r="X36" s="1539"/>
      <c r="Y36" s="3334"/>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27" t="str">
        <f>A37</f>
        <v>成交单价</v>
      </c>
      <c r="Q37" s="3327"/>
      <c r="R37" s="3328">
        <f>E37</f>
        <v>0</v>
      </c>
      <c r="S37" s="3328"/>
      <c r="T37" s="3328">
        <f>G37</f>
        <v>0</v>
      </c>
      <c r="U37" s="3328"/>
      <c r="V37" s="3328">
        <f>I37</f>
        <v>0</v>
      </c>
      <c r="W37" s="3328"/>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24" t="str">
        <f>A39</f>
        <v>估价对象XX用房的比较价值（楼面单价，元/平方米）</v>
      </c>
      <c r="Q39" s="3325"/>
      <c r="R39" s="3354" t="e">
        <f>IF(F1="售价",ROUND(IF(D38="简单平均",AVERAGE(R38:W38),R38*F38+T38*H38+V38*J38),0),ROUND(IF(D38="简单平均",AVERAGE(R38:V38),R38*F38+T38*H38+V38*J38),1))</f>
        <v>#DIV/0!</v>
      </c>
      <c r="S39" s="3354"/>
      <c r="T39" s="3354"/>
      <c r="U39" s="3354"/>
      <c r="V39" s="3354"/>
      <c r="W39" s="335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0" t="s">
        <v>2467</v>
      </c>
      <c r="D4" s="3311"/>
      <c r="E4" s="3312" t="s">
        <v>2468</v>
      </c>
      <c r="F4" s="3313"/>
      <c r="G4" s="3310" t="s">
        <v>2469</v>
      </c>
      <c r="H4" s="3311"/>
      <c r="I4" s="3310" t="s">
        <v>2470</v>
      </c>
      <c r="J4" s="3311"/>
      <c r="K4" s="567" t="s">
        <v>2471</v>
      </c>
      <c r="L4" s="2944"/>
      <c r="M4" s="2945"/>
      <c r="N4" s="2945"/>
      <c r="O4" s="2945"/>
      <c r="P4" s="3314" t="s">
        <v>2472</v>
      </c>
      <c r="Q4" s="3315"/>
      <c r="R4" s="3297" t="s">
        <v>2468</v>
      </c>
      <c r="S4" s="3298"/>
      <c r="T4" s="3297" t="s">
        <v>2469</v>
      </c>
      <c r="U4" s="3298"/>
      <c r="V4" s="3322" t="s">
        <v>2470</v>
      </c>
      <c r="W4" s="3322"/>
      <c r="X4" s="1539"/>
      <c r="Y4" s="3297" t="s">
        <v>2472</v>
      </c>
      <c r="Z4" s="3298"/>
      <c r="AA4" s="3292" t="s">
        <v>2468</v>
      </c>
      <c r="AB4" s="3293" t="s">
        <v>2469</v>
      </c>
      <c r="AC4" s="3292" t="s">
        <v>2470</v>
      </c>
    </row>
    <row r="5" spans="1:29" ht="15">
      <c r="A5" s="364"/>
      <c r="B5" s="365"/>
      <c r="C5" s="3303" t="s">
        <v>2363</v>
      </c>
      <c r="D5" s="3304"/>
      <c r="E5" s="3301" t="s">
        <v>2364</v>
      </c>
      <c r="F5" s="3302"/>
      <c r="G5" s="3303" t="s">
        <v>2365</v>
      </c>
      <c r="H5" s="3304"/>
      <c r="I5" s="3303" t="s">
        <v>2366</v>
      </c>
      <c r="J5" s="3304"/>
      <c r="K5" s="567"/>
      <c r="L5" s="2944"/>
      <c r="M5" s="2945"/>
      <c r="N5" s="2945"/>
      <c r="O5" s="2945"/>
      <c r="P5" s="3316"/>
      <c r="Q5" s="3317"/>
      <c r="R5" s="3299"/>
      <c r="S5" s="3300"/>
      <c r="T5" s="3299"/>
      <c r="U5" s="3300"/>
      <c r="V5" s="3322"/>
      <c r="W5" s="3322"/>
      <c r="X5" s="1539"/>
      <c r="Y5" s="3299"/>
      <c r="Z5" s="3300"/>
      <c r="AA5" s="3293"/>
      <c r="AB5" s="3293"/>
      <c r="AC5" s="3293"/>
    </row>
    <row r="6" spans="1:29" ht="15.75" thickBot="1">
      <c r="A6" s="366"/>
      <c r="B6" s="367"/>
      <c r="C6" s="3305" t="s">
        <v>2367</v>
      </c>
      <c r="D6" s="3306"/>
      <c r="E6" s="3307" t="s">
        <v>2367</v>
      </c>
      <c r="F6" s="3308"/>
      <c r="G6" s="3305" t="s">
        <v>2367</v>
      </c>
      <c r="H6" s="3306"/>
      <c r="I6" s="3305" t="s">
        <v>2367</v>
      </c>
      <c r="J6" s="3306"/>
      <c r="K6" s="567" t="s">
        <v>2368</v>
      </c>
      <c r="L6" s="2944"/>
      <c r="M6" s="2945"/>
      <c r="N6" s="2945"/>
      <c r="O6" s="2945"/>
      <c r="P6" s="3318"/>
      <c r="Q6" s="3319"/>
      <c r="R6" s="3299"/>
      <c r="S6" s="3300"/>
      <c r="T6" s="3320"/>
      <c r="U6" s="3321"/>
      <c r="V6" s="3322"/>
      <c r="W6" s="3322"/>
      <c r="X6" s="1539"/>
      <c r="Y6" s="3320"/>
      <c r="Z6" s="3321"/>
      <c r="AA6" s="3294"/>
      <c r="AB6" s="3294"/>
      <c r="AC6" s="3294"/>
    </row>
    <row r="7" spans="1:29" s="113" customFormat="1" ht="15.75" thickBot="1">
      <c r="A7" s="368" t="s">
        <v>2369</v>
      </c>
      <c r="B7" s="369"/>
      <c r="C7" s="370">
        <f>'数据-取费表'!B2</f>
        <v>44314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95" t="s">
        <v>2370</v>
      </c>
      <c r="Q7" s="3323"/>
      <c r="R7" s="710" t="s">
        <v>17</v>
      </c>
      <c r="S7" s="711">
        <f t="shared" ref="S7:S14" si="0">F7</f>
        <v>0</v>
      </c>
      <c r="T7" s="710" t="s">
        <v>17</v>
      </c>
      <c r="U7" s="711">
        <f t="shared" ref="U7:U14" si="1">H7</f>
        <v>0</v>
      </c>
      <c r="V7" s="710" t="s">
        <v>17</v>
      </c>
      <c r="W7" s="711">
        <f t="shared" ref="W7:W14" si="2">J7</f>
        <v>0</v>
      </c>
      <c r="X7" s="712"/>
      <c r="Y7" s="3295" t="s">
        <v>2370</v>
      </c>
      <c r="Z7" s="329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95" t="s">
        <v>2373</v>
      </c>
      <c r="Q8" s="3296"/>
      <c r="R8" s="710" t="s">
        <v>17</v>
      </c>
      <c r="S8" s="711">
        <f t="shared" si="0"/>
        <v>0</v>
      </c>
      <c r="T8" s="710" t="s">
        <v>17</v>
      </c>
      <c r="U8" s="711">
        <f t="shared" si="1"/>
        <v>0</v>
      </c>
      <c r="V8" s="710" t="s">
        <v>17</v>
      </c>
      <c r="W8" s="711">
        <f t="shared" si="2"/>
        <v>0</v>
      </c>
      <c r="X8" s="712"/>
      <c r="Y8" s="3295" t="s">
        <v>2373</v>
      </c>
      <c r="Z8" s="329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27" t="s">
        <v>2376</v>
      </c>
      <c r="Q9" s="1527"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27"/>
      <c r="Q10" s="1527"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27"/>
      <c r="Q11" s="1527">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27"/>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27"/>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9" t="s">
        <v>2381</v>
      </c>
      <c r="Q14" s="1536" t="str">
        <f t="shared" si="6"/>
        <v>交通便捷度</v>
      </c>
      <c r="R14" s="714" t="s">
        <v>17</v>
      </c>
      <c r="S14" s="715">
        <f t="shared" si="0"/>
        <v>100</v>
      </c>
      <c r="T14" s="714" t="s">
        <v>17</v>
      </c>
      <c r="U14" s="715">
        <f t="shared" si="1"/>
        <v>100</v>
      </c>
      <c r="V14" s="714" t="s">
        <v>17</v>
      </c>
      <c r="W14" s="715">
        <f t="shared" si="2"/>
        <v>100</v>
      </c>
      <c r="X14" s="1539"/>
      <c r="Y14" s="332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0"/>
      <c r="Q15" s="1536"/>
      <c r="R15" s="714"/>
      <c r="S15" s="715"/>
      <c r="T15" s="714"/>
      <c r="U15" s="715"/>
      <c r="V15" s="714"/>
      <c r="W15" s="715"/>
      <c r="X15" s="1539"/>
      <c r="Y15" s="3330"/>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0"/>
      <c r="Q17" s="1536"/>
      <c r="R17" s="714"/>
      <c r="S17" s="715"/>
      <c r="T17" s="714"/>
      <c r="U17" s="715"/>
      <c r="V17" s="714"/>
      <c r="W17" s="715"/>
      <c r="X17" s="1539"/>
      <c r="Y17" s="3330"/>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0"/>
      <c r="Q19" s="1536"/>
      <c r="R19" s="714"/>
      <c r="S19" s="715"/>
      <c r="T19" s="714"/>
      <c r="U19" s="715"/>
      <c r="V19" s="714"/>
      <c r="W19" s="715"/>
      <c r="X19" s="1539"/>
      <c r="Y19" s="3330"/>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0"/>
      <c r="Q21" s="1536"/>
      <c r="R21" s="714"/>
      <c r="S21" s="715"/>
      <c r="T21" s="714"/>
      <c r="U21" s="715"/>
      <c r="V21" s="714"/>
      <c r="W21" s="715"/>
      <c r="X21" s="1539"/>
      <c r="Y21" s="333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0"/>
      <c r="Q24" s="1536">
        <f t="shared" ref="Q24:Q34"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3"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4"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34"/>
      <c r="Q27" s="716" t="str">
        <f t="shared" si="11"/>
        <v>成新率</v>
      </c>
      <c r="R27" s="717" t="s">
        <v>17</v>
      </c>
      <c r="S27" s="718" t="e">
        <f t="shared" si="12"/>
        <v>#N/A</v>
      </c>
      <c r="T27" s="717" t="s">
        <v>17</v>
      </c>
      <c r="U27" s="718" t="e">
        <f t="shared" si="13"/>
        <v>#N/A</v>
      </c>
      <c r="V27" s="717" t="s">
        <v>17</v>
      </c>
      <c r="W27" s="718" t="e">
        <f t="shared" si="14"/>
        <v>#N/A</v>
      </c>
      <c r="X27" s="719"/>
      <c r="Y27" s="3334"/>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34"/>
      <c r="Q28" s="1536" t="str">
        <f t="shared" si="11"/>
        <v>物业等级</v>
      </c>
      <c r="R28" s="714" t="s">
        <v>17</v>
      </c>
      <c r="S28" s="715">
        <f t="shared" si="12"/>
        <v>100</v>
      </c>
      <c r="T28" s="714" t="s">
        <v>17</v>
      </c>
      <c r="U28" s="715">
        <f t="shared" si="13"/>
        <v>100</v>
      </c>
      <c r="V28" s="714" t="s">
        <v>17</v>
      </c>
      <c r="W28" s="715">
        <f t="shared" si="14"/>
        <v>100</v>
      </c>
      <c r="X28" s="1539"/>
      <c r="Y28" s="3334"/>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34"/>
      <c r="Q29" s="1536" t="str">
        <f t="shared" si="11"/>
        <v>有无电梯</v>
      </c>
      <c r="R29" s="714" t="s">
        <v>17</v>
      </c>
      <c r="S29" s="715">
        <f t="shared" si="12"/>
        <v>100</v>
      </c>
      <c r="T29" s="714" t="s">
        <v>17</v>
      </c>
      <c r="U29" s="715">
        <f t="shared" si="13"/>
        <v>100</v>
      </c>
      <c r="V29" s="714" t="s">
        <v>17</v>
      </c>
      <c r="W29" s="715">
        <f t="shared" si="14"/>
        <v>100</v>
      </c>
      <c r="X29" s="1539"/>
      <c r="Y29" s="3334"/>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34"/>
      <c r="Q30" s="1536" t="str">
        <f t="shared" si="11"/>
        <v>建筑面积</v>
      </c>
      <c r="R30" s="714" t="s">
        <v>17</v>
      </c>
      <c r="S30" s="715" t="e">
        <f t="shared" si="12"/>
        <v>#N/A</v>
      </c>
      <c r="T30" s="714" t="s">
        <v>17</v>
      </c>
      <c r="U30" s="715" t="e">
        <f t="shared" si="13"/>
        <v>#N/A</v>
      </c>
      <c r="V30" s="714" t="s">
        <v>17</v>
      </c>
      <c r="W30" s="715" t="e">
        <f t="shared" si="14"/>
        <v>#N/A</v>
      </c>
      <c r="X30" s="1539"/>
      <c r="Y30" s="3334"/>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34"/>
      <c r="Q31" s="1527" t="str">
        <f t="shared" si="11"/>
        <v>是否封闭</v>
      </c>
      <c r="R31" s="710" t="s">
        <v>17</v>
      </c>
      <c r="S31" s="711">
        <f t="shared" si="12"/>
        <v>100</v>
      </c>
      <c r="T31" s="710" t="s">
        <v>17</v>
      </c>
      <c r="U31" s="711">
        <f t="shared" si="13"/>
        <v>100</v>
      </c>
      <c r="V31" s="710" t="s">
        <v>17</v>
      </c>
      <c r="W31" s="711">
        <f t="shared" si="14"/>
        <v>100</v>
      </c>
      <c r="X31" s="712"/>
      <c r="Y31" s="333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34" t="s">
        <v>2386</v>
      </c>
      <c r="Q32" s="1536">
        <f t="shared" si="11"/>
        <v>111</v>
      </c>
      <c r="R32" s="714" t="s">
        <v>17</v>
      </c>
      <c r="S32" s="715">
        <f t="shared" si="12"/>
        <v>100</v>
      </c>
      <c r="T32" s="714" t="s">
        <v>17</v>
      </c>
      <c r="U32" s="715">
        <f t="shared" si="13"/>
        <v>100</v>
      </c>
      <c r="V32" s="714" t="s">
        <v>17</v>
      </c>
      <c r="W32" s="715">
        <f t="shared" si="14"/>
        <v>100</v>
      </c>
      <c r="X32" s="1539"/>
      <c r="Y32" s="3334"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34"/>
      <c r="Q33" s="1536">
        <f t="shared" si="11"/>
        <v>111</v>
      </c>
      <c r="R33" s="714" t="s">
        <v>17</v>
      </c>
      <c r="S33" s="715">
        <f t="shared" si="12"/>
        <v>100</v>
      </c>
      <c r="T33" s="714" t="s">
        <v>17</v>
      </c>
      <c r="U33" s="715">
        <f t="shared" si="13"/>
        <v>100</v>
      </c>
      <c r="V33" s="714" t="s">
        <v>17</v>
      </c>
      <c r="W33" s="715">
        <f t="shared" si="14"/>
        <v>100</v>
      </c>
      <c r="X33" s="1539"/>
      <c r="Y33" s="333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27" t="str">
        <f>A35</f>
        <v>成交单价（元/平方米）</v>
      </c>
      <c r="Q35" s="3327"/>
      <c r="R35" s="3328">
        <f>E35</f>
        <v>0</v>
      </c>
      <c r="S35" s="3328"/>
      <c r="T35" s="3328">
        <f>G35</f>
        <v>0</v>
      </c>
      <c r="U35" s="3328"/>
      <c r="V35" s="3328">
        <f>I35</f>
        <v>0</v>
      </c>
      <c r="W35" s="3328"/>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24" t="str">
        <f>A37</f>
        <v>估价对象XX用房的比较价值（楼面单价，元/平方米）</v>
      </c>
      <c r="Q37" s="3325"/>
      <c r="R37" s="3354" t="e">
        <f>IF(F1="售价",ROUND(IF(D36="简单平均",AVERAGE(R36:W36),R36*F36+T36*H36+V36*J36),0),ROUND(IF(D36="简单平均",AVERAGE(R36:V36),R36*F36+T36*H36+V36*J36),1))</f>
        <v>#DIV/0!</v>
      </c>
      <c r="S37" s="3354"/>
      <c r="T37" s="3354"/>
      <c r="U37" s="3354"/>
      <c r="V37" s="3354"/>
      <c r="W37" s="335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C8" zoomScaleNormal="60" zoomScaleSheetLayoutView="100" workbookViewId="0">
      <selection activeCell="G13" sqref="G13:J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12.12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127050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9636</v>
      </c>
      <c r="C3" s="209" t="s">
        <v>2567</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10" t="s">
        <v>2467</v>
      </c>
      <c r="D4" s="3311"/>
      <c r="E4" s="3312" t="s">
        <v>2468</v>
      </c>
      <c r="F4" s="3313"/>
      <c r="G4" s="3310" t="s">
        <v>2469</v>
      </c>
      <c r="H4" s="3311"/>
      <c r="I4" s="3310" t="s">
        <v>2470</v>
      </c>
      <c r="J4" s="3311"/>
      <c r="K4" s="567" t="s">
        <v>2471</v>
      </c>
      <c r="L4" s="2944"/>
      <c r="M4" s="2945"/>
      <c r="N4" s="2945"/>
      <c r="O4" s="2945"/>
      <c r="P4" s="3314" t="s">
        <v>2472</v>
      </c>
      <c r="Q4" s="3315"/>
      <c r="R4" s="3297" t="s">
        <v>2468</v>
      </c>
      <c r="S4" s="3298"/>
      <c r="T4" s="3297" t="s">
        <v>2469</v>
      </c>
      <c r="U4" s="3298"/>
      <c r="V4" s="3322" t="s">
        <v>2470</v>
      </c>
      <c r="W4" s="3322"/>
      <c r="X4" s="1539"/>
      <c r="Y4" s="3297" t="s">
        <v>2472</v>
      </c>
      <c r="Z4" s="3298"/>
      <c r="AA4" s="3292" t="s">
        <v>2468</v>
      </c>
      <c r="AB4" s="3293" t="s">
        <v>2469</v>
      </c>
      <c r="AC4" s="3292" t="s">
        <v>2470</v>
      </c>
    </row>
    <row r="5" spans="1:30" ht="15">
      <c r="A5" s="364"/>
      <c r="B5" s="365"/>
      <c r="C5" s="3303" t="s">
        <v>2363</v>
      </c>
      <c r="D5" s="3304"/>
      <c r="E5" s="3301" t="str">
        <f>Sheet1!A5</f>
        <v>北京市昌平区朱辛庄新区(二期)土地一级开发项目ZXZ-010地块F3其他类多功能用地</v>
      </c>
      <c r="F5" s="3302"/>
      <c r="G5" s="3303" t="str">
        <f>Sheet1!A14</f>
        <v>北京市石景山区中关村科技园区石景山园北I区1605-636地块B23研发设计用地</v>
      </c>
      <c r="H5" s="3304"/>
      <c r="I5" s="3303" t="str">
        <f>Sheet1!A15</f>
        <v>北京市石景山区中关村科技园区石景山园北I区1605-651地块B23研发设计用地</v>
      </c>
      <c r="J5" s="3304"/>
      <c r="K5" s="567"/>
      <c r="L5" s="2944"/>
      <c r="M5" s="2945"/>
      <c r="N5" s="2945"/>
      <c r="O5" s="2945"/>
      <c r="P5" s="3316"/>
      <c r="Q5" s="3317"/>
      <c r="R5" s="3299"/>
      <c r="S5" s="3300"/>
      <c r="T5" s="3299"/>
      <c r="U5" s="3300"/>
      <c r="V5" s="3322"/>
      <c r="W5" s="3322"/>
      <c r="X5" s="1539"/>
      <c r="Y5" s="3299"/>
      <c r="Z5" s="3300"/>
      <c r="AA5" s="3293"/>
      <c r="AB5" s="3293"/>
      <c r="AC5" s="3293"/>
    </row>
    <row r="6" spans="1:30" ht="15.75" thickBot="1">
      <c r="A6" s="366"/>
      <c r="B6" s="367"/>
      <c r="C6" s="3305" t="s">
        <v>2367</v>
      </c>
      <c r="D6" s="3306"/>
      <c r="E6" s="3307" t="s">
        <v>2367</v>
      </c>
      <c r="F6" s="3308"/>
      <c r="G6" s="3305" t="s">
        <v>2367</v>
      </c>
      <c r="H6" s="3306"/>
      <c r="I6" s="3305" t="s">
        <v>2367</v>
      </c>
      <c r="J6" s="3306"/>
      <c r="K6" s="567" t="s">
        <v>2368</v>
      </c>
      <c r="L6" s="2944"/>
      <c r="M6" s="2945"/>
      <c r="N6" s="2945"/>
      <c r="O6" s="2945"/>
      <c r="P6" s="3318"/>
      <c r="Q6" s="3319"/>
      <c r="R6" s="3299"/>
      <c r="S6" s="3300"/>
      <c r="T6" s="3320"/>
      <c r="U6" s="3321"/>
      <c r="V6" s="3322"/>
      <c r="W6" s="3322"/>
      <c r="X6" s="1539"/>
      <c r="Y6" s="3320"/>
      <c r="Z6" s="3321"/>
      <c r="AA6" s="3294"/>
      <c r="AB6" s="3294"/>
      <c r="AC6" s="3294"/>
    </row>
    <row r="7" spans="1:30" s="113" customFormat="1" ht="15.75" thickBot="1">
      <c r="A7" s="368" t="s">
        <v>2369</v>
      </c>
      <c r="B7" s="369"/>
      <c r="C7" s="370">
        <f>'数据-取费表'!B2</f>
        <v>44314</v>
      </c>
      <c r="D7" s="371">
        <v>100</v>
      </c>
      <c r="E7" s="372" t="str">
        <f>Sheet1!J5</f>
        <v>2020-04-02</v>
      </c>
      <c r="F7" s="373">
        <f>SUMIF(70:70,YEAR(E7)&amp;"-"&amp;INT((MONTH(E7)+2)/3),71:71)</f>
        <v>98</v>
      </c>
      <c r="G7" s="2160" t="str">
        <f>Sheet1!J14</f>
        <v>2018-01-09</v>
      </c>
      <c r="H7" s="371">
        <f>SUMIF(70:70,YEAR(G7)&amp;"-"&amp;INT((MONTH(G7)+2)/3),71:71)</f>
        <v>93.5</v>
      </c>
      <c r="I7" s="2160" t="str">
        <f>Sheet1!J15</f>
        <v>2018-01-09</v>
      </c>
      <c r="J7" s="371">
        <f>SUMIF(70:70,YEAR(I7)&amp;"-"&amp;INT((MONTH(I7)+2)/3),71:71)</f>
        <v>93.5</v>
      </c>
      <c r="K7" s="568"/>
      <c r="L7" s="2946"/>
      <c r="M7" s="2947"/>
      <c r="N7" s="2947"/>
      <c r="O7" s="2947"/>
      <c r="P7" s="3295" t="s">
        <v>2370</v>
      </c>
      <c r="Q7" s="3323"/>
      <c r="R7" s="710" t="s">
        <v>17</v>
      </c>
      <c r="S7" s="711">
        <f t="shared" ref="S7:S15" si="0">F7</f>
        <v>98</v>
      </c>
      <c r="T7" s="710" t="s">
        <v>17</v>
      </c>
      <c r="U7" s="711">
        <f t="shared" ref="U7:U15" si="1">H7</f>
        <v>93.5</v>
      </c>
      <c r="V7" s="710" t="s">
        <v>17</v>
      </c>
      <c r="W7" s="711">
        <f t="shared" ref="W7:W15" si="2">J7</f>
        <v>93.5</v>
      </c>
      <c r="X7" s="712"/>
      <c r="Y7" s="3295" t="s">
        <v>2370</v>
      </c>
      <c r="Z7" s="3296"/>
      <c r="AA7" s="713">
        <f>D7/F7</f>
        <v>1.0204081632653061</v>
      </c>
      <c r="AB7" s="713">
        <f>D7/H7</f>
        <v>1.0695187165775402</v>
      </c>
      <c r="AC7" s="713">
        <f>D7/J7</f>
        <v>1.0695187165775402</v>
      </c>
    </row>
    <row r="8" spans="1:30" s="113" customFormat="1" ht="15.75" thickBot="1">
      <c r="A8" s="368" t="s">
        <v>2371</v>
      </c>
      <c r="B8" s="369"/>
      <c r="C8" s="374" t="s">
        <v>3266</v>
      </c>
      <c r="D8" s="371">
        <v>100</v>
      </c>
      <c r="E8" s="374" t="s">
        <v>3266</v>
      </c>
      <c r="F8" s="373">
        <f>SUMIF(73:73,E8,74:74)-SUMIF(73:73,C8,74:74)+100</f>
        <v>100</v>
      </c>
      <c r="G8" s="374" t="s">
        <v>3266</v>
      </c>
      <c r="H8" s="371">
        <f>SUMIF(73:73,G8,74:74)-SUMIF(73:73,C8,74:74)+100</f>
        <v>100</v>
      </c>
      <c r="I8" s="374" t="s">
        <v>3266</v>
      </c>
      <c r="J8" s="371">
        <f>SUMIF(73:73,I8,74:74)-SUMIF(73:73,C8,74:74)+100</f>
        <v>100</v>
      </c>
      <c r="K8" s="568"/>
      <c r="L8" s="2946"/>
      <c r="M8" s="2947"/>
      <c r="N8" s="2947"/>
      <c r="O8" s="2947"/>
      <c r="P8" s="3295" t="s">
        <v>2373</v>
      </c>
      <c r="Q8" s="3296"/>
      <c r="R8" s="710" t="s">
        <v>17</v>
      </c>
      <c r="S8" s="711">
        <f t="shared" si="0"/>
        <v>100</v>
      </c>
      <c r="T8" s="710" t="s">
        <v>17</v>
      </c>
      <c r="U8" s="711">
        <f t="shared" si="1"/>
        <v>100</v>
      </c>
      <c r="V8" s="710" t="s">
        <v>17</v>
      </c>
      <c r="W8" s="711">
        <f t="shared" si="2"/>
        <v>100</v>
      </c>
      <c r="X8" s="712"/>
      <c r="Y8" s="3295" t="s">
        <v>2373</v>
      </c>
      <c r="Z8" s="3296"/>
      <c r="AA8" s="713">
        <f t="shared" ref="AA8:AA45" si="3">D8/F8</f>
        <v>1</v>
      </c>
      <c r="AB8" s="713">
        <f t="shared" ref="AB8:AB45" si="4">D8/H8</f>
        <v>1</v>
      </c>
      <c r="AC8" s="713">
        <f t="shared" ref="AC8:AC45" si="5">D8/J8</f>
        <v>1</v>
      </c>
    </row>
    <row r="9" spans="1:30" s="113" customFormat="1" ht="15">
      <c r="A9" s="375" t="s">
        <v>2374</v>
      </c>
      <c r="B9" s="67" t="s">
        <v>2375</v>
      </c>
      <c r="C9" s="2163" t="s">
        <v>3269</v>
      </c>
      <c r="D9" s="131">
        <v>100</v>
      </c>
      <c r="E9" s="2163" t="s">
        <v>3267</v>
      </c>
      <c r="F9" s="131">
        <f>SUMIF(75:75,E9,76:76)-SUMIF(75:75,C9,76:76)+100</f>
        <v>120</v>
      </c>
      <c r="G9" s="2163" t="s">
        <v>3269</v>
      </c>
      <c r="H9" s="131">
        <f>SUMIF(75:75,G9,76:76)-SUMIF(75:75,C9,76:76)+100</f>
        <v>100</v>
      </c>
      <c r="I9" s="2163" t="s">
        <v>3269</v>
      </c>
      <c r="J9" s="131">
        <f>SUMIF(75:75,I9,76:76)-SUMIF(75:75,C9,76:76)+100</f>
        <v>100</v>
      </c>
      <c r="K9" s="568"/>
      <c r="L9" s="2946"/>
      <c r="M9" s="2947"/>
      <c r="N9" s="2947"/>
      <c r="O9" s="3001"/>
      <c r="P9" s="3327" t="s">
        <v>2376</v>
      </c>
      <c r="Q9" s="1527" t="str">
        <f t="shared" ref="Q9:Q15" si="6">B9</f>
        <v>用途</v>
      </c>
      <c r="R9" s="710" t="s">
        <v>17</v>
      </c>
      <c r="S9" s="711">
        <f t="shared" si="0"/>
        <v>120</v>
      </c>
      <c r="T9" s="710" t="s">
        <v>17</v>
      </c>
      <c r="U9" s="711">
        <f t="shared" si="1"/>
        <v>100</v>
      </c>
      <c r="V9" s="710" t="s">
        <v>17</v>
      </c>
      <c r="W9" s="711">
        <f t="shared" si="2"/>
        <v>100</v>
      </c>
      <c r="X9" s="712"/>
      <c r="Y9" s="3239" t="s">
        <v>2377</v>
      </c>
      <c r="Z9" s="55" t="str">
        <f t="shared" ref="Z9:Z15" si="7">Q9</f>
        <v>用途</v>
      </c>
      <c r="AA9" s="713">
        <f t="shared" si="3"/>
        <v>0.83333333333333337</v>
      </c>
      <c r="AB9" s="713">
        <f t="shared" si="4"/>
        <v>1</v>
      </c>
      <c r="AC9" s="713">
        <f t="shared" si="5"/>
        <v>1</v>
      </c>
    </row>
    <row r="10" spans="1:30" s="386" customFormat="1" ht="27">
      <c r="A10" s="380"/>
      <c r="B10" s="381" t="s">
        <v>2378</v>
      </c>
      <c r="C10" s="391">
        <f>项目基本情况!F15</f>
        <v>44.31</v>
      </c>
      <c r="D10" s="132">
        <v>100</v>
      </c>
      <c r="E10" s="424" t="s">
        <v>3273</v>
      </c>
      <c r="F10" s="132">
        <f>ROUND(100/'数据-取费表'!G16,0)</f>
        <v>103</v>
      </c>
      <c r="G10" s="422" t="s">
        <v>3299</v>
      </c>
      <c r="H10" s="132">
        <f>ROUND(100/'数据-取费表'!G16,0)</f>
        <v>103</v>
      </c>
      <c r="I10" s="422" t="s">
        <v>3299</v>
      </c>
      <c r="J10" s="132">
        <f>ROUND(100/'数据-取费表'!G16,0)</f>
        <v>103</v>
      </c>
      <c r="K10" s="628"/>
      <c r="L10" s="2948"/>
      <c r="M10" s="2949"/>
      <c r="N10" s="2949"/>
      <c r="O10" s="3002"/>
      <c r="P10" s="3327"/>
      <c r="Q10" s="1527" t="str">
        <f t="shared" si="6"/>
        <v>土地使用年限（年）</v>
      </c>
      <c r="R10" s="710" t="s">
        <v>17</v>
      </c>
      <c r="S10" s="711">
        <f t="shared" si="0"/>
        <v>103</v>
      </c>
      <c r="T10" s="710" t="s">
        <v>17</v>
      </c>
      <c r="U10" s="711">
        <f t="shared" si="1"/>
        <v>103</v>
      </c>
      <c r="V10" s="710" t="s">
        <v>17</v>
      </c>
      <c r="W10" s="711">
        <f t="shared" si="2"/>
        <v>103</v>
      </c>
      <c r="X10" s="712"/>
      <c r="Y10" s="3239"/>
      <c r="Z10" s="55" t="str">
        <f t="shared" si="7"/>
        <v>土地使用年限（年）</v>
      </c>
      <c r="AA10" s="713">
        <f t="shared" si="3"/>
        <v>0.970873786407767</v>
      </c>
      <c r="AB10" s="713">
        <f t="shared" si="4"/>
        <v>0.970873786407767</v>
      </c>
      <c r="AC10" s="713">
        <f t="shared" si="5"/>
        <v>0.970873786407767</v>
      </c>
    </row>
    <row r="11" spans="1:30" ht="15">
      <c r="A11" s="387"/>
      <c r="B11" s="381" t="s">
        <v>2379</v>
      </c>
      <c r="C11" s="388">
        <f>'数据-汇总表'!I4</f>
        <v>2.2000000000000002</v>
      </c>
      <c r="D11" s="132">
        <v>100</v>
      </c>
      <c r="E11" s="388">
        <v>3</v>
      </c>
      <c r="F11" s="132">
        <f>LOOKUP(E11,80:80,81:81)-LOOKUP(C11,80:80,81:81)+100</f>
        <v>98</v>
      </c>
      <c r="G11" s="389">
        <v>1.5</v>
      </c>
      <c r="H11" s="132">
        <f>LOOKUP(G11,80:80,81:81)-LOOKUP(C11,80:80,81:81)+100</f>
        <v>102</v>
      </c>
      <c r="I11" s="388">
        <v>2.1</v>
      </c>
      <c r="J11" s="132">
        <f>LOOKUP(I11,80:80,81:81)-LOOKUP(C11,80:80,81:81)+100</f>
        <v>100</v>
      </c>
      <c r="K11" s="629">
        <v>2</v>
      </c>
      <c r="L11" s="2950"/>
      <c r="M11" s="2945"/>
      <c r="N11" s="2945"/>
      <c r="O11" s="3003"/>
      <c r="P11" s="3327"/>
      <c r="Q11" s="1527" t="str">
        <f t="shared" si="6"/>
        <v>容积率</v>
      </c>
      <c r="R11" s="710" t="s">
        <v>17</v>
      </c>
      <c r="S11" s="711">
        <f t="shared" si="0"/>
        <v>98</v>
      </c>
      <c r="T11" s="710" t="s">
        <v>17</v>
      </c>
      <c r="U11" s="711">
        <f t="shared" si="1"/>
        <v>102</v>
      </c>
      <c r="V11" s="710" t="s">
        <v>17</v>
      </c>
      <c r="W11" s="711">
        <f t="shared" si="2"/>
        <v>100</v>
      </c>
      <c r="X11" s="712"/>
      <c r="Y11" s="3239"/>
      <c r="Z11" s="55" t="str">
        <f t="shared" si="7"/>
        <v>容积率</v>
      </c>
      <c r="AA11" s="713">
        <f t="shared" si="3"/>
        <v>1.0204081632653061</v>
      </c>
      <c r="AB11" s="713">
        <f t="shared" si="4"/>
        <v>0.98039215686274506</v>
      </c>
      <c r="AC11" s="713">
        <f t="shared" si="5"/>
        <v>1</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27"/>
      <c r="Q12" s="1527"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27"/>
      <c r="Q13" s="1527">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27"/>
      <c r="Q14" s="1527">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99.75" hidden="1">
      <c r="A15" s="399" t="s">
        <v>2380</v>
      </c>
      <c r="B15" s="65" t="s">
        <v>1943</v>
      </c>
      <c r="C15" s="2082" t="str">
        <f>估价对象房地状况!C15</f>
        <v>估价对象周边居住用地比例、居住小区规模和社区发展完善程度，综合评价居住社区成熟度一般</v>
      </c>
      <c r="D15" s="400">
        <v>100</v>
      </c>
      <c r="E15" s="416"/>
      <c r="F15" s="400">
        <f>SUMIF(88:88,E16,89:89)-SUMIF(88:88,C16,89:89)+100</f>
        <v>100</v>
      </c>
      <c r="G15" s="418"/>
      <c r="H15" s="400">
        <f>SUMIF(88:88,G16,89:89)-SUMIF(88:88,C16,89:89)+100</f>
        <v>100</v>
      </c>
      <c r="I15" s="418"/>
      <c r="J15" s="400">
        <f>SUMIF(88:88,I16,89:89)-SUMIF(88:88,C16,89:89)+100</f>
        <v>100</v>
      </c>
      <c r="K15" s="629"/>
      <c r="L15" s="2951"/>
      <c r="M15" s="2945"/>
      <c r="N15" s="2945"/>
      <c r="O15" s="3003"/>
      <c r="P15" s="3329" t="s">
        <v>2381</v>
      </c>
      <c r="Q15" s="1536" t="str">
        <f t="shared" si="6"/>
        <v>居住社区成熟度</v>
      </c>
      <c r="R15" s="714" t="s">
        <v>17</v>
      </c>
      <c r="S15" s="715">
        <f t="shared" si="0"/>
        <v>100</v>
      </c>
      <c r="T15" s="714" t="s">
        <v>17</v>
      </c>
      <c r="U15" s="715">
        <f t="shared" si="1"/>
        <v>100</v>
      </c>
      <c r="V15" s="714" t="s">
        <v>17</v>
      </c>
      <c r="W15" s="715">
        <f t="shared" si="2"/>
        <v>100</v>
      </c>
      <c r="X15" s="1539"/>
      <c r="Y15" s="3329" t="s">
        <v>2381</v>
      </c>
      <c r="Z15" s="1540" t="str">
        <f t="shared" si="7"/>
        <v>居住社区成熟度</v>
      </c>
      <c r="AA15" s="1537">
        <f t="shared" si="3"/>
        <v>1</v>
      </c>
      <c r="AB15" s="1537">
        <f t="shared" si="4"/>
        <v>1</v>
      </c>
      <c r="AC15" s="1537">
        <f t="shared" si="5"/>
        <v>1</v>
      </c>
    </row>
    <row r="16" spans="1:30" ht="15" hidden="1">
      <c r="A16" s="387"/>
      <c r="B16" s="405"/>
      <c r="C16" s="406"/>
      <c r="D16" s="407"/>
      <c r="E16" s="2084"/>
      <c r="F16" s="407"/>
      <c r="G16" s="2083"/>
      <c r="H16" s="409"/>
      <c r="I16" s="2083"/>
      <c r="J16" s="407"/>
      <c r="K16" s="628"/>
      <c r="L16" s="2951"/>
      <c r="M16" s="2945"/>
      <c r="N16" s="2945"/>
      <c r="O16" s="3003"/>
      <c r="P16" s="3330"/>
      <c r="Q16" s="1536"/>
      <c r="R16" s="714"/>
      <c r="S16" s="715"/>
      <c r="T16" s="714"/>
      <c r="U16" s="715"/>
      <c r="V16" s="714"/>
      <c r="W16" s="715"/>
      <c r="X16" s="1539"/>
      <c r="Y16" s="3330"/>
      <c r="Z16" s="1540"/>
      <c r="AA16" s="1537">
        <v>1</v>
      </c>
      <c r="AB16" s="1537">
        <v>1</v>
      </c>
      <c r="AC16" s="1537">
        <v>1</v>
      </c>
    </row>
    <row r="17" spans="1:29" ht="71.25" hidden="1">
      <c r="A17" s="387"/>
      <c r="B17" s="410" t="s">
        <v>2474</v>
      </c>
      <c r="C17" s="2141" t="str">
        <f>估价对象房地状况!C16</f>
        <v>估价对象位于XX商圈，周边商业氛围成熟，人流量大，商业繁华度好</v>
      </c>
      <c r="D17" s="409">
        <v>100</v>
      </c>
      <c r="E17" s="411"/>
      <c r="F17" s="409">
        <f>SUMIF(90:90,E18,91:91)-SUMIF(90:90,C18,91:91)+100</f>
        <v>100</v>
      </c>
      <c r="G17" s="413"/>
      <c r="H17" s="414">
        <f>SUMIF(90:90,G18,91:91)-SUMIF(90:90,C18,91:91)+100</f>
        <v>100</v>
      </c>
      <c r="I17" s="413"/>
      <c r="J17" s="414">
        <f>SUMIF(90:90,I18,91:91)-SUMIF(90:90,C18,91:91)+100</f>
        <v>100</v>
      </c>
      <c r="K17" s="629"/>
      <c r="L17" s="2951"/>
      <c r="M17" s="2945"/>
      <c r="N17" s="2945"/>
      <c r="O17" s="3003"/>
      <c r="P17" s="3330"/>
      <c r="Q17" s="1536" t="str">
        <f>B17</f>
        <v>商业繁华度</v>
      </c>
      <c r="R17" s="714" t="s">
        <v>17</v>
      </c>
      <c r="S17" s="715">
        <f>F17</f>
        <v>100</v>
      </c>
      <c r="T17" s="714" t="s">
        <v>17</v>
      </c>
      <c r="U17" s="715">
        <f>H17</f>
        <v>100</v>
      </c>
      <c r="V17" s="714" t="s">
        <v>17</v>
      </c>
      <c r="W17" s="715">
        <f>J17</f>
        <v>100</v>
      </c>
      <c r="X17" s="1539"/>
      <c r="Y17" s="3330"/>
      <c r="Z17" s="1540" t="str">
        <f>Q17</f>
        <v>商业繁华度</v>
      </c>
      <c r="AA17" s="1537">
        <f t="shared" si="3"/>
        <v>1</v>
      </c>
      <c r="AB17" s="1537">
        <f t="shared" si="4"/>
        <v>1</v>
      </c>
      <c r="AC17" s="1537">
        <f t="shared" si="5"/>
        <v>1</v>
      </c>
    </row>
    <row r="18" spans="1:29" ht="15" hidden="1">
      <c r="A18" s="387"/>
      <c r="B18" s="415"/>
      <c r="C18" s="2087"/>
      <c r="D18" s="409"/>
      <c r="E18" s="2084"/>
      <c r="F18" s="409"/>
      <c r="G18" s="2083"/>
      <c r="H18" s="407"/>
      <c r="I18" s="2083"/>
      <c r="J18" s="407"/>
      <c r="K18" s="628"/>
      <c r="L18" s="2951"/>
      <c r="M18" s="2945"/>
      <c r="N18" s="2945"/>
      <c r="O18" s="3003"/>
      <c r="P18" s="3330"/>
      <c r="Q18" s="1536"/>
      <c r="R18" s="714"/>
      <c r="S18" s="715"/>
      <c r="T18" s="714"/>
      <c r="U18" s="715"/>
      <c r="V18" s="714"/>
      <c r="W18" s="715"/>
      <c r="X18" s="1539"/>
      <c r="Y18" s="3330"/>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95</v>
      </c>
      <c r="G19" s="416"/>
      <c r="H19" s="409">
        <f>SUMIF(92:92,G20,93:93)-SUMIF(92:92,C20,93:93)+100</f>
        <v>100</v>
      </c>
      <c r="I19" s="418"/>
      <c r="J19" s="409">
        <f>SUMIF(92:92,I20,93:93)-SUMIF(92:92,C20,93:93)+100</f>
        <v>100</v>
      </c>
      <c r="K19" s="629">
        <v>5</v>
      </c>
      <c r="L19" s="2951"/>
      <c r="M19" s="2945"/>
      <c r="N19" s="2945"/>
      <c r="O19" s="3003"/>
      <c r="P19" s="3330"/>
      <c r="Q19" s="1536" t="str">
        <f>B19</f>
        <v>办公集聚程度</v>
      </c>
      <c r="R19" s="714" t="s">
        <v>17</v>
      </c>
      <c r="S19" s="715">
        <f>F19</f>
        <v>95</v>
      </c>
      <c r="T19" s="714" t="s">
        <v>17</v>
      </c>
      <c r="U19" s="715">
        <f>H19</f>
        <v>100</v>
      </c>
      <c r="V19" s="714" t="s">
        <v>17</v>
      </c>
      <c r="W19" s="715">
        <f>J19</f>
        <v>100</v>
      </c>
      <c r="X19" s="1539"/>
      <c r="Y19" s="3330"/>
      <c r="Z19" s="1540" t="str">
        <f>Q19</f>
        <v>办公集聚程度</v>
      </c>
      <c r="AA19" s="1537">
        <f t="shared" si="3"/>
        <v>1.0526315789473684</v>
      </c>
      <c r="AB19" s="1537">
        <f t="shared" si="4"/>
        <v>1</v>
      </c>
      <c r="AC19" s="1537">
        <f t="shared" si="5"/>
        <v>1</v>
      </c>
    </row>
    <row r="20" spans="1:29" ht="15">
      <c r="A20" s="387"/>
      <c r="B20" s="415"/>
      <c r="C20" s="406" t="s">
        <v>3271</v>
      </c>
      <c r="D20" s="407"/>
      <c r="E20" s="2084" t="s">
        <v>3300</v>
      </c>
      <c r="F20" s="407"/>
      <c r="G20" s="2084" t="s">
        <v>3271</v>
      </c>
      <c r="H20" s="407"/>
      <c r="I20" s="2083" t="s">
        <v>3271</v>
      </c>
      <c r="J20" s="407"/>
      <c r="K20" s="628"/>
      <c r="L20" s="2951"/>
      <c r="M20" s="2945"/>
      <c r="N20" s="2945"/>
      <c r="O20" s="3003"/>
      <c r="P20" s="3330"/>
      <c r="Q20" s="1536"/>
      <c r="R20" s="714"/>
      <c r="S20" s="715"/>
      <c r="T20" s="714"/>
      <c r="U20" s="715"/>
      <c r="V20" s="714"/>
      <c r="W20" s="715"/>
      <c r="X20" s="1539"/>
      <c r="Y20" s="3330"/>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51"/>
      <c r="M21" s="2945"/>
      <c r="N21" s="2945"/>
      <c r="O21" s="3003"/>
      <c r="P21" s="3330"/>
      <c r="Q21" s="1536" t="str">
        <f>B21</f>
        <v>交通便捷度</v>
      </c>
      <c r="R21" s="714" t="s">
        <v>17</v>
      </c>
      <c r="S21" s="715">
        <f>F21</f>
        <v>100</v>
      </c>
      <c r="T21" s="714" t="s">
        <v>17</v>
      </c>
      <c r="U21" s="715">
        <f>H21</f>
        <v>100</v>
      </c>
      <c r="V21" s="714" t="s">
        <v>17</v>
      </c>
      <c r="W21" s="715">
        <f>J21</f>
        <v>100</v>
      </c>
      <c r="X21" s="1539"/>
      <c r="Y21" s="3330"/>
      <c r="Z21" s="1540" t="str">
        <f>Q21</f>
        <v>交通便捷度</v>
      </c>
      <c r="AA21" s="1537">
        <f t="shared" si="3"/>
        <v>1</v>
      </c>
      <c r="AB21" s="1537">
        <f t="shared" si="4"/>
        <v>1</v>
      </c>
      <c r="AC21" s="1537">
        <f t="shared" si="5"/>
        <v>1</v>
      </c>
    </row>
    <row r="22" spans="1:29" ht="15">
      <c r="A22" s="387"/>
      <c r="B22" s="1293"/>
      <c r="C22" s="406" t="s">
        <v>3271</v>
      </c>
      <c r="D22" s="409"/>
      <c r="E22" s="2084" t="s">
        <v>3271</v>
      </c>
      <c r="F22" s="407"/>
      <c r="G22" s="2084" t="s">
        <v>3271</v>
      </c>
      <c r="H22" s="407"/>
      <c r="I22" s="2083" t="s">
        <v>3271</v>
      </c>
      <c r="J22" s="407"/>
      <c r="K22" s="628"/>
      <c r="L22" s="2951"/>
      <c r="M22" s="2945"/>
      <c r="N22" s="2945"/>
      <c r="O22" s="3003"/>
      <c r="P22" s="3330"/>
      <c r="Q22" s="1536"/>
      <c r="R22" s="714"/>
      <c r="S22" s="715"/>
      <c r="T22" s="714"/>
      <c r="U22" s="715"/>
      <c r="V22" s="714"/>
      <c r="W22" s="715"/>
      <c r="X22" s="1539"/>
      <c r="Y22" s="3330"/>
      <c r="Z22" s="1540"/>
      <c r="AA22" s="1537">
        <v>1</v>
      </c>
      <c r="AB22" s="1537">
        <v>1</v>
      </c>
      <c r="AC22" s="1537">
        <v>1</v>
      </c>
    </row>
    <row r="23" spans="1:29" ht="15">
      <c r="A23" s="364"/>
      <c r="B23" s="410" t="s">
        <v>2569</v>
      </c>
      <c r="C23" s="1298">
        <f>估价对象房地状况!C19</f>
        <v>0</v>
      </c>
      <c r="D23" s="414">
        <v>100</v>
      </c>
      <c r="E23" s="411"/>
      <c r="F23" s="414">
        <f>SUMIF(96:96,E24,97:97)-SUMIF(96:96,C24,97:97)+100</f>
        <v>97</v>
      </c>
      <c r="G23" s="413"/>
      <c r="H23" s="414">
        <f>SUMIF(96:96,G24,97:97)-SUMIF(96:96,C24,97:97)+100</f>
        <v>100</v>
      </c>
      <c r="I23" s="413"/>
      <c r="J23" s="414">
        <f>SUMIF(96:96,I24,97:97)-SUMIF(96:96,C24,97:97)+100</f>
        <v>100</v>
      </c>
      <c r="K23" s="629">
        <v>3</v>
      </c>
      <c r="L23" s="2951"/>
      <c r="M23" s="2945"/>
      <c r="N23" s="2945"/>
      <c r="O23" s="3003"/>
      <c r="P23" s="3330"/>
      <c r="Q23" s="1536" t="str">
        <f t="shared" ref="Q23:Q37" si="8">B23</f>
        <v>区域土地利用方向</v>
      </c>
      <c r="R23" s="714" t="s">
        <v>17</v>
      </c>
      <c r="S23" s="715">
        <f>F23</f>
        <v>97</v>
      </c>
      <c r="T23" s="714" t="s">
        <v>17</v>
      </c>
      <c r="U23" s="715">
        <f>H23</f>
        <v>100</v>
      </c>
      <c r="V23" s="714" t="s">
        <v>17</v>
      </c>
      <c r="W23" s="715">
        <f>J23</f>
        <v>100</v>
      </c>
      <c r="X23" s="1539"/>
      <c r="Y23" s="3330"/>
      <c r="Z23" s="1540" t="str">
        <f>Q23</f>
        <v>区域土地利用方向</v>
      </c>
      <c r="AA23" s="1537">
        <f t="shared" si="3"/>
        <v>1.0309278350515463</v>
      </c>
      <c r="AB23" s="1537">
        <f t="shared" si="4"/>
        <v>1</v>
      </c>
      <c r="AC23" s="1537">
        <f t="shared" si="5"/>
        <v>1</v>
      </c>
    </row>
    <row r="24" spans="1:29" ht="15">
      <c r="A24" s="364"/>
      <c r="B24" s="415"/>
      <c r="C24" s="573" t="s">
        <v>3271</v>
      </c>
      <c r="D24" s="407"/>
      <c r="E24" s="2084" t="s">
        <v>3300</v>
      </c>
      <c r="F24" s="407"/>
      <c r="G24" s="2083" t="s">
        <v>3271</v>
      </c>
      <c r="H24" s="407"/>
      <c r="I24" s="2083" t="s">
        <v>3271</v>
      </c>
      <c r="J24" s="407"/>
      <c r="K24" s="751"/>
      <c r="L24" s="2951"/>
      <c r="M24" s="2945"/>
      <c r="N24" s="2945"/>
      <c r="O24" s="3003"/>
      <c r="P24" s="3330"/>
      <c r="Q24" s="1536"/>
      <c r="R24" s="714"/>
      <c r="S24" s="715"/>
      <c r="T24" s="714"/>
      <c r="U24" s="715"/>
      <c r="V24" s="714"/>
      <c r="W24" s="715"/>
      <c r="X24" s="1539"/>
      <c r="Y24" s="3330"/>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103</v>
      </c>
      <c r="I25" s="413"/>
      <c r="J25" s="409">
        <f>SUMIF(98:98,I26,99:99)-SUMIF(98:98,C26,99:99)+100</f>
        <v>103</v>
      </c>
      <c r="K25" s="629">
        <v>3</v>
      </c>
      <c r="L25" s="2951"/>
      <c r="M25" s="2945"/>
      <c r="N25" s="2945"/>
      <c r="O25" s="3003"/>
      <c r="P25" s="3330"/>
      <c r="Q25" s="1536" t="str">
        <f t="shared" si="8"/>
        <v>自然及人文环境状况</v>
      </c>
      <c r="R25" s="714" t="s">
        <v>17</v>
      </c>
      <c r="S25" s="715">
        <f>F25</f>
        <v>100</v>
      </c>
      <c r="T25" s="714" t="s">
        <v>17</v>
      </c>
      <c r="U25" s="715">
        <f>H25</f>
        <v>103</v>
      </c>
      <c r="V25" s="714" t="s">
        <v>17</v>
      </c>
      <c r="W25" s="715">
        <f>J25</f>
        <v>103</v>
      </c>
      <c r="X25" s="1539"/>
      <c r="Y25" s="3330"/>
      <c r="Z25" s="1540" t="str">
        <f>Q25</f>
        <v>自然及人文环境状况</v>
      </c>
      <c r="AA25" s="1537">
        <f t="shared" si="3"/>
        <v>1</v>
      </c>
      <c r="AB25" s="1537">
        <f t="shared" si="4"/>
        <v>0.970873786407767</v>
      </c>
      <c r="AC25" s="1537">
        <f t="shared" si="5"/>
        <v>0.970873786407767</v>
      </c>
    </row>
    <row r="26" spans="1:29" ht="15">
      <c r="A26" s="364"/>
      <c r="B26" s="415"/>
      <c r="C26" s="406" t="s">
        <v>3271</v>
      </c>
      <c r="D26" s="407"/>
      <c r="E26" s="2090" t="s">
        <v>3271</v>
      </c>
      <c r="F26" s="407"/>
      <c r="G26" s="2090" t="s">
        <v>3272</v>
      </c>
      <c r="H26" s="407"/>
      <c r="I26" s="406" t="s">
        <v>3272</v>
      </c>
      <c r="J26" s="407"/>
      <c r="K26" s="628"/>
      <c r="L26" s="2951"/>
      <c r="M26" s="2945"/>
      <c r="N26" s="2945"/>
      <c r="O26" s="3003"/>
      <c r="P26" s="3330"/>
      <c r="Q26" s="1536"/>
      <c r="R26" s="714"/>
      <c r="S26" s="715"/>
      <c r="T26" s="714"/>
      <c r="U26" s="715"/>
      <c r="V26" s="714"/>
      <c r="W26" s="715"/>
      <c r="X26" s="1539"/>
      <c r="Y26" s="3330"/>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6"/>
      <c r="M27" s="2947"/>
      <c r="N27" s="2947"/>
      <c r="O27" s="3001"/>
      <c r="P27" s="3330"/>
      <c r="Q27" s="1527" t="str">
        <f t="shared" si="8"/>
        <v>公共配套设施</v>
      </c>
      <c r="R27" s="710" t="s">
        <v>17</v>
      </c>
      <c r="S27" s="711">
        <f>F27</f>
        <v>100</v>
      </c>
      <c r="T27" s="710" t="s">
        <v>17</v>
      </c>
      <c r="U27" s="711">
        <f>H27</f>
        <v>100</v>
      </c>
      <c r="V27" s="710" t="s">
        <v>17</v>
      </c>
      <c r="W27" s="711">
        <f>J27</f>
        <v>100</v>
      </c>
      <c r="X27" s="712"/>
      <c r="Y27" s="3330"/>
      <c r="Z27" s="55" t="str">
        <f>Q27</f>
        <v>公共配套设施</v>
      </c>
      <c r="AA27" s="1537">
        <f>D27/F27</f>
        <v>1</v>
      </c>
      <c r="AB27" s="1537">
        <f>D27/H27</f>
        <v>1</v>
      </c>
      <c r="AC27" s="1537">
        <f>D27/J27</f>
        <v>1</v>
      </c>
    </row>
    <row r="28" spans="1:29" s="113" customFormat="1" ht="15">
      <c r="A28" s="605"/>
      <c r="B28" s="415"/>
      <c r="C28" s="2164" t="s">
        <v>3271</v>
      </c>
      <c r="D28" s="407"/>
      <c r="E28" s="2090" t="s">
        <v>3271</v>
      </c>
      <c r="F28" s="407"/>
      <c r="G28" s="2090" t="s">
        <v>3271</v>
      </c>
      <c r="H28" s="407"/>
      <c r="I28" s="406" t="s">
        <v>3271</v>
      </c>
      <c r="J28" s="407"/>
      <c r="K28" s="628"/>
      <c r="L28" s="2946"/>
      <c r="M28" s="2947"/>
      <c r="N28" s="2947"/>
      <c r="O28" s="3001"/>
      <c r="P28" s="3330"/>
      <c r="Q28" s="1527"/>
      <c r="R28" s="710"/>
      <c r="S28" s="711"/>
      <c r="T28" s="710"/>
      <c r="U28" s="711"/>
      <c r="V28" s="710"/>
      <c r="W28" s="711"/>
      <c r="X28" s="712"/>
      <c r="Y28" s="3330"/>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330"/>
      <c r="Q29" s="1527" t="str">
        <f t="shared" ref="Q29" si="9">B29</f>
        <v>基础设施水平</v>
      </c>
      <c r="R29" s="710" t="s">
        <v>17</v>
      </c>
      <c r="S29" s="711">
        <f>F29</f>
        <v>100</v>
      </c>
      <c r="T29" s="710" t="s">
        <v>17</v>
      </c>
      <c r="U29" s="711">
        <f>H29</f>
        <v>100</v>
      </c>
      <c r="V29" s="710" t="s">
        <v>17</v>
      </c>
      <c r="W29" s="711">
        <f>J29</f>
        <v>100</v>
      </c>
      <c r="X29" s="712"/>
      <c r="Y29" s="3330"/>
      <c r="Z29" s="55" t="str">
        <f>Q29</f>
        <v>基础设施水平</v>
      </c>
      <c r="AA29" s="1537">
        <f>D29/F29</f>
        <v>1</v>
      </c>
      <c r="AB29" s="1537">
        <f>D29/H29</f>
        <v>1</v>
      </c>
      <c r="AC29" s="1537">
        <f>D29/J29</f>
        <v>1</v>
      </c>
    </row>
    <row r="30" spans="1:29" s="113" customFormat="1" ht="15.75" thickBot="1">
      <c r="A30" s="605"/>
      <c r="B30" s="415"/>
      <c r="C30" s="2164" t="s">
        <v>3301</v>
      </c>
      <c r="D30" s="407"/>
      <c r="E30" s="2165" t="s">
        <v>3301</v>
      </c>
      <c r="F30" s="407"/>
      <c r="G30" s="2165" t="s">
        <v>3301</v>
      </c>
      <c r="H30" s="407"/>
      <c r="I30" s="2165" t="s">
        <v>3301</v>
      </c>
      <c r="J30" s="407"/>
      <c r="K30" s="628"/>
      <c r="L30" s="2946"/>
      <c r="M30" s="2947"/>
      <c r="N30" s="2947"/>
      <c r="O30" s="3001"/>
      <c r="P30" s="3330"/>
      <c r="Q30" s="1527"/>
      <c r="R30" s="710"/>
      <c r="S30" s="711"/>
      <c r="T30" s="710"/>
      <c r="U30" s="711"/>
      <c r="V30" s="710"/>
      <c r="W30" s="711"/>
      <c r="X30" s="712"/>
      <c r="Y30" s="3330"/>
      <c r="Z30" s="55"/>
      <c r="AA30" s="1537">
        <v>1</v>
      </c>
      <c r="AB30" s="1537">
        <v>1</v>
      </c>
      <c r="AC30" s="1537">
        <v>1</v>
      </c>
    </row>
    <row r="31" spans="1:29" ht="15" hidden="1">
      <c r="A31" s="387"/>
      <c r="B31" s="415" t="s">
        <v>2477</v>
      </c>
      <c r="C31" s="573"/>
      <c r="D31" s="394">
        <v>100</v>
      </c>
      <c r="E31" s="436"/>
      <c r="F31" s="394">
        <f>SUMIF(104:104,E31,105:105)-SUMIF(104:104,C31,105:105)+100</f>
        <v>100</v>
      </c>
      <c r="G31" s="630"/>
      <c r="H31" s="394">
        <f>SUMIF(104:104,G31,105:105)-SUMIF(104:104,C31,105:105)+100</f>
        <v>100</v>
      </c>
      <c r="I31" s="630"/>
      <c r="J31" s="394">
        <f>SUMIF(104:104,I31,105:105)-SUMIF(104:104,C31,105:105)+100</f>
        <v>100</v>
      </c>
      <c r="K31" s="629"/>
      <c r="L31" s="2951"/>
      <c r="M31" s="2945"/>
      <c r="N31" s="2945"/>
      <c r="O31" s="3003"/>
      <c r="P31" s="333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0"/>
      <c r="Z31" s="1540" t="str">
        <f t="shared" ref="Z31:Z45" si="13">Q31</f>
        <v>临街状况</v>
      </c>
      <c r="AA31" s="1537">
        <f t="shared" si="3"/>
        <v>1</v>
      </c>
      <c r="AB31" s="1537">
        <f t="shared" si="4"/>
        <v>1</v>
      </c>
      <c r="AC31" s="1537">
        <f t="shared" si="5"/>
        <v>1</v>
      </c>
    </row>
    <row r="32" spans="1:29" ht="27" hidden="1">
      <c r="A32" s="387"/>
      <c r="B32" s="1293" t="s">
        <v>2512</v>
      </c>
      <c r="C32" s="413"/>
      <c r="D32" s="409">
        <v>100</v>
      </c>
      <c r="E32" s="436"/>
      <c r="F32" s="409">
        <f>SUMIF(106:106,E33,107:107)-SUMIF(106:106,C33,107:107)+100</f>
        <v>100</v>
      </c>
      <c r="G32" s="630"/>
      <c r="H32" s="409">
        <f>SUMIF(106:106,G33,107:107)-SUMIF(106:106,C33,107:107)+100</f>
        <v>100</v>
      </c>
      <c r="I32" s="630"/>
      <c r="J32" s="409">
        <f>SUMIF(106:106,I33,107:107)-SUMIF(106:106,C33,107:107)+100</f>
        <v>100</v>
      </c>
      <c r="K32" s="629"/>
      <c r="L32" s="2951"/>
      <c r="M32" s="2945"/>
      <c r="N32" s="2945"/>
      <c r="O32" s="3003"/>
      <c r="P32" s="3330"/>
      <c r="Q32" s="1536" t="str">
        <f t="shared" si="8"/>
        <v>毗邻道路的类型与等级</v>
      </c>
      <c r="R32" s="714" t="s">
        <v>17</v>
      </c>
      <c r="S32" s="715">
        <f t="shared" si="10"/>
        <v>100</v>
      </c>
      <c r="T32" s="714" t="s">
        <v>17</v>
      </c>
      <c r="U32" s="715">
        <f t="shared" si="11"/>
        <v>100</v>
      </c>
      <c r="V32" s="714" t="s">
        <v>17</v>
      </c>
      <c r="W32" s="715">
        <f t="shared" si="12"/>
        <v>100</v>
      </c>
      <c r="X32" s="1539"/>
      <c r="Y32" s="3330"/>
      <c r="Z32" s="1540" t="str">
        <f t="shared" si="13"/>
        <v>毗邻道路的类型与等级</v>
      </c>
      <c r="AA32" s="1537">
        <f t="shared" si="3"/>
        <v>1</v>
      </c>
      <c r="AB32" s="1537">
        <f t="shared" si="4"/>
        <v>1</v>
      </c>
      <c r="AC32" s="1537">
        <f t="shared" si="5"/>
        <v>1</v>
      </c>
    </row>
    <row r="33" spans="1:29" ht="15.75" hidden="1" thickBot="1">
      <c r="A33" s="387"/>
      <c r="B33" s="415"/>
      <c r="C33" s="406"/>
      <c r="D33" s="407"/>
      <c r="E33" s="657"/>
      <c r="F33" s="407"/>
      <c r="G33" s="634"/>
      <c r="H33" s="407"/>
      <c r="I33" s="634"/>
      <c r="J33" s="407"/>
      <c r="K33" s="570"/>
      <c r="L33" s="2951"/>
      <c r="M33" s="2945"/>
      <c r="N33" s="2945"/>
      <c r="O33" s="3003"/>
      <c r="P33" s="3330"/>
      <c r="Q33" s="1536"/>
      <c r="R33" s="714"/>
      <c r="S33" s="715"/>
      <c r="T33" s="714"/>
      <c r="U33" s="715"/>
      <c r="V33" s="714"/>
      <c r="W33" s="715"/>
      <c r="X33" s="1539"/>
      <c r="Y33" s="3330"/>
      <c r="Z33" s="1540"/>
      <c r="AA33" s="1537">
        <v>1</v>
      </c>
      <c r="AB33" s="1537">
        <v>1</v>
      </c>
      <c r="AC33" s="1537">
        <v>1</v>
      </c>
    </row>
    <row r="34" spans="1:29" ht="15" hidden="1">
      <c r="A34" s="387"/>
      <c r="B34" s="381" t="s">
        <v>2571</v>
      </c>
      <c r="C34" s="573"/>
      <c r="D34" s="394">
        <v>100</v>
      </c>
      <c r="E34" s="635"/>
      <c r="F34" s="394">
        <f>SUMIF(108:108,E34,109:109)-SUMIF(108:108,C34,109:109)+100</f>
        <v>100</v>
      </c>
      <c r="G34" s="487"/>
      <c r="H34" s="394">
        <f>SUMIF(108:108,G34,109:109)-SUMIF(108:108,C34,109:109)+100</f>
        <v>100</v>
      </c>
      <c r="I34" s="487"/>
      <c r="J34" s="394">
        <f>SUMIF(108:108,I34,109:109)-SUMIF(108:108,C34,109:109)+100</f>
        <v>100</v>
      </c>
      <c r="K34" s="569"/>
      <c r="L34" s="2951"/>
      <c r="M34" s="2945"/>
      <c r="N34" s="2945"/>
      <c r="O34" s="3003"/>
      <c r="P34" s="3330"/>
      <c r="Q34" s="1536" t="str">
        <f t="shared" si="8"/>
        <v>土地级别</v>
      </c>
      <c r="R34" s="714" t="s">
        <v>17</v>
      </c>
      <c r="S34" s="715">
        <f t="shared" si="10"/>
        <v>100</v>
      </c>
      <c r="T34" s="714" t="s">
        <v>17</v>
      </c>
      <c r="U34" s="715">
        <f t="shared" si="11"/>
        <v>100</v>
      </c>
      <c r="V34" s="714" t="s">
        <v>17</v>
      </c>
      <c r="W34" s="715">
        <f t="shared" si="12"/>
        <v>100</v>
      </c>
      <c r="X34" s="1539"/>
      <c r="Y34" s="3330"/>
      <c r="Z34" s="1540" t="str">
        <f t="shared" si="13"/>
        <v>土地级别</v>
      </c>
      <c r="AA34" s="1537">
        <f t="shared" si="3"/>
        <v>1</v>
      </c>
      <c r="AB34" s="1537">
        <f t="shared" si="4"/>
        <v>1</v>
      </c>
      <c r="AC34" s="1537">
        <f t="shared" si="5"/>
        <v>1</v>
      </c>
    </row>
    <row r="35" spans="1:29" ht="15" hidden="1">
      <c r="A35" s="364"/>
      <c r="B35" s="1295">
        <v>111</v>
      </c>
      <c r="C35" s="630"/>
      <c r="D35" s="394">
        <v>100</v>
      </c>
      <c r="E35" s="2092"/>
      <c r="F35" s="394">
        <f>SUMIF(110:110,E35,111:111)-SUMIF(110:110,C35,111:111)+100</f>
        <v>100</v>
      </c>
      <c r="G35" s="2092"/>
      <c r="H35" s="394">
        <f>SUMIF(110:110,G35,111:111)-SUMIF(110:110,C35,111:111)+100</f>
        <v>100</v>
      </c>
      <c r="I35" s="2092"/>
      <c r="J35" s="394">
        <f>SUMIF(110:110,I35,111:111)-SUMIF(110:110,C35,111:111)+100</f>
        <v>100</v>
      </c>
      <c r="K35" s="570"/>
      <c r="L35" s="2951"/>
      <c r="M35" s="2945"/>
      <c r="N35" s="2945"/>
      <c r="O35" s="3003"/>
      <c r="P35" s="3330"/>
      <c r="Q35" s="1536">
        <f t="shared" si="8"/>
        <v>111</v>
      </c>
      <c r="R35" s="714" t="s">
        <v>17</v>
      </c>
      <c r="S35" s="715">
        <f t="shared" si="10"/>
        <v>100</v>
      </c>
      <c r="T35" s="714" t="s">
        <v>17</v>
      </c>
      <c r="U35" s="715">
        <f t="shared" si="11"/>
        <v>100</v>
      </c>
      <c r="V35" s="714" t="s">
        <v>17</v>
      </c>
      <c r="W35" s="715">
        <f t="shared" si="12"/>
        <v>100</v>
      </c>
      <c r="X35" s="1539"/>
      <c r="Y35" s="3330"/>
      <c r="Z35" s="1540">
        <f t="shared" si="13"/>
        <v>111</v>
      </c>
      <c r="AA35" s="1537">
        <f t="shared" si="3"/>
        <v>1</v>
      </c>
      <c r="AB35" s="1537">
        <f t="shared" si="4"/>
        <v>1</v>
      </c>
      <c r="AC35" s="1537">
        <f t="shared" si="5"/>
        <v>1</v>
      </c>
    </row>
    <row r="36" spans="1:29" ht="15" hidden="1">
      <c r="A36" s="631"/>
      <c r="B36" s="1296">
        <v>111</v>
      </c>
      <c r="C36" s="630"/>
      <c r="D36" s="394">
        <v>100</v>
      </c>
      <c r="E36" s="2092"/>
      <c r="F36" s="394">
        <f>SUMIF(112:112,E37,113:113)-SUMIF(112:112,C37,113:113)+100</f>
        <v>100</v>
      </c>
      <c r="G36" s="2092"/>
      <c r="H36" s="394">
        <f>SUMIF(112:112,G36,113:113)-SUMIF(112:112,C36,113:113)+100</f>
        <v>100</v>
      </c>
      <c r="I36" s="2092"/>
      <c r="J36" s="394">
        <f>SUMIF(112:112,I36,113:113)-SUMIF(112:112,C36,113:113)+100</f>
        <v>100</v>
      </c>
      <c r="K36" s="570"/>
      <c r="L36" s="2951"/>
      <c r="M36" s="2945"/>
      <c r="N36" s="2945"/>
      <c r="O36" s="3003"/>
      <c r="P36" s="3353" t="s">
        <v>2386</v>
      </c>
      <c r="Q36" s="1536">
        <f t="shared" si="8"/>
        <v>111</v>
      </c>
      <c r="R36" s="714" t="s">
        <v>17</v>
      </c>
      <c r="S36" s="715">
        <f t="shared" si="10"/>
        <v>100</v>
      </c>
      <c r="T36" s="714" t="s">
        <v>17</v>
      </c>
      <c r="U36" s="715">
        <f t="shared" si="11"/>
        <v>100</v>
      </c>
      <c r="V36" s="714" t="s">
        <v>17</v>
      </c>
      <c r="W36" s="715">
        <f t="shared" si="12"/>
        <v>100</v>
      </c>
      <c r="X36" s="1539"/>
      <c r="Y36" s="3334"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2166"/>
      <c r="F37" s="397">
        <f>SUMIF(114:114,E37,115:115)-SUMIF(114:114,C37,115:115)+100</f>
        <v>100</v>
      </c>
      <c r="G37" s="2166"/>
      <c r="H37" s="397">
        <f>SUMIF(114:114,G37,115:115)-SUMIF(114:114,C37,115:115)+100</f>
        <v>100</v>
      </c>
      <c r="I37" s="2166"/>
      <c r="J37" s="397">
        <f>SUMIF(114:114,I37,115:115)-SUMIF(114:114,C37,115:115)+100</f>
        <v>100</v>
      </c>
      <c r="K37" s="570"/>
      <c r="L37" s="2950"/>
      <c r="M37" s="2952"/>
      <c r="N37" s="2952"/>
      <c r="O37" s="3004"/>
      <c r="P37" s="3334"/>
      <c r="Q37" s="1536">
        <f t="shared" si="8"/>
        <v>111</v>
      </c>
      <c r="R37" s="717" t="s">
        <v>17</v>
      </c>
      <c r="S37" s="718">
        <f t="shared" si="10"/>
        <v>100</v>
      </c>
      <c r="T37" s="717" t="s">
        <v>17</v>
      </c>
      <c r="U37" s="718">
        <f t="shared" si="11"/>
        <v>100</v>
      </c>
      <c r="V37" s="717" t="s">
        <v>17</v>
      </c>
      <c r="W37" s="718">
        <f t="shared" si="12"/>
        <v>100</v>
      </c>
      <c r="X37" s="719"/>
      <c r="Y37" s="3334"/>
      <c r="Z37" s="720">
        <f t="shared" si="13"/>
        <v>111</v>
      </c>
      <c r="AA37" s="1537">
        <f t="shared" si="3"/>
        <v>1</v>
      </c>
      <c r="AB37" s="1537">
        <f t="shared" si="4"/>
        <v>1</v>
      </c>
      <c r="AC37" s="1537">
        <f t="shared" si="5"/>
        <v>1</v>
      </c>
    </row>
    <row r="38" spans="1:29" ht="15">
      <c r="A38" s="431" t="s">
        <v>2384</v>
      </c>
      <c r="B38" s="415" t="s">
        <v>2572</v>
      </c>
      <c r="C38" s="635">
        <f>'数据-基础表'!A3</f>
        <v>56732.22</v>
      </c>
      <c r="D38" s="426">
        <v>100</v>
      </c>
      <c r="E38" s="635">
        <f>[1]Sheet1!$D$5</f>
        <v>12501.51</v>
      </c>
      <c r="F38" s="426">
        <f>LOOKUP(E38,117:117,118:118)-LOOKUP(C38,117:117,118:118)+100</f>
        <v>98</v>
      </c>
      <c r="G38" s="487">
        <f>Sheet1!D14</f>
        <v>59747.77</v>
      </c>
      <c r="H38" s="426">
        <f>LOOKUP(G38,117:117,118:118)-LOOKUP(C38,117:117,118:118)+100</f>
        <v>100</v>
      </c>
      <c r="I38" s="487">
        <f>[1]Sheet1!$D$15</f>
        <v>31420.65</v>
      </c>
      <c r="J38" s="426">
        <f>LOOKUP(I38,117:117,118:118)-LOOKUP(C38,117:117,118:118)+100</f>
        <v>99</v>
      </c>
      <c r="K38" s="570"/>
      <c r="L38" s="2951"/>
      <c r="M38" s="2945"/>
      <c r="N38" s="2945"/>
      <c r="O38" s="3003"/>
      <c r="P38" s="3334"/>
      <c r="Q38" s="1536" t="str">
        <f>B38</f>
        <v>宗地面积</v>
      </c>
      <c r="R38" s="714" t="s">
        <v>17</v>
      </c>
      <c r="S38" s="715">
        <f t="shared" si="10"/>
        <v>98</v>
      </c>
      <c r="T38" s="714" t="s">
        <v>17</v>
      </c>
      <c r="U38" s="715">
        <f t="shared" si="11"/>
        <v>100</v>
      </c>
      <c r="V38" s="714" t="s">
        <v>17</v>
      </c>
      <c r="W38" s="715">
        <f t="shared" si="12"/>
        <v>99</v>
      </c>
      <c r="X38" s="1539"/>
      <c r="Y38" s="3334"/>
      <c r="Z38" s="1540" t="str">
        <f t="shared" si="13"/>
        <v>宗地面积</v>
      </c>
      <c r="AA38" s="1537">
        <f t="shared" si="3"/>
        <v>1.0204081632653061</v>
      </c>
      <c r="AB38" s="1537">
        <f t="shared" si="4"/>
        <v>1</v>
      </c>
      <c r="AC38" s="1537">
        <f t="shared" si="5"/>
        <v>1.0101010101010102</v>
      </c>
    </row>
    <row r="39" spans="1:29" ht="15">
      <c r="A39" s="431"/>
      <c r="B39" s="381" t="s">
        <v>2573</v>
      </c>
      <c r="C39" s="2092" t="s">
        <v>3302</v>
      </c>
      <c r="D39" s="394">
        <v>100</v>
      </c>
      <c r="E39" s="2092" t="s">
        <v>3302</v>
      </c>
      <c r="F39" s="394">
        <f>SUMIF(119:119,E39,120:120)-SUMIF(119:119,C39,120:120)+100</f>
        <v>100</v>
      </c>
      <c r="G39" s="2092" t="s">
        <v>3302</v>
      </c>
      <c r="H39" s="394">
        <f>SUMIF(119:119,G39,120:120)-SUMIF(119:119,C39,120:120)+100</f>
        <v>100</v>
      </c>
      <c r="I39" s="2092" t="s">
        <v>3302</v>
      </c>
      <c r="J39" s="394">
        <f>SUMIF(119:119,I39,120:120)-SUMIF(119:119,C39,120:120)+100</f>
        <v>100</v>
      </c>
      <c r="K39" s="569">
        <v>2</v>
      </c>
      <c r="L39" s="2951"/>
      <c r="M39" s="2945"/>
      <c r="N39" s="2945"/>
      <c r="O39" s="3003"/>
      <c r="P39" s="3334"/>
      <c r="Q39" s="1536" t="str">
        <f t="shared" ref="Q39:Q45" si="14">B39</f>
        <v>宗地形状</v>
      </c>
      <c r="R39" s="714" t="s">
        <v>17</v>
      </c>
      <c r="S39" s="715">
        <f t="shared" si="10"/>
        <v>100</v>
      </c>
      <c r="T39" s="714" t="s">
        <v>17</v>
      </c>
      <c r="U39" s="715">
        <f t="shared" si="11"/>
        <v>100</v>
      </c>
      <c r="V39" s="714" t="s">
        <v>17</v>
      </c>
      <c r="W39" s="715">
        <f t="shared" si="12"/>
        <v>100</v>
      </c>
      <c r="X39" s="1539"/>
      <c r="Y39" s="3334"/>
      <c r="Z39" s="1540" t="str">
        <f t="shared" si="13"/>
        <v>宗地形状</v>
      </c>
      <c r="AA39" s="1537">
        <f t="shared" si="3"/>
        <v>1</v>
      </c>
      <c r="AB39" s="1537">
        <f t="shared" si="4"/>
        <v>1</v>
      </c>
      <c r="AC39" s="1537">
        <f t="shared" si="5"/>
        <v>1</v>
      </c>
    </row>
    <row r="40" spans="1:29" ht="15">
      <c r="A40" s="431"/>
      <c r="B40" s="381" t="s">
        <v>2574</v>
      </c>
      <c r="C40" s="2092" t="s">
        <v>3303</v>
      </c>
      <c r="D40" s="394">
        <v>100</v>
      </c>
      <c r="E40" s="2092" t="s">
        <v>3303</v>
      </c>
      <c r="F40" s="394">
        <f>SUMIF(121:121,E40,122:122)-SUMIF(121:121,C40,122:122)+100</f>
        <v>100</v>
      </c>
      <c r="G40" s="2092" t="s">
        <v>3303</v>
      </c>
      <c r="H40" s="394">
        <f>SUMIF(121:121,G40,122:122)-SUMIF(121:121,C40,122:122)+100</f>
        <v>100</v>
      </c>
      <c r="I40" s="2092" t="s">
        <v>3303</v>
      </c>
      <c r="J40" s="394">
        <f>SUMIF(121:121,I40,122:122)-SUMIF(121:121,C40,122:122)+100</f>
        <v>100</v>
      </c>
      <c r="K40" s="569">
        <v>2</v>
      </c>
      <c r="L40" s="2951"/>
      <c r="M40" s="2945"/>
      <c r="N40" s="2945"/>
      <c r="O40" s="3003"/>
      <c r="P40" s="3334"/>
      <c r="Q40" s="1536" t="str">
        <f t="shared" si="14"/>
        <v>临街宽度及深度</v>
      </c>
      <c r="R40" s="714" t="s">
        <v>17</v>
      </c>
      <c r="S40" s="715">
        <f t="shared" si="10"/>
        <v>100</v>
      </c>
      <c r="T40" s="714" t="s">
        <v>17</v>
      </c>
      <c r="U40" s="715">
        <f t="shared" si="11"/>
        <v>100</v>
      </c>
      <c r="V40" s="714" t="s">
        <v>17</v>
      </c>
      <c r="W40" s="715">
        <f t="shared" si="12"/>
        <v>100</v>
      </c>
      <c r="X40" s="1539"/>
      <c r="Y40" s="3334"/>
      <c r="Z40" s="1540" t="str">
        <f t="shared" si="13"/>
        <v>临街宽度及深度</v>
      </c>
      <c r="AA40" s="1537">
        <f t="shared" si="3"/>
        <v>1</v>
      </c>
      <c r="AB40" s="1537">
        <f t="shared" si="4"/>
        <v>1</v>
      </c>
      <c r="AC40" s="1537">
        <f t="shared" si="5"/>
        <v>1</v>
      </c>
    </row>
    <row r="41" spans="1:29" s="113" customFormat="1" ht="15">
      <c r="A41" s="432"/>
      <c r="B41" s="381" t="s">
        <v>2575</v>
      </c>
      <c r="C41" s="2166" t="s">
        <v>3305</v>
      </c>
      <c r="D41" s="132">
        <v>100</v>
      </c>
      <c r="E41" s="2166" t="s">
        <v>3304</v>
      </c>
      <c r="F41" s="394">
        <f>SUMIF(123:123,E41,124:124)-SUMIF(123:123,C41,124:124)+100</f>
        <v>98</v>
      </c>
      <c r="G41" s="2166" t="s">
        <v>3305</v>
      </c>
      <c r="H41" s="394">
        <f>SUMIF(123:123,G41,124:124)-SUMIF(123:123,C41,124:124)+100</f>
        <v>100</v>
      </c>
      <c r="I41" s="2166" t="s">
        <v>3305</v>
      </c>
      <c r="J41" s="394">
        <f>SUMIF(123:123,I41,124:124)-SUMIF(123:123,C41,124:124)+100</f>
        <v>100</v>
      </c>
      <c r="K41" s="569">
        <v>2</v>
      </c>
      <c r="L41" s="2946"/>
      <c r="M41" s="2947"/>
      <c r="N41" s="2947"/>
      <c r="O41" s="3001"/>
      <c r="P41" s="3334"/>
      <c r="Q41" s="1536" t="str">
        <f t="shared" si="14"/>
        <v>宗地开发程度</v>
      </c>
      <c r="R41" s="710" t="s">
        <v>17</v>
      </c>
      <c r="S41" s="711">
        <f t="shared" si="10"/>
        <v>98</v>
      </c>
      <c r="T41" s="710" t="s">
        <v>17</v>
      </c>
      <c r="U41" s="711">
        <f t="shared" si="11"/>
        <v>100</v>
      </c>
      <c r="V41" s="710" t="s">
        <v>17</v>
      </c>
      <c r="W41" s="711">
        <f t="shared" si="12"/>
        <v>100</v>
      </c>
      <c r="X41" s="712"/>
      <c r="Y41" s="3334"/>
      <c r="Z41" s="55" t="str">
        <f t="shared" si="13"/>
        <v>宗地开发程度</v>
      </c>
      <c r="AA41" s="713">
        <f t="shared" si="3"/>
        <v>1.0204081632653061</v>
      </c>
      <c r="AB41" s="713">
        <f t="shared" si="4"/>
        <v>1</v>
      </c>
      <c r="AC41" s="713">
        <f t="shared" si="5"/>
        <v>1</v>
      </c>
    </row>
    <row r="42" spans="1:29" ht="15">
      <c r="A42" s="431"/>
      <c r="B42" s="381" t="s">
        <v>2576</v>
      </c>
      <c r="C42" s="2092" t="s">
        <v>3271</v>
      </c>
      <c r="D42" s="394">
        <v>100</v>
      </c>
      <c r="E42" s="2092" t="s">
        <v>3271</v>
      </c>
      <c r="F42" s="394">
        <f>SUMIF(125:125,E42,126:126)-SUMIF(125:125,C42,126:126)+100</f>
        <v>100</v>
      </c>
      <c r="G42" s="2092" t="s">
        <v>3271</v>
      </c>
      <c r="H42" s="394">
        <f>SUMIF(125:125,G42,126:126)-SUMIF(125:125,C42,126:126)+100</f>
        <v>100</v>
      </c>
      <c r="I42" s="2092" t="s">
        <v>3271</v>
      </c>
      <c r="J42" s="394">
        <f>SUMIF(125:125,I42,126:126)-SUMIF(125:125,C42,126:126)+100</f>
        <v>100</v>
      </c>
      <c r="K42" s="569">
        <v>2</v>
      </c>
      <c r="L42" s="2951"/>
      <c r="M42" s="2945"/>
      <c r="N42" s="2945"/>
      <c r="O42" s="3003"/>
      <c r="P42" s="3334" t="s">
        <v>2386</v>
      </c>
      <c r="Q42" s="1536" t="str">
        <f t="shared" si="14"/>
        <v>工程地质条件</v>
      </c>
      <c r="R42" s="714" t="s">
        <v>17</v>
      </c>
      <c r="S42" s="715">
        <f t="shared" si="10"/>
        <v>100</v>
      </c>
      <c r="T42" s="714" t="s">
        <v>17</v>
      </c>
      <c r="U42" s="715">
        <f t="shared" si="11"/>
        <v>100</v>
      </c>
      <c r="V42" s="714" t="s">
        <v>17</v>
      </c>
      <c r="W42" s="715">
        <f t="shared" si="12"/>
        <v>100</v>
      </c>
      <c r="X42" s="1539"/>
      <c r="Y42" s="3334"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34"/>
      <c r="Q43" s="1536">
        <f t="shared" si="14"/>
        <v>111</v>
      </c>
      <c r="R43" s="714" t="s">
        <v>17</v>
      </c>
      <c r="S43" s="715">
        <f t="shared" si="10"/>
        <v>100</v>
      </c>
      <c r="T43" s="714" t="s">
        <v>17</v>
      </c>
      <c r="U43" s="715">
        <f t="shared" si="11"/>
        <v>100</v>
      </c>
      <c r="V43" s="714" t="s">
        <v>17</v>
      </c>
      <c r="W43" s="715">
        <f t="shared" si="12"/>
        <v>100</v>
      </c>
      <c r="X43" s="1539"/>
      <c r="Y43" s="333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34"/>
      <c r="Q44" s="1536">
        <f t="shared" si="14"/>
        <v>111</v>
      </c>
      <c r="R44" s="714" t="s">
        <v>17</v>
      </c>
      <c r="S44" s="715">
        <f t="shared" si="10"/>
        <v>100</v>
      </c>
      <c r="T44" s="714" t="s">
        <v>17</v>
      </c>
      <c r="U44" s="715">
        <f t="shared" si="11"/>
        <v>100</v>
      </c>
      <c r="V44" s="714" t="s">
        <v>17</v>
      </c>
      <c r="W44" s="715">
        <f t="shared" si="12"/>
        <v>100</v>
      </c>
      <c r="X44" s="1539"/>
      <c r="Y44" s="3334"/>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34"/>
      <c r="Q45" s="1536">
        <f t="shared" si="14"/>
        <v>111</v>
      </c>
      <c r="R45" s="717" t="s">
        <v>17</v>
      </c>
      <c r="S45" s="718">
        <f t="shared" si="10"/>
        <v>100</v>
      </c>
      <c r="T45" s="717" t="s">
        <v>17</v>
      </c>
      <c r="U45" s="718">
        <f t="shared" si="11"/>
        <v>100</v>
      </c>
      <c r="V45" s="717" t="s">
        <v>17</v>
      </c>
      <c r="W45" s="718">
        <f t="shared" si="12"/>
        <v>100</v>
      </c>
      <c r="X45" s="719"/>
      <c r="Y45" s="3334"/>
      <c r="Z45" s="720">
        <f t="shared" si="13"/>
        <v>111</v>
      </c>
      <c r="AA45" s="1537">
        <f t="shared" si="3"/>
        <v>1</v>
      </c>
      <c r="AB45" s="1537">
        <f t="shared" si="4"/>
        <v>1</v>
      </c>
      <c r="AC45" s="1537">
        <f t="shared" si="5"/>
        <v>1</v>
      </c>
    </row>
    <row r="46" spans="1:29" ht="15">
      <c r="A46" s="438" t="s">
        <v>2541</v>
      </c>
      <c r="B46" s="2168" t="s">
        <v>2577</v>
      </c>
      <c r="C46" s="638" t="s">
        <v>1</v>
      </c>
      <c r="D46" s="440"/>
      <c r="E46" s="441">
        <f>ROUND(Sheet1!M5,0 )</f>
        <v>14931</v>
      </c>
      <c r="F46" s="442"/>
      <c r="G46" s="443">
        <f>ROUND(Sheet1!M14,0)</f>
        <v>16380</v>
      </c>
      <c r="H46" s="444"/>
      <c r="I46" s="441">
        <f>ROUND(Sheet1!M15,0)</f>
        <v>16383</v>
      </c>
      <c r="J46" s="444"/>
      <c r="K46" s="723"/>
      <c r="L46" s="2953"/>
      <c r="M46" s="2954"/>
      <c r="N46" s="2945"/>
      <c r="O46" s="2954"/>
      <c r="P46" s="3327" t="str">
        <f>A46</f>
        <v>成交单价</v>
      </c>
      <c r="Q46" s="3327"/>
      <c r="R46" s="3322">
        <f>E46</f>
        <v>14931</v>
      </c>
      <c r="S46" s="3322"/>
      <c r="T46" s="3322">
        <f>G46</f>
        <v>16380</v>
      </c>
      <c r="U46" s="3322"/>
      <c r="V46" s="3322">
        <f>I46</f>
        <v>16383</v>
      </c>
      <c r="W46" s="3322"/>
      <c r="X46" s="699"/>
      <c r="Y46" s="721"/>
      <c r="Z46" s="699"/>
      <c r="AA46" s="699"/>
      <c r="AB46" s="699"/>
      <c r="AC46" s="699"/>
    </row>
    <row r="47" spans="1:29" ht="15.75" thickBot="1">
      <c r="A47" s="445" t="s">
        <v>2490</v>
      </c>
      <c r="B47" s="639"/>
      <c r="C47" s="448">
        <f>R48</f>
        <v>15695</v>
      </c>
      <c r="D47" s="2538" t="s">
        <v>2881</v>
      </c>
      <c r="E47" s="448">
        <f>R47</f>
        <v>14213</v>
      </c>
      <c r="F47" s="2539"/>
      <c r="G47" s="447">
        <f>T47</f>
        <v>16189</v>
      </c>
      <c r="H47" s="2539"/>
      <c r="I47" s="448">
        <f>V47</f>
        <v>16683</v>
      </c>
      <c r="J47" s="2539"/>
      <c r="K47" s="2541">
        <f>F47+H47+J47</f>
        <v>0</v>
      </c>
      <c r="L47" s="2953"/>
      <c r="M47" s="2954"/>
      <c r="N47" s="2954"/>
      <c r="O47" s="2954"/>
      <c r="P47" s="3327" t="str">
        <f>A47</f>
        <v>比较价值（元/平方米）</v>
      </c>
      <c r="Q47" s="3327"/>
      <c r="R47" s="3355">
        <f>ROUND(PRODUCT(R46,AA7:AA45),0)</f>
        <v>14213</v>
      </c>
      <c r="S47" s="3355"/>
      <c r="T47" s="3355">
        <f>ROUND(PRODUCT(T46,AB7:AB45),0)</f>
        <v>16189</v>
      </c>
      <c r="U47" s="3355"/>
      <c r="V47" s="3355">
        <f>ROUND(PRODUCT(V46,AC7:AC45),0)</f>
        <v>16683</v>
      </c>
      <c r="W47" s="3355"/>
      <c r="X47" s="699"/>
      <c r="Y47" s="699"/>
      <c r="Z47" s="699"/>
      <c r="AA47" s="699"/>
      <c r="AB47" s="699"/>
      <c r="AC47" s="699"/>
    </row>
    <row r="48" spans="1:29" ht="15.75" thickBot="1">
      <c r="A48" s="449" t="s">
        <v>2578</v>
      </c>
      <c r="B48" s="450"/>
      <c r="C48" s="451">
        <f>R48</f>
        <v>15695</v>
      </c>
      <c r="D48" s="451"/>
      <c r="E48" s="451"/>
      <c r="F48" s="451"/>
      <c r="G48" s="451"/>
      <c r="H48" s="451"/>
      <c r="I48" s="451"/>
      <c r="J48" s="451"/>
      <c r="K48" s="724"/>
      <c r="L48" s="2953"/>
      <c r="M48" s="2954"/>
      <c r="N48" s="2954"/>
      <c r="O48" s="2954"/>
      <c r="P48" s="3324" t="str">
        <f>A48</f>
        <v>估价对象XX用房的比较价值（楼面单价，元/平方米）</v>
      </c>
      <c r="Q48" s="3325"/>
      <c r="R48" s="3356">
        <f>ROUND(IF(D47="简单平均",AVERAGE(R47:W47),R47*F47+T47*H47+V47*J47),0)</f>
        <v>15695</v>
      </c>
      <c r="S48" s="3356"/>
      <c r="T48" s="3356"/>
      <c r="U48" s="3356"/>
      <c r="V48" s="3356"/>
      <c r="W48" s="3356"/>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5.0517132202912762E-2</v>
      </c>
      <c r="F51" s="457" t="str">
        <f>IF(OR(E51&gt;=0.3,E51&lt;=-0.3),"超过30%","")</f>
        <v/>
      </c>
      <c r="G51" s="456">
        <f>IF(G46&lt;G47,G47/G46-1,G46/G47-1)</f>
        <v>1.1798134535795812E-2</v>
      </c>
      <c r="H51" s="457" t="str">
        <f>IF(OR(G51&gt;=0.3,G51&lt;=-0.3),"超过30%","")</f>
        <v/>
      </c>
      <c r="I51" s="456">
        <f>IF(I46&lt;I47,I47/I46-1,I46/I47-1)</f>
        <v>1.831166453030586E-2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0.1390276507422783</v>
      </c>
      <c r="F52" s="457" t="str">
        <f>IF(OR(E52&gt;=0.2,E52&lt;=-0.2),"超过20%","")</f>
        <v/>
      </c>
      <c r="G52" s="456">
        <f>IF(G47&lt;I47,I47/G47-1,G47/I47-1)</f>
        <v>3.0514546914571561E-2</v>
      </c>
      <c r="H52" s="457" t="str">
        <f>IF(OR(G52&gt;=0.2,G52&lt;=-0.2),"超过20%","")</f>
        <v/>
      </c>
      <c r="I52" s="456">
        <f>IF(I47&lt;E47,E47/I47-1,I47/E47-1)</f>
        <v>0.17378456342784765</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9.704641350210963E-2</v>
      </c>
      <c r="F53" s="457" t="str">
        <f>IF(OR(E53&gt;=0.3,E53&lt;=-0.3),"超过30%","")</f>
        <v/>
      </c>
      <c r="G53" s="456">
        <f>IF(G46&lt;I46,I46/G46-1,G46/I46-1)</f>
        <v>1.831501831501825E-4</v>
      </c>
      <c r="H53" s="457" t="str">
        <f>IF(OR(G53&gt;=0.3,G53&lt;=-0.3),"超过30%","")</f>
        <v/>
      </c>
      <c r="I53" s="456">
        <f>IF(I46&lt;E46,E46/I46-1,I46/E46-1)</f>
        <v>9.7247337753666896E-2</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10" t="s">
        <v>2585</v>
      </c>
      <c r="H55" s="3357"/>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f>C48</f>
        <v>15695</v>
      </c>
      <c r="C56" s="646">
        <v>1</v>
      </c>
      <c r="D56" s="1075">
        <v>1</v>
      </c>
      <c r="E56" s="646">
        <f>'数据-汇总表'!E8+'数据-汇总表'!E9</f>
        <v>78056.28</v>
      </c>
      <c r="F56" s="1017">
        <f t="shared" ref="F56:F65" si="15">ROUND(B56*E56/10000,0)</f>
        <v>122509</v>
      </c>
      <c r="G56" s="3309"/>
      <c r="H56" s="3327"/>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f>ROUND($C$48*C57*D57,0)</f>
        <v>0</v>
      </c>
      <c r="C57" s="176">
        <f t="shared" ref="C57:C65" si="16">IF($C$55="北京市系数",I57,J57)</f>
        <v>0</v>
      </c>
      <c r="D57" s="1076">
        <v>0.25</v>
      </c>
      <c r="E57" s="650"/>
      <c r="F57" s="1017">
        <f t="shared" si="15"/>
        <v>0</v>
      </c>
      <c r="G57" s="3358"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f t="shared" ref="B58:B65" si="17">ROUND($C$48*C58*D58,0)</f>
        <v>0</v>
      </c>
      <c r="C58" s="176">
        <f t="shared" si="16"/>
        <v>0</v>
      </c>
      <c r="D58" s="1076">
        <v>0.25</v>
      </c>
      <c r="E58" s="650"/>
      <c r="F58" s="1017">
        <f t="shared" si="15"/>
        <v>0</v>
      </c>
      <c r="G58" s="3358"/>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f t="shared" si="17"/>
        <v>0</v>
      </c>
      <c r="C59" s="176">
        <f t="shared" si="16"/>
        <v>0</v>
      </c>
      <c r="D59" s="1076">
        <v>0.25</v>
      </c>
      <c r="E59" s="650"/>
      <c r="F59" s="1017">
        <f t="shared" si="15"/>
        <v>0</v>
      </c>
      <c r="G59" s="3358"/>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f t="shared" si="17"/>
        <v>0</v>
      </c>
      <c r="C60" s="176">
        <f t="shared" si="16"/>
        <v>0</v>
      </c>
      <c r="D60" s="1076">
        <v>0.25</v>
      </c>
      <c r="E60" s="650"/>
      <c r="F60" s="1017">
        <f t="shared" si="15"/>
        <v>0</v>
      </c>
      <c r="G60" s="3358"/>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f t="shared" si="17"/>
        <v>981</v>
      </c>
      <c r="C61" s="176">
        <f t="shared" si="16"/>
        <v>0.25</v>
      </c>
      <c r="D61" s="1076">
        <v>0.25</v>
      </c>
      <c r="E61" s="223">
        <f>'数据-汇总表'!E11</f>
        <v>32607.03</v>
      </c>
      <c r="F61" s="1017">
        <f t="shared" si="15"/>
        <v>3199</v>
      </c>
      <c r="G61" s="2173" t="s">
        <v>2595</v>
      </c>
      <c r="H61" s="1018" t="str">
        <f>项目基本情况!C37</f>
        <v>七级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f t="shared" si="17"/>
        <v>981</v>
      </c>
      <c r="C62" s="176">
        <f t="shared" si="16"/>
        <v>0.25</v>
      </c>
      <c r="D62" s="1076">
        <v>0.25</v>
      </c>
      <c r="E62" s="223">
        <f>'数据-汇总表'!E12</f>
        <v>0</v>
      </c>
      <c r="F62" s="1017">
        <f t="shared" si="15"/>
        <v>0</v>
      </c>
      <c r="G62" s="1023" t="s">
        <v>3279</v>
      </c>
      <c r="H62" s="1018" t="str">
        <f>IF(G62="商业",项目基本情况!B37,IF(G62="办公",项目基本情况!C37,IF(G62="住宅",项目基本情况!D37,项目基本情况!E37)))</f>
        <v>七级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f t="shared" si="17"/>
        <v>785</v>
      </c>
      <c r="C63" s="176">
        <f t="shared" si="16"/>
        <v>0.2</v>
      </c>
      <c r="D63" s="1076">
        <v>0.25</v>
      </c>
      <c r="E63" s="223">
        <f>'数据-汇总表'!E13</f>
        <v>17089.22</v>
      </c>
      <c r="F63" s="1017">
        <f t="shared" si="15"/>
        <v>1342</v>
      </c>
      <c r="G63" s="1023" t="s">
        <v>2599</v>
      </c>
      <c r="H63" s="1018" t="str">
        <f>IF(G63="商业",项目基本情况!B37,IF(G63="办公",项目基本情况!C37,IF(G63="住宅",项目基本情况!D37,项目基本情况!E37)))</f>
        <v>七级</v>
      </c>
      <c r="I63" s="1022">
        <f>SUMIF(修正!A45:A56,H63,修正!H45:H56)</f>
        <v>0.2</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f t="shared" si="17"/>
        <v>785</v>
      </c>
      <c r="C65" s="176">
        <f t="shared" si="16"/>
        <v>0.2</v>
      </c>
      <c r="D65" s="1076">
        <v>0.25</v>
      </c>
      <c r="E65" s="223">
        <f>'数据-汇总表'!E15</f>
        <v>0</v>
      </c>
      <c r="F65" s="1017">
        <f t="shared" si="15"/>
        <v>0</v>
      </c>
      <c r="G65" s="2174" t="s">
        <v>2595</v>
      </c>
      <c r="H65" s="1028" t="str">
        <f>项目基本情况!C37</f>
        <v>七级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127752.53</v>
      </c>
      <c r="F66" s="653">
        <f>IF(B46="楼面地价",SUM(F56:F65),ROUND(C48*E66/10000,0))</f>
        <v>127050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69">
        <v>43101</v>
      </c>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北京市平均增长率0.00%</v>
      </c>
      <c r="C71" s="560">
        <v>100</v>
      </c>
      <c r="D71" s="552">
        <f>C71-0.5</f>
        <v>99.5</v>
      </c>
      <c r="E71" s="552">
        <f t="shared" ref="E71:P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552">
        <f t="shared" si="20"/>
        <v>93.5</v>
      </c>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t="s">
        <v>3268</v>
      </c>
      <c r="D75" s="487" t="s">
        <v>3270</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80</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95</v>
      </c>
      <c r="E93" s="501">
        <f>D93-$K19</f>
        <v>90</v>
      </c>
      <c r="F93" s="501">
        <f>E93-$K19</f>
        <v>85</v>
      </c>
      <c r="G93" s="501">
        <f>F93-$K19</f>
        <v>80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97</v>
      </c>
      <c r="E95" s="501">
        <f>D95-$K21</f>
        <v>94</v>
      </c>
      <c r="F95" s="501">
        <f>E95-$K21</f>
        <v>91</v>
      </c>
      <c r="G95" s="501">
        <f>F95-$K21</f>
        <v>88</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2612</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f>C117+20000</f>
        <v>20000</v>
      </c>
      <c r="E117" s="552">
        <f t="shared" ref="E117:F117" si="27">D117+20000</f>
        <v>40000</v>
      </c>
      <c r="F117" s="552">
        <f t="shared" si="27"/>
        <v>60000</v>
      </c>
      <c r="G117" s="552"/>
      <c r="H117" s="552"/>
      <c r="I117" s="552"/>
      <c r="J117" s="552"/>
      <c r="K117" s="552"/>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f>C118+1</f>
        <v>101</v>
      </c>
      <c r="E118" s="548">
        <f t="shared" ref="E118:F118" si="28">D118+1</f>
        <v>102</v>
      </c>
      <c r="F118" s="548">
        <f t="shared" si="28"/>
        <v>103</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3070" t="s">
        <v>3306</v>
      </c>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9">C120-$K39</f>
        <v>98</v>
      </c>
      <c r="E120" s="501">
        <f t="shared" si="29"/>
        <v>96</v>
      </c>
      <c r="F120" s="501">
        <f t="shared" si="29"/>
        <v>94</v>
      </c>
      <c r="G120" s="501">
        <f t="shared" si="29"/>
        <v>92</v>
      </c>
      <c r="H120" s="501">
        <f t="shared" si="29"/>
        <v>90</v>
      </c>
      <c r="I120" s="501">
        <f t="shared" si="29"/>
        <v>88</v>
      </c>
      <c r="J120" s="501">
        <f t="shared" si="29"/>
        <v>86</v>
      </c>
      <c r="K120" s="501">
        <f t="shared" si="29"/>
        <v>84</v>
      </c>
      <c r="L120" s="501">
        <f t="shared" si="29"/>
        <v>82</v>
      </c>
      <c r="M120" s="502">
        <f t="shared" si="29"/>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3071" t="s">
        <v>3307</v>
      </c>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30">C122-$K40</f>
        <v>98</v>
      </c>
      <c r="E122" s="501">
        <f t="shared" si="30"/>
        <v>96</v>
      </c>
      <c r="F122" s="501">
        <f t="shared" si="30"/>
        <v>94</v>
      </c>
      <c r="G122" s="501">
        <f t="shared" si="30"/>
        <v>92</v>
      </c>
      <c r="H122" s="501">
        <f t="shared" si="30"/>
        <v>90</v>
      </c>
      <c r="I122" s="501">
        <f t="shared" si="30"/>
        <v>88</v>
      </c>
      <c r="J122" s="501">
        <f t="shared" si="30"/>
        <v>86</v>
      </c>
      <c r="K122" s="501">
        <f t="shared" si="30"/>
        <v>84</v>
      </c>
      <c r="L122" s="501">
        <f t="shared" si="30"/>
        <v>82</v>
      </c>
      <c r="M122" s="502">
        <f t="shared" si="30"/>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3071" t="s">
        <v>3308</v>
      </c>
      <c r="D123" s="3071" t="s">
        <v>3309</v>
      </c>
      <c r="E123" s="3071" t="s">
        <v>3310</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31">D124-$K41</f>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3071" t="s">
        <v>3311</v>
      </c>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2">C126-$K42</f>
        <v>98</v>
      </c>
      <c r="E126" s="501">
        <f t="shared" si="32"/>
        <v>96</v>
      </c>
      <c r="F126" s="501">
        <f t="shared" si="32"/>
        <v>94</v>
      </c>
      <c r="G126" s="501">
        <f t="shared" si="32"/>
        <v>92</v>
      </c>
      <c r="H126" s="501">
        <f t="shared" si="32"/>
        <v>90</v>
      </c>
      <c r="I126" s="501">
        <f t="shared" si="32"/>
        <v>88</v>
      </c>
      <c r="J126" s="501">
        <f t="shared" si="32"/>
        <v>86</v>
      </c>
      <c r="K126" s="501">
        <f t="shared" si="32"/>
        <v>84</v>
      </c>
      <c r="L126" s="501">
        <f t="shared" si="32"/>
        <v>82</v>
      </c>
      <c r="M126" s="502">
        <f t="shared" si="32"/>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0" t="s">
        <v>2467</v>
      </c>
      <c r="D4" s="3311"/>
      <c r="E4" s="3312" t="s">
        <v>2468</v>
      </c>
      <c r="F4" s="3313"/>
      <c r="G4" s="3310" t="s">
        <v>2469</v>
      </c>
      <c r="H4" s="3311"/>
      <c r="I4" s="3310" t="s">
        <v>2470</v>
      </c>
      <c r="J4" s="3311"/>
      <c r="K4" s="567" t="s">
        <v>2471</v>
      </c>
      <c r="L4" s="2944"/>
      <c r="M4" s="2945"/>
      <c r="N4" s="2945"/>
      <c r="O4" s="2945"/>
      <c r="P4" s="3314" t="s">
        <v>2472</v>
      </c>
      <c r="Q4" s="3315"/>
      <c r="R4" s="3297" t="s">
        <v>2468</v>
      </c>
      <c r="S4" s="3298"/>
      <c r="T4" s="3297" t="s">
        <v>2469</v>
      </c>
      <c r="U4" s="3298"/>
      <c r="V4" s="3322" t="s">
        <v>2470</v>
      </c>
      <c r="W4" s="3322"/>
      <c r="X4" s="1539"/>
      <c r="Y4" s="3297" t="s">
        <v>2472</v>
      </c>
      <c r="Z4" s="3298"/>
      <c r="AA4" s="3292" t="s">
        <v>2468</v>
      </c>
      <c r="AB4" s="3293" t="s">
        <v>2469</v>
      </c>
      <c r="AC4" s="3292" t="s">
        <v>2470</v>
      </c>
    </row>
    <row r="5" spans="1:29" ht="15">
      <c r="A5" s="364"/>
      <c r="B5" s="365"/>
      <c r="C5" s="3303" t="s">
        <v>2363</v>
      </c>
      <c r="D5" s="3304"/>
      <c r="E5" s="3301" t="s">
        <v>2364</v>
      </c>
      <c r="F5" s="3302"/>
      <c r="G5" s="3303" t="s">
        <v>2365</v>
      </c>
      <c r="H5" s="3304"/>
      <c r="I5" s="3303" t="s">
        <v>2366</v>
      </c>
      <c r="J5" s="3304"/>
      <c r="K5" s="567"/>
      <c r="L5" s="2944"/>
      <c r="M5" s="2945"/>
      <c r="N5" s="2945"/>
      <c r="O5" s="2945"/>
      <c r="P5" s="3316"/>
      <c r="Q5" s="3317"/>
      <c r="R5" s="3299"/>
      <c r="S5" s="3300"/>
      <c r="T5" s="3299"/>
      <c r="U5" s="3300"/>
      <c r="V5" s="3322"/>
      <c r="W5" s="3322"/>
      <c r="X5" s="1539"/>
      <c r="Y5" s="3299"/>
      <c r="Z5" s="3300"/>
      <c r="AA5" s="3293"/>
      <c r="AB5" s="3293"/>
      <c r="AC5" s="3293"/>
    </row>
    <row r="6" spans="1:29" ht="15.75" thickBot="1">
      <c r="A6" s="366"/>
      <c r="B6" s="367"/>
      <c r="C6" s="3359" t="s">
        <v>2618</v>
      </c>
      <c r="D6" s="3360"/>
      <c r="E6" s="3361" t="s">
        <v>2618</v>
      </c>
      <c r="F6" s="3362"/>
      <c r="G6" s="3359" t="s">
        <v>2618</v>
      </c>
      <c r="H6" s="3360"/>
      <c r="I6" s="3359" t="s">
        <v>2618</v>
      </c>
      <c r="J6" s="3360"/>
      <c r="K6" s="567" t="s">
        <v>2368</v>
      </c>
      <c r="L6" s="2944"/>
      <c r="M6" s="2945"/>
      <c r="N6" s="2945"/>
      <c r="O6" s="2945"/>
      <c r="P6" s="3318"/>
      <c r="Q6" s="3319"/>
      <c r="R6" s="3299"/>
      <c r="S6" s="3300"/>
      <c r="T6" s="3320"/>
      <c r="U6" s="3321"/>
      <c r="V6" s="3322"/>
      <c r="W6" s="3322"/>
      <c r="X6" s="1539"/>
      <c r="Y6" s="3320"/>
      <c r="Z6" s="3321"/>
      <c r="AA6" s="3294"/>
      <c r="AB6" s="3294"/>
      <c r="AC6" s="3294"/>
    </row>
    <row r="7" spans="1:29" s="113" customFormat="1" ht="15.75" thickBot="1">
      <c r="A7" s="368" t="s">
        <v>2369</v>
      </c>
      <c r="B7" s="369"/>
      <c r="C7" s="370">
        <f>'数据-取费表'!B2</f>
        <v>44314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95" t="s">
        <v>2370</v>
      </c>
      <c r="Q7" s="3323"/>
      <c r="R7" s="710" t="s">
        <v>17</v>
      </c>
      <c r="S7" s="711">
        <f t="shared" ref="S7:S15" si="0">F7</f>
        <v>0</v>
      </c>
      <c r="T7" s="710" t="s">
        <v>17</v>
      </c>
      <c r="U7" s="711">
        <f t="shared" ref="U7:U15" si="1">H7</f>
        <v>0</v>
      </c>
      <c r="V7" s="710" t="s">
        <v>17</v>
      </c>
      <c r="W7" s="711">
        <f t="shared" ref="W7:W15" si="2">J7</f>
        <v>0</v>
      </c>
      <c r="X7" s="712"/>
      <c r="Y7" s="3295" t="s">
        <v>2370</v>
      </c>
      <c r="Z7" s="329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95" t="s">
        <v>2373</v>
      </c>
      <c r="Q8" s="3296"/>
      <c r="R8" s="710" t="s">
        <v>17</v>
      </c>
      <c r="S8" s="711">
        <f t="shared" si="0"/>
        <v>0</v>
      </c>
      <c r="T8" s="710" t="s">
        <v>17</v>
      </c>
      <c r="U8" s="711">
        <f t="shared" si="1"/>
        <v>0</v>
      </c>
      <c r="V8" s="710" t="s">
        <v>17</v>
      </c>
      <c r="W8" s="711">
        <f t="shared" si="2"/>
        <v>0</v>
      </c>
      <c r="X8" s="712"/>
      <c r="Y8" s="3295" t="s">
        <v>2373</v>
      </c>
      <c r="Z8" s="329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27" t="s">
        <v>2376</v>
      </c>
      <c r="Q9" s="1527"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8"/>
      <c r="M10" s="2949"/>
      <c r="N10" s="2949"/>
      <c r="O10" s="3002"/>
      <c r="P10" s="3327"/>
      <c r="Q10" s="1527" t="str">
        <f t="shared" si="6"/>
        <v>土地使用年限（年）</v>
      </c>
      <c r="R10" s="710" t="s">
        <v>17</v>
      </c>
      <c r="S10" s="711">
        <f t="shared" si="0"/>
        <v>103</v>
      </c>
      <c r="T10" s="710" t="s">
        <v>17</v>
      </c>
      <c r="U10" s="711">
        <f t="shared" si="1"/>
        <v>103</v>
      </c>
      <c r="V10" s="710" t="s">
        <v>17</v>
      </c>
      <c r="W10" s="711">
        <f t="shared" si="2"/>
        <v>103</v>
      </c>
      <c r="X10" s="712"/>
      <c r="Y10" s="3239"/>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27"/>
      <c r="Q11" s="1527"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27"/>
      <c r="Q12" s="1527">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27"/>
      <c r="Q13" s="1527">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27"/>
      <c r="Q14" s="1527">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9" t="s">
        <v>2381</v>
      </c>
      <c r="Q15" s="1536" t="str">
        <f t="shared" si="6"/>
        <v>产业集聚程度</v>
      </c>
      <c r="R15" s="714" t="s">
        <v>17</v>
      </c>
      <c r="S15" s="715">
        <f t="shared" si="0"/>
        <v>100</v>
      </c>
      <c r="T15" s="714" t="s">
        <v>17</v>
      </c>
      <c r="U15" s="715">
        <f t="shared" si="1"/>
        <v>100</v>
      </c>
      <c r="V15" s="714" t="s">
        <v>17</v>
      </c>
      <c r="W15" s="715">
        <f t="shared" si="2"/>
        <v>100</v>
      </c>
      <c r="X15" s="1539"/>
      <c r="Y15" s="3329"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0"/>
      <c r="Q16" s="1536"/>
      <c r="R16" s="714"/>
      <c r="S16" s="715"/>
      <c r="T16" s="714"/>
      <c r="U16" s="715"/>
      <c r="V16" s="714"/>
      <c r="W16" s="715"/>
      <c r="X16" s="1539"/>
      <c r="Y16" s="3330"/>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0"/>
      <c r="Q18" s="1536"/>
      <c r="R18" s="714"/>
      <c r="S18" s="715"/>
      <c r="T18" s="714"/>
      <c r="U18" s="715"/>
      <c r="V18" s="714"/>
      <c r="W18" s="715"/>
      <c r="X18" s="1539"/>
      <c r="Y18" s="3330"/>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0"/>
      <c r="Q19" s="1536" t="str">
        <f t="shared" ref="Q19:Q33" si="8">B19</f>
        <v>区域土地利用方向</v>
      </c>
      <c r="R19" s="714" t="s">
        <v>17</v>
      </c>
      <c r="S19" s="715">
        <f>F19</f>
        <v>100</v>
      </c>
      <c r="T19" s="714" t="s">
        <v>17</v>
      </c>
      <c r="U19" s="715">
        <f>H19</f>
        <v>100</v>
      </c>
      <c r="V19" s="714" t="s">
        <v>17</v>
      </c>
      <c r="W19" s="715">
        <f>J19</f>
        <v>100</v>
      </c>
      <c r="X19" s="1539"/>
      <c r="Y19" s="333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0"/>
      <c r="Q20" s="1536"/>
      <c r="R20" s="714"/>
      <c r="S20" s="715"/>
      <c r="T20" s="714"/>
      <c r="U20" s="715"/>
      <c r="V20" s="714"/>
      <c r="W20" s="715"/>
      <c r="X20" s="1539"/>
      <c r="Y20" s="3330"/>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0"/>
      <c r="Q21" s="1536" t="str">
        <f t="shared" si="8"/>
        <v>环境状况</v>
      </c>
      <c r="R21" s="714" t="s">
        <v>17</v>
      </c>
      <c r="S21" s="715">
        <f>F21</f>
        <v>100</v>
      </c>
      <c r="T21" s="714" t="s">
        <v>17</v>
      </c>
      <c r="U21" s="715">
        <f>H21</f>
        <v>100</v>
      </c>
      <c r="V21" s="714" t="s">
        <v>17</v>
      </c>
      <c r="W21" s="715">
        <f>J21</f>
        <v>100</v>
      </c>
      <c r="X21" s="1539"/>
      <c r="Y21" s="333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0"/>
      <c r="Q22" s="1536"/>
      <c r="R22" s="714"/>
      <c r="S22" s="715"/>
      <c r="T22" s="714"/>
      <c r="U22" s="715"/>
      <c r="V22" s="714"/>
      <c r="W22" s="715"/>
      <c r="X22" s="1539"/>
      <c r="Y22" s="3330"/>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0"/>
      <c r="Q23" s="1527" t="str">
        <f t="shared" si="8"/>
        <v>公共配套设施</v>
      </c>
      <c r="R23" s="710" t="s">
        <v>17</v>
      </c>
      <c r="S23" s="711">
        <f>F23</f>
        <v>100</v>
      </c>
      <c r="T23" s="710" t="s">
        <v>17</v>
      </c>
      <c r="U23" s="711">
        <f>H23</f>
        <v>100</v>
      </c>
      <c r="V23" s="710" t="s">
        <v>17</v>
      </c>
      <c r="W23" s="711">
        <f>J23</f>
        <v>100</v>
      </c>
      <c r="X23" s="712"/>
      <c r="Y23" s="333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0"/>
      <c r="Q24" s="1527"/>
      <c r="R24" s="710"/>
      <c r="S24" s="711"/>
      <c r="T24" s="710"/>
      <c r="U24" s="711"/>
      <c r="V24" s="710"/>
      <c r="W24" s="711"/>
      <c r="X24" s="712"/>
      <c r="Y24" s="3330"/>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0"/>
      <c r="Q25" s="1527" t="str">
        <f t="shared" ref="Q25" si="9">B25</f>
        <v>基础设施水平</v>
      </c>
      <c r="R25" s="710" t="s">
        <v>17</v>
      </c>
      <c r="S25" s="711">
        <f>F25</f>
        <v>100</v>
      </c>
      <c r="T25" s="710" t="s">
        <v>17</v>
      </c>
      <c r="U25" s="711">
        <f>H25</f>
        <v>100</v>
      </c>
      <c r="V25" s="710" t="s">
        <v>17</v>
      </c>
      <c r="W25" s="711">
        <f>J25</f>
        <v>100</v>
      </c>
      <c r="X25" s="712"/>
      <c r="Y25" s="333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0"/>
      <c r="Q26" s="1527"/>
      <c r="R26" s="710"/>
      <c r="S26" s="711"/>
      <c r="T26" s="710"/>
      <c r="U26" s="711"/>
      <c r="V26" s="710"/>
      <c r="W26" s="711"/>
      <c r="X26" s="712"/>
      <c r="Y26" s="333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0"/>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0"/>
      <c r="Q28" s="1536" t="str">
        <f t="shared" si="8"/>
        <v>毗邻道路的类型与等级</v>
      </c>
      <c r="R28" s="714" t="s">
        <v>17</v>
      </c>
      <c r="S28" s="715">
        <f t="shared" si="10"/>
        <v>100</v>
      </c>
      <c r="T28" s="714" t="s">
        <v>17</v>
      </c>
      <c r="U28" s="715">
        <f t="shared" si="11"/>
        <v>100</v>
      </c>
      <c r="V28" s="714" t="s">
        <v>17</v>
      </c>
      <c r="W28" s="715">
        <f t="shared" si="12"/>
        <v>100</v>
      </c>
      <c r="X28" s="1539"/>
      <c r="Y28" s="333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0"/>
      <c r="Q29" s="1536"/>
      <c r="R29" s="714"/>
      <c r="S29" s="715"/>
      <c r="T29" s="714"/>
      <c r="U29" s="715"/>
      <c r="V29" s="714"/>
      <c r="W29" s="715"/>
      <c r="X29" s="1539"/>
      <c r="Y29" s="3330"/>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0"/>
      <c r="Q30" s="1536" t="str">
        <f t="shared" si="8"/>
        <v>土地级别</v>
      </c>
      <c r="R30" s="714" t="s">
        <v>17</v>
      </c>
      <c r="S30" s="715">
        <f t="shared" si="10"/>
        <v>100</v>
      </c>
      <c r="T30" s="714" t="s">
        <v>17</v>
      </c>
      <c r="U30" s="715">
        <f t="shared" si="11"/>
        <v>100</v>
      </c>
      <c r="V30" s="714" t="s">
        <v>17</v>
      </c>
      <c r="W30" s="715">
        <f t="shared" si="12"/>
        <v>100</v>
      </c>
      <c r="X30" s="1539"/>
      <c r="Y30" s="333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0"/>
      <c r="Q31" s="1536">
        <f t="shared" si="8"/>
        <v>111</v>
      </c>
      <c r="R31" s="714" t="s">
        <v>17</v>
      </c>
      <c r="S31" s="715">
        <f t="shared" si="10"/>
        <v>100</v>
      </c>
      <c r="T31" s="714" t="s">
        <v>17</v>
      </c>
      <c r="U31" s="715">
        <f t="shared" si="11"/>
        <v>100</v>
      </c>
      <c r="V31" s="714" t="s">
        <v>17</v>
      </c>
      <c r="W31" s="715">
        <f t="shared" si="12"/>
        <v>100</v>
      </c>
      <c r="X31" s="1539"/>
      <c r="Y31" s="333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3" t="s">
        <v>2386</v>
      </c>
      <c r="Q32" s="1536">
        <f t="shared" si="8"/>
        <v>111</v>
      </c>
      <c r="R32" s="714" t="s">
        <v>17</v>
      </c>
      <c r="S32" s="715">
        <f t="shared" si="10"/>
        <v>100</v>
      </c>
      <c r="T32" s="714" t="s">
        <v>17</v>
      </c>
      <c r="U32" s="715">
        <f t="shared" si="11"/>
        <v>100</v>
      </c>
      <c r="V32" s="714" t="s">
        <v>17</v>
      </c>
      <c r="W32" s="715">
        <f t="shared" si="12"/>
        <v>100</v>
      </c>
      <c r="X32" s="1539"/>
      <c r="Y32" s="3334"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34"/>
      <c r="Q33" s="1536">
        <f t="shared" si="8"/>
        <v>111</v>
      </c>
      <c r="R33" s="717" t="s">
        <v>17</v>
      </c>
      <c r="S33" s="718">
        <f t="shared" si="10"/>
        <v>100</v>
      </c>
      <c r="T33" s="717" t="s">
        <v>17</v>
      </c>
      <c r="U33" s="718">
        <f t="shared" si="11"/>
        <v>100</v>
      </c>
      <c r="V33" s="717" t="s">
        <v>17</v>
      </c>
      <c r="W33" s="718">
        <f t="shared" si="12"/>
        <v>100</v>
      </c>
      <c r="X33" s="719"/>
      <c r="Y33" s="3334"/>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34"/>
      <c r="Q34" s="1536" t="str">
        <f>B34</f>
        <v>宗地面积</v>
      </c>
      <c r="R34" s="714" t="s">
        <v>17</v>
      </c>
      <c r="S34" s="715" t="e">
        <f t="shared" si="10"/>
        <v>#N/A</v>
      </c>
      <c r="T34" s="714" t="s">
        <v>17</v>
      </c>
      <c r="U34" s="715" t="e">
        <f t="shared" si="11"/>
        <v>#N/A</v>
      </c>
      <c r="V34" s="714" t="s">
        <v>17</v>
      </c>
      <c r="W34" s="715" t="e">
        <f t="shared" si="12"/>
        <v>#N/A</v>
      </c>
      <c r="X34" s="1539"/>
      <c r="Y34" s="3334"/>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34"/>
      <c r="Q35" s="1536" t="str">
        <f t="shared" ref="Q35:Q40" si="14">B35</f>
        <v>宗地形状</v>
      </c>
      <c r="R35" s="714" t="s">
        <v>17</v>
      </c>
      <c r="S35" s="715">
        <f t="shared" si="10"/>
        <v>100</v>
      </c>
      <c r="T35" s="714" t="s">
        <v>17</v>
      </c>
      <c r="U35" s="715">
        <f t="shared" si="11"/>
        <v>100</v>
      </c>
      <c r="V35" s="714" t="s">
        <v>17</v>
      </c>
      <c r="W35" s="715">
        <f t="shared" si="12"/>
        <v>100</v>
      </c>
      <c r="X35" s="1539"/>
      <c r="Y35" s="3334"/>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34"/>
      <c r="Q36" s="1536" t="str">
        <f t="shared" si="14"/>
        <v>宗地开发程度</v>
      </c>
      <c r="R36" s="710" t="s">
        <v>17</v>
      </c>
      <c r="S36" s="711">
        <f t="shared" si="10"/>
        <v>100</v>
      </c>
      <c r="T36" s="710" t="s">
        <v>17</v>
      </c>
      <c r="U36" s="711">
        <f t="shared" si="11"/>
        <v>100</v>
      </c>
      <c r="V36" s="710" t="s">
        <v>17</v>
      </c>
      <c r="W36" s="711">
        <f t="shared" si="12"/>
        <v>100</v>
      </c>
      <c r="X36" s="712"/>
      <c r="Y36" s="3334"/>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34" t="s">
        <v>2386</v>
      </c>
      <c r="Q37" s="1536" t="str">
        <f t="shared" si="14"/>
        <v>工程地质条件</v>
      </c>
      <c r="R37" s="714" t="s">
        <v>17</v>
      </c>
      <c r="S37" s="715">
        <f t="shared" si="10"/>
        <v>100</v>
      </c>
      <c r="T37" s="714" t="s">
        <v>17</v>
      </c>
      <c r="U37" s="715">
        <f t="shared" si="11"/>
        <v>100</v>
      </c>
      <c r="V37" s="714" t="s">
        <v>17</v>
      </c>
      <c r="W37" s="715">
        <f t="shared" si="12"/>
        <v>100</v>
      </c>
      <c r="X37" s="1539"/>
      <c r="Y37" s="3334"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34"/>
      <c r="Q38" s="1536">
        <f t="shared" si="14"/>
        <v>111</v>
      </c>
      <c r="R38" s="714" t="s">
        <v>17</v>
      </c>
      <c r="S38" s="715">
        <f t="shared" si="10"/>
        <v>100</v>
      </c>
      <c r="T38" s="714" t="s">
        <v>17</v>
      </c>
      <c r="U38" s="715">
        <f t="shared" si="11"/>
        <v>100</v>
      </c>
      <c r="V38" s="714" t="s">
        <v>17</v>
      </c>
      <c r="W38" s="715">
        <f t="shared" si="12"/>
        <v>100</v>
      </c>
      <c r="X38" s="1539"/>
      <c r="Y38" s="333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34"/>
      <c r="Q39" s="1536">
        <f t="shared" si="14"/>
        <v>111</v>
      </c>
      <c r="R39" s="714" t="s">
        <v>17</v>
      </c>
      <c r="S39" s="715">
        <f t="shared" si="10"/>
        <v>100</v>
      </c>
      <c r="T39" s="714" t="s">
        <v>17</v>
      </c>
      <c r="U39" s="715">
        <f t="shared" si="11"/>
        <v>100</v>
      </c>
      <c r="V39" s="714" t="s">
        <v>17</v>
      </c>
      <c r="W39" s="715">
        <f t="shared" si="12"/>
        <v>100</v>
      </c>
      <c r="X39" s="1539"/>
      <c r="Y39" s="333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34"/>
      <c r="Q40" s="1536">
        <f t="shared" si="14"/>
        <v>111</v>
      </c>
      <c r="R40" s="717" t="s">
        <v>17</v>
      </c>
      <c r="S40" s="718">
        <f t="shared" si="10"/>
        <v>100</v>
      </c>
      <c r="T40" s="717" t="s">
        <v>17</v>
      </c>
      <c r="U40" s="718">
        <f t="shared" si="11"/>
        <v>100</v>
      </c>
      <c r="V40" s="717" t="s">
        <v>17</v>
      </c>
      <c r="W40" s="718">
        <f t="shared" si="12"/>
        <v>100</v>
      </c>
      <c r="X40" s="719"/>
      <c r="Y40" s="3334"/>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27" t="str">
        <f>A41</f>
        <v>成交单价</v>
      </c>
      <c r="Q41" s="3327"/>
      <c r="R41" s="3322">
        <f>E41</f>
        <v>0</v>
      </c>
      <c r="S41" s="3322"/>
      <c r="T41" s="3322">
        <f>G41</f>
        <v>0</v>
      </c>
      <c r="U41" s="3322"/>
      <c r="V41" s="3322">
        <f>I41</f>
        <v>0</v>
      </c>
      <c r="W41" s="3322"/>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327" t="str">
        <f>A42</f>
        <v>比较价值（元/平方米）</v>
      </c>
      <c r="Q42" s="3327"/>
      <c r="R42" s="3355" t="e">
        <f>ROUND(PRODUCT(R41,AA7:AA40),0)</f>
        <v>#DIV/0!</v>
      </c>
      <c r="S42" s="3355"/>
      <c r="T42" s="3355" t="e">
        <f>ROUND(PRODUCT(T41,AB7:AB40),0)</f>
        <v>#DIV/0!</v>
      </c>
      <c r="U42" s="3355"/>
      <c r="V42" s="3355" t="e">
        <f>ROUND(PRODUCT(V41,AC7:AC40),0)</f>
        <v>#DIV/0!</v>
      </c>
      <c r="W42" s="335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24" t="str">
        <f>A43</f>
        <v>估价对象XX用房的比较价值（楼面单价，元/平方米）</v>
      </c>
      <c r="Q43" s="3325"/>
      <c r="R43" s="3356" t="e">
        <f>ROUND(IF(D42="简单平均",AVERAGE(R42:W42),R42*F42+T42*H42+V42*J42),0)</f>
        <v>#DIV/0!</v>
      </c>
      <c r="S43" s="3356"/>
      <c r="T43" s="3356"/>
      <c r="U43" s="3356"/>
      <c r="V43" s="3356"/>
      <c r="W43" s="3356"/>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10" t="s">
        <v>2585</v>
      </c>
      <c r="H50" s="3357"/>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78056.28</v>
      </c>
      <c r="F51" s="647" t="e">
        <f t="shared" ref="F51:F60" si="15">ROUND(B51*E51/10000,0)</f>
        <v>#DIV/0!</v>
      </c>
      <c r="G51" s="3309"/>
      <c r="H51" s="3327"/>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58"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58"/>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58"/>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58"/>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32607.03</v>
      </c>
      <c r="F56" s="647" t="e">
        <f t="shared" si="15"/>
        <v>#DIV/0!</v>
      </c>
      <c r="G56" s="2173" t="s">
        <v>2595</v>
      </c>
      <c r="H56" s="1018" t="str">
        <f>项目基本情况!C37</f>
        <v>七级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七级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0.2</v>
      </c>
      <c r="D58" s="1076">
        <v>0.25</v>
      </c>
      <c r="E58" s="223">
        <f>'数据-汇总表'!E13</f>
        <v>17089.22</v>
      </c>
      <c r="F58" s="647" t="e">
        <f t="shared" si="15"/>
        <v>#DIV/0!</v>
      </c>
      <c r="G58" s="1023" t="s">
        <v>2599</v>
      </c>
      <c r="H58" s="1018" t="str">
        <f>IF(G58="商业",项目基本情况!B37,IF(G58="办公",项目基本情况!C37,IF(G58="住宅",项目基本情况!D37,项目基本情况!E37)))</f>
        <v>七级</v>
      </c>
      <c r="I58" s="879">
        <f>SUMIF(修正!A45:A56,H58,修正!H45:H56)</f>
        <v>0.2</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七级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41486.36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Y537" sqref="Y53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2.2000000000000002</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2"/>
      <c r="B4" s="3383"/>
      <c r="C4" s="3383"/>
      <c r="D4" s="3384"/>
      <c r="E4" s="3384"/>
      <c r="F4" s="3384"/>
      <c r="G4" s="3384"/>
      <c r="H4" s="3384"/>
      <c r="I4" s="3384"/>
      <c r="J4" s="3385"/>
      <c r="K4" s="1280"/>
      <c r="L4" s="2190" t="s">
        <v>2646</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63"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2" t="s">
        <v>2656</v>
      </c>
      <c r="X7" s="1375">
        <f>G2</f>
        <v>0</v>
      </c>
      <c r="Y7" s="1375" t="s">
        <v>2657</v>
      </c>
      <c r="Z7" s="1376">
        <f>G3</f>
        <v>2.2000000000000002</v>
      </c>
      <c r="AA7" s="1377"/>
      <c r="AB7" s="1377"/>
      <c r="AC7" s="1378"/>
      <c r="AD7" s="1379"/>
      <c r="AE7" s="1379"/>
      <c r="AF7" s="1379"/>
      <c r="AG7" s="1379"/>
      <c r="AH7" s="1379"/>
      <c r="AI7" s="1379"/>
      <c r="AJ7" s="1380"/>
    </row>
    <row r="8" spans="1:36" ht="15">
      <c r="A8" s="338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9" t="s">
        <v>2661</v>
      </c>
      <c r="X8" s="3380"/>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8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1"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1" t="s">
        <v>2685</v>
      </c>
      <c r="X11" s="1385" t="s">
        <v>2686</v>
      </c>
      <c r="Y11" s="1386">
        <f>$G$3</f>
        <v>2.2000000000000002</v>
      </c>
      <c r="Z11" s="1386">
        <f t="shared" ref="Z11:AJ11" si="3">$G$3</f>
        <v>2.2000000000000002</v>
      </c>
      <c r="AA11" s="1386">
        <f t="shared" si="3"/>
        <v>2.2000000000000002</v>
      </c>
      <c r="AB11" s="1386">
        <f t="shared" si="3"/>
        <v>2.2000000000000002</v>
      </c>
      <c r="AC11" s="1386">
        <f t="shared" si="3"/>
        <v>2.2000000000000002</v>
      </c>
      <c r="AD11" s="1386">
        <f t="shared" si="3"/>
        <v>2.2000000000000002</v>
      </c>
      <c r="AE11" s="1386">
        <f t="shared" si="3"/>
        <v>2.2000000000000002</v>
      </c>
      <c r="AF11" s="1386">
        <f t="shared" si="3"/>
        <v>2.2000000000000002</v>
      </c>
      <c r="AG11" s="1386">
        <f t="shared" si="3"/>
        <v>2.2000000000000002</v>
      </c>
      <c r="AH11" s="1386">
        <f t="shared" si="3"/>
        <v>2.2000000000000002</v>
      </c>
      <c r="AI11" s="1386">
        <f t="shared" si="3"/>
        <v>2.2000000000000002</v>
      </c>
      <c r="AJ11" s="1386">
        <f t="shared" si="3"/>
        <v>2.2000000000000002</v>
      </c>
    </row>
    <row r="12" spans="1:36" ht="25.5" thickBot="1">
      <c r="A12" s="3363"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1"/>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3">
        <v>12</v>
      </c>
      <c r="S13" s="1374"/>
      <c r="T13" s="1373" t="e">
        <f t="shared" si="0"/>
        <v>#DIV/0!</v>
      </c>
      <c r="U13" s="1374"/>
      <c r="V13" s="1373" t="e">
        <f t="shared" si="1"/>
        <v>#DIV/0!</v>
      </c>
      <c r="W13" s="3381"/>
      <c r="X13" s="1387"/>
      <c r="Y13" s="1384">
        <f>(-0.163*(Y12^2)-0.59*Y12+7617)*(10^(-4))/Y11</f>
        <v>0.34622727272727272</v>
      </c>
      <c r="Z13" s="1384">
        <f t="shared" ref="Z13:AJ13" si="5">(-0.163*(Z12^2)-0.59*Z12+7617)*(10^(-4))/Z11</f>
        <v>0.34622727272727272</v>
      </c>
      <c r="AA13" s="1384">
        <f t="shared" si="5"/>
        <v>0.34622727272727272</v>
      </c>
      <c r="AB13" s="1384">
        <f t="shared" si="5"/>
        <v>0.34622727272727272</v>
      </c>
      <c r="AC13" s="1384">
        <f t="shared" si="5"/>
        <v>0.34622727272727272</v>
      </c>
      <c r="AD13" s="1384">
        <f t="shared" si="5"/>
        <v>0.34622727272727272</v>
      </c>
      <c r="AE13" s="1384">
        <f t="shared" si="5"/>
        <v>0.34622727272727272</v>
      </c>
      <c r="AF13" s="1384">
        <f t="shared" si="5"/>
        <v>0.34622727272727272</v>
      </c>
      <c r="AG13" s="1384">
        <f t="shared" si="5"/>
        <v>0.34622727272727272</v>
      </c>
      <c r="AH13" s="1384">
        <f t="shared" si="5"/>
        <v>0.34622727272727272</v>
      </c>
      <c r="AI13" s="1384">
        <f t="shared" si="5"/>
        <v>0.34622727272727272</v>
      </c>
      <c r="AJ13" s="1384">
        <f t="shared" si="5"/>
        <v>0.34622727272727272</v>
      </c>
    </row>
    <row r="14" spans="1:36" ht="15">
      <c r="A14" s="3387"/>
      <c r="B14" s="2232"/>
      <c r="C14" s="2233"/>
      <c r="D14" s="2234"/>
      <c r="E14" s="2234"/>
      <c r="F14" s="2235"/>
      <c r="G14" s="2236" t="s">
        <v>2698</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38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363" t="s">
        <v>2704</v>
      </c>
      <c r="B16" s="2209" t="s">
        <v>2705</v>
      </c>
      <c r="C16" s="2371" t="e">
        <f>ROUND(IF(F17="与级别开发程度一致",0,(G17-E17)/C17),0)</f>
        <v>#DIV/0!</v>
      </c>
      <c r="D16" s="3376" t="s">
        <v>2709</v>
      </c>
      <c r="E16" s="3377"/>
      <c r="F16" s="3376" t="s">
        <v>2706</v>
      </c>
      <c r="G16" s="3377"/>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364"/>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ROUND(IF(H19="按公示增长率计算",SUMPRODUCT((地价!A3:A33=YEAR(G19)&amp;"-"&amp;ROUNDUP(MONTH(G19)/3,0))*(地价!X2:AB2=E2)*(地价!X3:AB33)),IF(H19="地价指数",M20/M19,(1+I19)^O19)),4)</f>
        <v>#VALUE!</v>
      </c>
      <c r="D19" s="2251" t="s">
        <v>2713</v>
      </c>
      <c r="E19" s="864">
        <v>41640</v>
      </c>
      <c r="F19" s="2251" t="s">
        <v>2714</v>
      </c>
      <c r="G19" s="865">
        <f>'数据-取费表'!B2</f>
        <v>44314</v>
      </c>
      <c r="H19" s="2252"/>
      <c r="I19" s="866" t="str">
        <f>IF(H19="季度增幅（自定义）",SUMIF(N21:N24,E2,O21:O24),"")</f>
        <v/>
      </c>
      <c r="J19" s="2249"/>
      <c r="K19" s="1287"/>
      <c r="L19" s="2253" t="s">
        <v>2715</v>
      </c>
      <c r="M19" s="1496">
        <f>ROUND(SUMIF(地价!B2:F2,E2,地价!B33:F33),0)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 ca="1">存贷款利率!D4/100</f>
        <v>3.85E-2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ROUND(SUMPRODUCT((地价!A4:A33=YEAR(G19)&amp;"-"&amp;ROUNDUP(MONTH(G19)/3,0))*(地价!B2:F2=E2)*(地价!B4:F33)),0)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SUMPRODUCT((地价!A3:A33=YEAR(G19)&amp;"-"&amp;ROUNDUP(MONTH(G19)/3,0))*(地价!AD2:AH2=N21)*(地价!AD3:AH33))</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b">
        <f>IF(E22=G22,F22,IF(G3&lt;=10,ROUND(F22+(H22-F22)*(G3-E22)/(G22-E22),4),"——"))</f>
        <v>0</v>
      </c>
      <c r="E22" s="855">
        <f>ROUNDDOWN(G3,1)</f>
        <v>2.2000000000000002</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SUMPRODUCT((地价!A3:A33=YEAR(G19)&amp;"-"&amp;ROUNDUP(MONTH(G19)/3,0))*(地价!AD2:AH2=N22)*(地价!AD3:AH33))</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SUMPRODUCT((地价!A3:A33=YEAR(G19)&amp;"-"&amp;ROUNDUP(MONTH(G19)/3,0))*(地价!AD2:AH2=N24)*(地价!AD3:AH33))</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3"/>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8"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4"/>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4"/>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5"/>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5" t="s">
        <v>2792</v>
      </c>
      <c r="B90" s="3365"/>
      <c r="C90" s="3365"/>
      <c r="D90" s="3365"/>
      <c r="E90" s="3365"/>
      <c r="F90" s="3365"/>
      <c r="G90" s="3365"/>
      <c r="H90" s="3365"/>
      <c r="I90" s="3365"/>
      <c r="J90" s="3365"/>
      <c r="K90" s="2343"/>
      <c r="L90" s="2343"/>
      <c r="M90" s="2343"/>
      <c r="N90" s="2343"/>
    </row>
    <row r="91" spans="1:37">
      <c r="A91" s="3367" t="s">
        <v>2793</v>
      </c>
      <c r="B91" s="3367" t="s">
        <v>2794</v>
      </c>
      <c r="C91" s="2297" t="s">
        <v>2795</v>
      </c>
      <c r="D91" s="2298"/>
      <c r="E91" s="2298"/>
      <c r="F91" s="2298"/>
      <c r="G91" s="2298"/>
      <c r="H91" s="2298"/>
      <c r="I91" s="2298"/>
      <c r="J91" s="2344"/>
      <c r="K91" s="2345"/>
      <c r="L91" s="2345"/>
      <c r="M91" s="2345"/>
      <c r="N91" s="2345"/>
    </row>
    <row r="92" spans="1:37">
      <c r="A92" s="3367"/>
      <c r="B92" s="3367"/>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8"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9"/>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8" t="s">
        <v>2797</v>
      </c>
      <c r="B101" s="2350" t="s">
        <v>2798</v>
      </c>
      <c r="C101" s="2351">
        <f>$G$3</f>
        <v>2.2000000000000002</v>
      </c>
      <c r="D101" s="2351">
        <f t="shared" ref="D101:N101" si="31">$G$3</f>
        <v>2.2000000000000002</v>
      </c>
      <c r="E101" s="2351">
        <f t="shared" si="31"/>
        <v>2.2000000000000002</v>
      </c>
      <c r="F101" s="2351">
        <f t="shared" si="31"/>
        <v>2.2000000000000002</v>
      </c>
      <c r="G101" s="2351">
        <f t="shared" si="31"/>
        <v>2.2000000000000002</v>
      </c>
      <c r="H101" s="2351">
        <f t="shared" si="31"/>
        <v>2.2000000000000002</v>
      </c>
      <c r="I101" s="2351">
        <f t="shared" si="31"/>
        <v>2.2000000000000002</v>
      </c>
      <c r="J101" s="2351">
        <f t="shared" si="31"/>
        <v>2.2000000000000002</v>
      </c>
      <c r="K101" s="2351">
        <f t="shared" si="31"/>
        <v>2.2000000000000002</v>
      </c>
      <c r="L101" s="2351">
        <f t="shared" si="31"/>
        <v>2.2000000000000002</v>
      </c>
      <c r="M101" s="2351">
        <f t="shared" si="31"/>
        <v>2.2000000000000002</v>
      </c>
      <c r="N101" s="2351">
        <f t="shared" si="31"/>
        <v>2.2000000000000002</v>
      </c>
    </row>
    <row r="102" spans="1:14">
      <c r="A102" s="3369"/>
      <c r="B102" s="2346">
        <v>1</v>
      </c>
      <c r="C102" s="2347">
        <f>1.9362/C101</f>
        <v>0.88009090909090903</v>
      </c>
      <c r="D102" s="2347">
        <f>1.9362/D101</f>
        <v>0.88009090909090903</v>
      </c>
      <c r="E102" s="2347">
        <f>1.8629/E101</f>
        <v>0.84677272727272723</v>
      </c>
      <c r="F102" s="2347">
        <f>1.8629/F101</f>
        <v>0.84677272727272723</v>
      </c>
      <c r="G102" s="2347">
        <f>1.8629/G101</f>
        <v>0.84677272727272723</v>
      </c>
      <c r="H102" s="2347">
        <f>1.8629/H101</f>
        <v>0.84677272727272723</v>
      </c>
      <c r="I102" s="2347">
        <f>1.8629/I101</f>
        <v>0.84677272727272723</v>
      </c>
      <c r="J102" s="2347">
        <f>1.942/J101</f>
        <v>0.88272727272727258</v>
      </c>
      <c r="K102" s="2347">
        <f>1.942/K101</f>
        <v>0.88272727272727258</v>
      </c>
      <c r="L102" s="2347">
        <f>1.942/L101</f>
        <v>0.88272727272727258</v>
      </c>
      <c r="M102" s="2347">
        <f>1.942/M101</f>
        <v>0.88272727272727258</v>
      </c>
      <c r="N102" s="2347">
        <f>1.942/N101</f>
        <v>0.88272727272727258</v>
      </c>
    </row>
    <row r="103" spans="1:14">
      <c r="A103" s="3369"/>
      <c r="B103" s="2346">
        <v>2</v>
      </c>
      <c r="C103" s="2347">
        <f>1.4198/C101</f>
        <v>0.64536363636363625</v>
      </c>
      <c r="D103" s="2347">
        <f>1.4198/D101</f>
        <v>0.64536363636363625</v>
      </c>
      <c r="E103" s="2347">
        <f>1.3372/E101</f>
        <v>0.6078181818181817</v>
      </c>
      <c r="F103" s="2347">
        <f>1.3372/F101</f>
        <v>0.6078181818181817</v>
      </c>
      <c r="G103" s="2347">
        <f>1.3372/G101</f>
        <v>0.6078181818181817</v>
      </c>
      <c r="H103" s="2347">
        <f>1.3372/H101</f>
        <v>0.6078181818181817</v>
      </c>
      <c r="I103" s="2347">
        <f>1.3372/I101</f>
        <v>0.6078181818181817</v>
      </c>
      <c r="J103" s="2347">
        <f>1.2799/J101</f>
        <v>0.58177272727272722</v>
      </c>
      <c r="K103" s="2347">
        <f>1.2799/K101</f>
        <v>0.58177272727272722</v>
      </c>
      <c r="L103" s="2347">
        <f>1.2799/L101</f>
        <v>0.58177272727272722</v>
      </c>
      <c r="M103" s="2347">
        <f>1.2799/M101</f>
        <v>0.58177272727272722</v>
      </c>
      <c r="N103" s="2347">
        <f>1.2799/N101</f>
        <v>0.58177272727272722</v>
      </c>
    </row>
    <row r="104" spans="1:14">
      <c r="A104" s="3369"/>
      <c r="B104" s="2346">
        <v>3</v>
      </c>
      <c r="C104" s="2347">
        <f>1.1594/C101</f>
        <v>0.52699999999999991</v>
      </c>
      <c r="D104" s="2347">
        <f>1.1594/D101</f>
        <v>0.52699999999999991</v>
      </c>
      <c r="E104" s="2347">
        <f>1.0788/E101</f>
        <v>0.49036363636363633</v>
      </c>
      <c r="F104" s="2347">
        <f>1.0788/F101</f>
        <v>0.49036363636363633</v>
      </c>
      <c r="G104" s="2347">
        <f>1.0788/G101</f>
        <v>0.49036363636363633</v>
      </c>
      <c r="H104" s="2347">
        <f>1.0788/H101</f>
        <v>0.49036363636363633</v>
      </c>
      <c r="I104" s="2347">
        <f>1.0788/I101</f>
        <v>0.49036363636363633</v>
      </c>
      <c r="J104" s="2347">
        <f>1.0072/J101</f>
        <v>0.45781818181818185</v>
      </c>
      <c r="K104" s="2347">
        <f>1.0072/K101</f>
        <v>0.45781818181818185</v>
      </c>
      <c r="L104" s="2347">
        <f>1.0072/L101</f>
        <v>0.45781818181818185</v>
      </c>
      <c r="M104" s="2347">
        <f>1.0072/M101</f>
        <v>0.45781818181818185</v>
      </c>
      <c r="N104" s="2347">
        <f>1.0072/N101</f>
        <v>0.45781818181818185</v>
      </c>
    </row>
    <row r="105" spans="1:14">
      <c r="A105" s="3369"/>
      <c r="B105" s="2346">
        <v>4</v>
      </c>
      <c r="C105" s="2347">
        <f>0.9622/C101</f>
        <v>0.43736363636363634</v>
      </c>
      <c r="D105" s="2347">
        <f>0.9622/D101</f>
        <v>0.43736363636363634</v>
      </c>
      <c r="E105" s="2347">
        <f>0.8656/E101</f>
        <v>0.39345454545454545</v>
      </c>
      <c r="F105" s="2347">
        <f>0.8656/F101</f>
        <v>0.39345454545454545</v>
      </c>
      <c r="G105" s="2347">
        <f>0.8656/G101</f>
        <v>0.39345454545454545</v>
      </c>
      <c r="H105" s="2347">
        <f>0.8656/H101</f>
        <v>0.39345454545454545</v>
      </c>
      <c r="I105" s="2347">
        <f>0.8656/I101</f>
        <v>0.39345454545454545</v>
      </c>
      <c r="J105" s="2347">
        <f>0.7525/J101</f>
        <v>0.34204545454545449</v>
      </c>
      <c r="K105" s="2347">
        <f>0.7525/K101</f>
        <v>0.34204545454545449</v>
      </c>
      <c r="L105" s="2347">
        <f>0.7525/L101</f>
        <v>0.34204545454545449</v>
      </c>
      <c r="M105" s="2347">
        <f>0.7525/M101</f>
        <v>0.34204545454545449</v>
      </c>
      <c r="N105" s="2347">
        <f>0.7525/N101</f>
        <v>0.34204545454545449</v>
      </c>
    </row>
    <row r="106" spans="1:14">
      <c r="A106" s="3369"/>
      <c r="B106" s="2346">
        <v>5</v>
      </c>
      <c r="C106" s="2347">
        <f>0.8417/C101</f>
        <v>0.38259090909090904</v>
      </c>
      <c r="D106" s="2347">
        <f>0.8417/D101</f>
        <v>0.38259090909090904</v>
      </c>
      <c r="E106" s="2347">
        <f>0.7371/E101</f>
        <v>0.33504545454545454</v>
      </c>
      <c r="F106" s="2347">
        <f>0.7371/F101</f>
        <v>0.33504545454545454</v>
      </c>
      <c r="G106" s="2347">
        <f>0.7371/G101</f>
        <v>0.33504545454545454</v>
      </c>
      <c r="H106" s="2347">
        <f>0.7371/H101</f>
        <v>0.33504545454545454</v>
      </c>
      <c r="I106" s="2347">
        <f>0.7371/I101</f>
        <v>0.33504545454545454</v>
      </c>
      <c r="J106" s="2347">
        <f>0.5659/J101</f>
        <v>0.25722727272727269</v>
      </c>
      <c r="K106" s="2347">
        <f>0.5659/K101</f>
        <v>0.25722727272727269</v>
      </c>
      <c r="L106" s="2347">
        <f>0.5659/L101</f>
        <v>0.25722727272727269</v>
      </c>
      <c r="M106" s="2347">
        <f>0.5659/M101</f>
        <v>0.25722727272727269</v>
      </c>
      <c r="N106" s="2347">
        <f>0.5659/N101</f>
        <v>0.25722727272727269</v>
      </c>
    </row>
    <row r="107" spans="1:14">
      <c r="A107" s="3369"/>
      <c r="B107" s="2346">
        <v>6</v>
      </c>
      <c r="C107" s="2347">
        <f>0.7608/C101</f>
        <v>0.3458181818181818</v>
      </c>
      <c r="D107" s="2347">
        <f>0.7608/D101</f>
        <v>0.3458181818181818</v>
      </c>
      <c r="E107" s="2347">
        <f>0.6482/E101</f>
        <v>0.29463636363636359</v>
      </c>
      <c r="F107" s="2347">
        <f>0.6482/F101</f>
        <v>0.29463636363636359</v>
      </c>
      <c r="G107" s="2347">
        <f>0.6482/G101</f>
        <v>0.29463636363636359</v>
      </c>
      <c r="H107" s="2347">
        <f>0.6482/H101</f>
        <v>0.29463636363636359</v>
      </c>
      <c r="I107" s="2347">
        <f>0.6482/I101</f>
        <v>0.29463636363636359</v>
      </c>
      <c r="J107" s="2347">
        <f>0.4525/J101</f>
        <v>0.20568181818181816</v>
      </c>
      <c r="K107" s="2347">
        <f>0.4525/K101</f>
        <v>0.20568181818181816</v>
      </c>
      <c r="L107" s="2347">
        <f>0.4525/L101</f>
        <v>0.20568181818181816</v>
      </c>
      <c r="M107" s="2347">
        <f>0.4525/M101</f>
        <v>0.20568181818181816</v>
      </c>
      <c r="N107" s="2347">
        <f>0.4525/N101</f>
        <v>0.20568181818181816</v>
      </c>
    </row>
    <row r="108" spans="1:14">
      <c r="A108" s="3369"/>
      <c r="B108" s="3371"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0"/>
      <c r="B109" s="3372"/>
      <c r="C109" s="2349">
        <f>(-0.163*(C108^2)-0.59*C108+7617)*(10^(-4))/C101</f>
        <v>0.34622727272727272</v>
      </c>
      <c r="D109" s="2349">
        <f>(-0.163*(D108^2)-0.59*D108+7617)*(10^(-4))/D101</f>
        <v>0.34622727272727272</v>
      </c>
      <c r="E109" s="2349">
        <f>(-0.161*(E108^2)-7.509*E108+6533)*(10^(-4))/E101</f>
        <v>0.29695454545454542</v>
      </c>
      <c r="F109" s="2349">
        <f>(-0.161*(F108^2)-7.509*F108+6533)*(10^(-4))/F101</f>
        <v>0.29695454545454542</v>
      </c>
      <c r="G109" s="2349">
        <f>(-0.161*(G108^2)-7.509*G108+6533)*(10^(-4))/G101</f>
        <v>0.29695454545454542</v>
      </c>
      <c r="H109" s="2349">
        <f>(-0.161*(H108^2)-7.509*H108+6533)*(10^(-4))/H101</f>
        <v>0.29695454545454542</v>
      </c>
      <c r="I109" s="2349">
        <f>(-0.161*(I108^2)-7.509*I108+6533)*(10^(-4))/I101</f>
        <v>0.29695454545454542</v>
      </c>
      <c r="J109" s="2349">
        <f>(-0.214*(J108^2)-21.991*J108+4665)*(10^(-4))/J101</f>
        <v>0.21204545454545454</v>
      </c>
      <c r="K109" s="2349">
        <f>(-0.214*(K108^2)-21.991*K108+4665)*(10^(-4))/K101</f>
        <v>0.21204545454545454</v>
      </c>
      <c r="L109" s="2349">
        <f>(-0.214*(L108^2)-21.991*L108+4665)*(10^(-4))/L101</f>
        <v>0.21204545454545454</v>
      </c>
      <c r="M109" s="2349">
        <f>(-0.214*(M108^2)-21.991*M108+4665)*(10^(-4))/M101</f>
        <v>0.21204545454545454</v>
      </c>
      <c r="N109" s="2349">
        <f>(-0.214*(N108^2)-21.991*N108+4665)*(10^(-4))/N101</f>
        <v>0.21204545454545454</v>
      </c>
    </row>
    <row r="110" spans="1:14">
      <c r="A110" s="3366" t="s">
        <v>2800</v>
      </c>
      <c r="B110" s="3366"/>
      <c r="C110" s="3366"/>
      <c r="D110" s="3366"/>
      <c r="E110" s="3366"/>
      <c r="F110" s="3366"/>
      <c r="G110" s="3366"/>
      <c r="H110" s="3366"/>
      <c r="I110" s="3366"/>
      <c r="J110" s="3366"/>
      <c r="K110" s="2352"/>
      <c r="L110" s="2352"/>
      <c r="M110" s="2352"/>
      <c r="N110" s="2352"/>
    </row>
    <row r="112" spans="1:14" ht="13.5" thickBot="1"/>
    <row r="113" spans="1:13" ht="25.5" thickBot="1">
      <c r="A113" s="842" t="s">
        <v>2801</v>
      </c>
      <c r="B113" s="1197">
        <f>G3</f>
        <v>2.2000000000000002</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0.91279999999999994</v>
      </c>
      <c r="C115" s="849">
        <f>B115</f>
        <v>0.91279999999999994</v>
      </c>
      <c r="D115" s="849">
        <f>ROUND(0.8331-0.0109*B113,4)</f>
        <v>0.80910000000000004</v>
      </c>
      <c r="E115" s="849">
        <f>D115</f>
        <v>0.80910000000000004</v>
      </c>
      <c r="F115" s="849">
        <f>E115</f>
        <v>0.80910000000000004</v>
      </c>
      <c r="G115" s="849">
        <f>F115</f>
        <v>0.80910000000000004</v>
      </c>
      <c r="H115" s="849">
        <f>G115</f>
        <v>0.80910000000000004</v>
      </c>
      <c r="I115" s="849">
        <f>ROUND(0.689-0.0155*B113,4)</f>
        <v>0.65490000000000004</v>
      </c>
      <c r="J115" s="849">
        <f t="shared" ref="J115:M118" si="33">I115</f>
        <v>0.65490000000000004</v>
      </c>
      <c r="K115" s="849">
        <f t="shared" si="33"/>
        <v>0.65490000000000004</v>
      </c>
      <c r="L115" s="849">
        <f t="shared" si="33"/>
        <v>0.65490000000000004</v>
      </c>
      <c r="M115" s="850">
        <f t="shared" si="33"/>
        <v>0.65490000000000004</v>
      </c>
    </row>
    <row r="116" spans="1:13">
      <c r="A116" s="848" t="s">
        <v>2701</v>
      </c>
      <c r="B116" s="849">
        <f>ROUND(0.949-0.012*B113,4)</f>
        <v>0.92259999999999998</v>
      </c>
      <c r="C116" s="849">
        <f>B116</f>
        <v>0.92259999999999998</v>
      </c>
      <c r="D116" s="849">
        <f>ROUND(0.8567-0.013*B113,4)</f>
        <v>0.82809999999999995</v>
      </c>
      <c r="E116" s="849">
        <f t="shared" ref="E116:H117" si="34">D116</f>
        <v>0.82809999999999995</v>
      </c>
      <c r="F116" s="849">
        <f t="shared" si="34"/>
        <v>0.82809999999999995</v>
      </c>
      <c r="G116" s="849">
        <f t="shared" si="34"/>
        <v>0.82809999999999995</v>
      </c>
      <c r="H116" s="849">
        <f t="shared" si="34"/>
        <v>0.82809999999999995</v>
      </c>
      <c r="I116" s="849">
        <f>ROUND(0.7694-0.014*B113,4)</f>
        <v>0.73860000000000003</v>
      </c>
      <c r="J116" s="849">
        <f t="shared" si="33"/>
        <v>0.73860000000000003</v>
      </c>
      <c r="K116" s="849">
        <f t="shared" si="33"/>
        <v>0.73860000000000003</v>
      </c>
      <c r="L116" s="849">
        <f t="shared" si="33"/>
        <v>0.73860000000000003</v>
      </c>
      <c r="M116" s="850">
        <f t="shared" si="33"/>
        <v>0.73860000000000003</v>
      </c>
    </row>
    <row r="117" spans="1:13">
      <c r="A117" s="848" t="s">
        <v>2702</v>
      </c>
      <c r="B117" s="849">
        <f>ROUND(0.8808-0.006*B113,4)</f>
        <v>0.86760000000000004</v>
      </c>
      <c r="C117" s="849">
        <f>B117</f>
        <v>0.86760000000000004</v>
      </c>
      <c r="D117" s="849">
        <f>ROUND(0.8748-0.008*B113,4)</f>
        <v>0.85719999999999996</v>
      </c>
      <c r="E117" s="849">
        <f t="shared" si="34"/>
        <v>0.85719999999999996</v>
      </c>
      <c r="F117" s="849">
        <f t="shared" si="34"/>
        <v>0.85719999999999996</v>
      </c>
      <c r="G117" s="849">
        <f t="shared" si="34"/>
        <v>0.85719999999999996</v>
      </c>
      <c r="H117" s="849">
        <f t="shared" si="34"/>
        <v>0.85719999999999996</v>
      </c>
      <c r="I117" s="849">
        <f>ROUND(0.7412-0.0095*B113,4)</f>
        <v>0.72030000000000005</v>
      </c>
      <c r="J117" s="849">
        <f t="shared" si="33"/>
        <v>0.72030000000000005</v>
      </c>
      <c r="K117" s="849">
        <f t="shared" si="33"/>
        <v>0.72030000000000005</v>
      </c>
      <c r="L117" s="849">
        <f t="shared" si="33"/>
        <v>0.72030000000000005</v>
      </c>
      <c r="M117" s="850">
        <f t="shared" si="33"/>
        <v>0.72030000000000005</v>
      </c>
    </row>
    <row r="118" spans="1:13" ht="13.5" thickBot="1">
      <c r="A118" s="670" t="s">
        <v>2703</v>
      </c>
      <c r="B118" s="851">
        <f>ROUND(0.7275-0.01*B113,4)</f>
        <v>0.70550000000000002</v>
      </c>
      <c r="C118" s="851">
        <f>B118</f>
        <v>0.70550000000000002</v>
      </c>
      <c r="D118" s="851">
        <f>ROUND(0.7043-0.012*B113,4)</f>
        <v>0.67789999999999995</v>
      </c>
      <c r="E118" s="851">
        <f>D118</f>
        <v>0.67789999999999995</v>
      </c>
      <c r="F118" s="851">
        <f>E118</f>
        <v>0.67789999999999995</v>
      </c>
      <c r="G118" s="851">
        <f>ROUND(0.6299-0.0122*B113,4)</f>
        <v>0.60309999999999997</v>
      </c>
      <c r="H118" s="851">
        <f>G118</f>
        <v>0.60309999999999997</v>
      </c>
      <c r="I118" s="851">
        <f>ROUND(0.5667-0.0136*B113,4)</f>
        <v>0.53680000000000005</v>
      </c>
      <c r="J118" s="851">
        <f t="shared" si="33"/>
        <v>0.53680000000000005</v>
      </c>
      <c r="K118" s="851">
        <f t="shared" si="33"/>
        <v>0.53680000000000005</v>
      </c>
      <c r="L118" s="851">
        <f t="shared" si="33"/>
        <v>0.53680000000000005</v>
      </c>
      <c r="M118" s="852">
        <f t="shared" si="33"/>
        <v>0.53680000000000005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9" t="s">
        <v>183</v>
      </c>
      <c r="B18" s="821" t="s">
        <v>560</v>
      </c>
      <c r="C18" s="822" t="s">
        <v>561</v>
      </c>
      <c r="D18" s="823"/>
      <c r="E18" s="821">
        <v>1</v>
      </c>
      <c r="F18" s="824" t="s">
        <v>562</v>
      </c>
      <c r="G18" s="825"/>
      <c r="H18" s="817"/>
      <c r="I18" s="817"/>
    </row>
    <row r="19" spans="1:9" s="826" customFormat="1" ht="19.5" customHeight="1">
      <c r="A19" s="3389"/>
      <c r="B19" s="3389" t="s">
        <v>563</v>
      </c>
      <c r="C19" s="822" t="s">
        <v>564</v>
      </c>
      <c r="D19" s="823"/>
      <c r="E19" s="821">
        <v>0.9</v>
      </c>
      <c r="F19" s="824" t="s">
        <v>565</v>
      </c>
      <c r="G19" s="825"/>
      <c r="H19" s="817"/>
      <c r="I19" s="817"/>
    </row>
    <row r="20" spans="1:9" s="826" customFormat="1" ht="19.5" customHeight="1">
      <c r="A20" s="3389"/>
      <c r="B20" s="3389"/>
      <c r="C20" s="822" t="s">
        <v>566</v>
      </c>
      <c r="D20" s="823"/>
      <c r="E20" s="821">
        <v>1.1000000000000001</v>
      </c>
      <c r="F20" s="824" t="s">
        <v>567</v>
      </c>
      <c r="G20" s="825"/>
      <c r="H20" s="817"/>
      <c r="I20" s="817"/>
    </row>
    <row r="21" spans="1:9" s="826" customFormat="1" ht="19.5" customHeight="1">
      <c r="A21" s="3389"/>
      <c r="B21" s="3389"/>
      <c r="C21" s="822" t="s">
        <v>568</v>
      </c>
      <c r="D21" s="823"/>
      <c r="E21" s="821">
        <v>0.8</v>
      </c>
      <c r="F21" s="824" t="s">
        <v>569</v>
      </c>
      <c r="G21" s="825"/>
      <c r="H21" s="817"/>
      <c r="I21" s="817"/>
    </row>
    <row r="22" spans="1:9" s="826" customFormat="1" ht="19.5" customHeight="1">
      <c r="A22" s="3389"/>
      <c r="B22" s="3389"/>
      <c r="C22" s="822" t="s">
        <v>570</v>
      </c>
      <c r="D22" s="823"/>
      <c r="E22" s="821">
        <v>0.5</v>
      </c>
      <c r="F22" s="824"/>
      <c r="G22" s="825"/>
      <c r="H22" s="817"/>
      <c r="I22" s="817"/>
    </row>
    <row r="23" spans="1:9" s="826" customFormat="1" ht="19.5" customHeight="1">
      <c r="A23" s="3389" t="s">
        <v>184</v>
      </c>
      <c r="B23" s="821" t="s">
        <v>560</v>
      </c>
      <c r="C23" s="822" t="s">
        <v>571</v>
      </c>
      <c r="D23" s="823"/>
      <c r="E23" s="821">
        <v>1</v>
      </c>
      <c r="F23" s="824" t="s">
        <v>572</v>
      </c>
      <c r="G23" s="825"/>
      <c r="H23" s="817"/>
      <c r="I23" s="817"/>
    </row>
    <row r="24" spans="1:9" s="826" customFormat="1" ht="19.5" customHeight="1">
      <c r="A24" s="3389"/>
      <c r="B24" s="3389" t="s">
        <v>563</v>
      </c>
      <c r="C24" s="822" t="s">
        <v>573</v>
      </c>
      <c r="D24" s="823"/>
      <c r="E24" s="821">
        <v>0.5</v>
      </c>
      <c r="F24" s="824"/>
      <c r="G24" s="825"/>
      <c r="H24" s="817"/>
      <c r="I24" s="817"/>
    </row>
    <row r="25" spans="1:9" s="826" customFormat="1" ht="19.5" customHeight="1">
      <c r="A25" s="3389"/>
      <c r="B25" s="3389"/>
      <c r="C25" s="822" t="s">
        <v>574</v>
      </c>
      <c r="D25" s="823"/>
      <c r="E25" s="821">
        <v>1.1000000000000001</v>
      </c>
      <c r="F25" s="824"/>
      <c r="G25" s="825"/>
      <c r="H25" s="817"/>
      <c r="I25" s="817"/>
    </row>
    <row r="26" spans="1:9" s="826" customFormat="1" ht="19.5" customHeight="1">
      <c r="A26" s="3389"/>
      <c r="B26" s="3389"/>
      <c r="C26" s="822" t="s">
        <v>575</v>
      </c>
      <c r="D26" s="823"/>
      <c r="E26" s="821">
        <v>1.1000000000000001</v>
      </c>
      <c r="F26" s="824"/>
      <c r="G26" s="825"/>
      <c r="H26" s="817"/>
      <c r="I26" s="817"/>
    </row>
    <row r="27" spans="1:9" s="826" customFormat="1" ht="19.5" customHeight="1">
      <c r="A27" s="3389"/>
      <c r="B27" s="3389"/>
      <c r="C27" s="822" t="s">
        <v>576</v>
      </c>
      <c r="D27" s="823"/>
      <c r="E27" s="821">
        <v>0.9</v>
      </c>
      <c r="F27" s="824" t="s">
        <v>577</v>
      </c>
      <c r="G27" s="825"/>
      <c r="H27" s="817"/>
      <c r="I27" s="817"/>
    </row>
    <row r="28" spans="1:9" s="826" customFormat="1" ht="19.5" customHeight="1">
      <c r="A28" s="3389"/>
      <c r="B28" s="3389"/>
      <c r="C28" s="822" t="s">
        <v>578</v>
      </c>
      <c r="D28" s="823"/>
      <c r="E28" s="821">
        <v>0.9</v>
      </c>
      <c r="F28" s="824" t="s">
        <v>579</v>
      </c>
      <c r="G28" s="825"/>
      <c r="H28" s="817"/>
      <c r="I28" s="817"/>
    </row>
    <row r="29" spans="1:9" s="826" customFormat="1" ht="19.5" customHeight="1">
      <c r="A29" s="3389"/>
      <c r="B29" s="3389"/>
      <c r="C29" s="822" t="s">
        <v>580</v>
      </c>
      <c r="D29" s="823"/>
      <c r="E29" s="821">
        <v>0.9</v>
      </c>
      <c r="F29" s="824" t="s">
        <v>581</v>
      </c>
      <c r="G29" s="825"/>
      <c r="H29" s="817"/>
      <c r="I29" s="817"/>
    </row>
    <row r="30" spans="1:9" s="826" customFormat="1" ht="19.5" customHeight="1">
      <c r="A30" s="3389"/>
      <c r="B30" s="3389"/>
      <c r="C30" s="822" t="s">
        <v>582</v>
      </c>
      <c r="D30" s="823"/>
      <c r="E30" s="821">
        <v>0.9</v>
      </c>
      <c r="F30" s="824" t="s">
        <v>583</v>
      </c>
      <c r="G30" s="825"/>
      <c r="H30" s="817"/>
      <c r="I30" s="817"/>
    </row>
    <row r="31" spans="1:9" s="826" customFormat="1" ht="19.5" customHeight="1">
      <c r="A31" s="3389"/>
      <c r="B31" s="3389"/>
      <c r="C31" s="822" t="s">
        <v>584</v>
      </c>
      <c r="D31" s="823"/>
      <c r="E31" s="821">
        <v>0.8</v>
      </c>
      <c r="F31" s="824" t="s">
        <v>585</v>
      </c>
      <c r="G31" s="825"/>
      <c r="H31" s="817"/>
      <c r="I31" s="817"/>
    </row>
    <row r="32" spans="1:9" s="826" customFormat="1" ht="19.5" customHeight="1">
      <c r="A32" s="3389"/>
      <c r="B32" s="3389"/>
      <c r="C32" s="822" t="s">
        <v>586</v>
      </c>
      <c r="D32" s="823"/>
      <c r="E32" s="821">
        <v>0.8</v>
      </c>
      <c r="F32" s="824" t="s">
        <v>587</v>
      </c>
      <c r="G32" s="825"/>
      <c r="H32" s="817"/>
      <c r="I32" s="817"/>
    </row>
    <row r="33" spans="1:9" s="826" customFormat="1" ht="19.5" customHeight="1">
      <c r="A33" s="3389" t="s">
        <v>185</v>
      </c>
      <c r="B33" s="821" t="s">
        <v>560</v>
      </c>
      <c r="C33" s="822" t="s">
        <v>588</v>
      </c>
      <c r="D33" s="823"/>
      <c r="E33" s="821">
        <v>1</v>
      </c>
      <c r="F33" s="824" t="s">
        <v>589</v>
      </c>
      <c r="G33" s="825"/>
      <c r="H33" s="817"/>
      <c r="I33" s="817"/>
    </row>
    <row r="34" spans="1:9" s="826" customFormat="1" ht="19.5" customHeight="1">
      <c r="A34" s="3389"/>
      <c r="B34" s="821" t="s">
        <v>563</v>
      </c>
      <c r="C34" s="822" t="s">
        <v>590</v>
      </c>
      <c r="D34" s="823"/>
      <c r="E34" s="821">
        <v>1.5</v>
      </c>
      <c r="F34" s="824" t="s">
        <v>591</v>
      </c>
      <c r="G34" s="825"/>
      <c r="H34" s="817"/>
      <c r="I34" s="817"/>
    </row>
    <row r="35" spans="1:9" s="826" customFormat="1" ht="19.5" customHeight="1">
      <c r="A35" s="3389" t="s">
        <v>186</v>
      </c>
      <c r="B35" s="821" t="s">
        <v>560</v>
      </c>
      <c r="C35" s="822" t="s">
        <v>592</v>
      </c>
      <c r="D35" s="823"/>
      <c r="E35" s="821">
        <v>1</v>
      </c>
      <c r="F35" s="824" t="s">
        <v>593</v>
      </c>
      <c r="G35" s="825"/>
      <c r="H35" s="817"/>
      <c r="I35" s="817"/>
    </row>
    <row r="36" spans="1:9" s="826" customFormat="1" ht="19.5" customHeight="1">
      <c r="A36" s="3389"/>
      <c r="B36" s="3389" t="s">
        <v>563</v>
      </c>
      <c r="C36" s="822" t="s">
        <v>594</v>
      </c>
      <c r="D36" s="823"/>
      <c r="E36" s="821">
        <v>1</v>
      </c>
      <c r="F36" s="824" t="s">
        <v>595</v>
      </c>
      <c r="G36" s="825"/>
      <c r="H36" s="817"/>
      <c r="I36" s="817"/>
    </row>
    <row r="37" spans="1:9" s="826" customFormat="1" ht="19.5" customHeight="1">
      <c r="A37" s="3389"/>
      <c r="B37" s="3389"/>
      <c r="C37" s="822" t="s">
        <v>596</v>
      </c>
      <c r="D37" s="823"/>
      <c r="E37" s="821">
        <v>1.5</v>
      </c>
      <c r="F37" s="824" t="s">
        <v>597</v>
      </c>
      <c r="G37" s="825"/>
      <c r="H37" s="817"/>
      <c r="I37" s="817"/>
    </row>
    <row r="38" spans="1:9" s="826" customFormat="1" ht="19.5" customHeight="1">
      <c r="A38" s="3389"/>
      <c r="B38" s="3389"/>
      <c r="C38" s="822" t="s">
        <v>598</v>
      </c>
      <c r="D38" s="823"/>
      <c r="E38" s="821">
        <v>1</v>
      </c>
      <c r="F38" s="824" t="s">
        <v>599</v>
      </c>
      <c r="G38" s="825"/>
      <c r="H38" s="817"/>
      <c r="I38" s="817"/>
    </row>
    <row r="39" spans="1:9" s="826" customFormat="1" ht="19.5" customHeight="1">
      <c r="A39" s="3389"/>
      <c r="B39" s="338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9" t="s">
        <v>614</v>
      </c>
      <c r="C61" s="757" t="s">
        <v>615</v>
      </c>
      <c r="D61" s="757" t="s">
        <v>616</v>
      </c>
      <c r="E61" s="834">
        <v>0.5</v>
      </c>
      <c r="F61" s="821">
        <v>80</v>
      </c>
    </row>
    <row r="62" spans="1:8" s="817" customFormat="1" ht="24">
      <c r="A62" s="821">
        <v>2</v>
      </c>
      <c r="B62" s="3389"/>
      <c r="C62" s="757" t="s">
        <v>617</v>
      </c>
      <c r="D62" s="757" t="s">
        <v>618</v>
      </c>
      <c r="E62" s="834">
        <v>0.5</v>
      </c>
      <c r="F62" s="821">
        <v>80</v>
      </c>
    </row>
    <row r="63" spans="1:8" s="817" customFormat="1" ht="36">
      <c r="A63" s="821">
        <v>3</v>
      </c>
      <c r="B63" s="3389"/>
      <c r="C63" s="757" t="s">
        <v>619</v>
      </c>
      <c r="D63" s="757" t="s">
        <v>620</v>
      </c>
      <c r="E63" s="834">
        <v>0.5</v>
      </c>
      <c r="F63" s="821">
        <v>80</v>
      </c>
    </row>
    <row r="64" spans="1:8" s="817" customFormat="1" ht="36">
      <c r="A64" s="821">
        <v>4</v>
      </c>
      <c r="B64" s="3389"/>
      <c r="C64" s="757" t="s">
        <v>621</v>
      </c>
      <c r="D64" s="757" t="s">
        <v>622</v>
      </c>
      <c r="E64" s="834">
        <v>0.4</v>
      </c>
      <c r="F64" s="821">
        <v>60</v>
      </c>
    </row>
    <row r="65" spans="1:6" s="817" customFormat="1" ht="36">
      <c r="A65" s="821">
        <v>5</v>
      </c>
      <c r="B65" s="3389"/>
      <c r="C65" s="757" t="s">
        <v>623</v>
      </c>
      <c r="D65" s="757" t="s">
        <v>624</v>
      </c>
      <c r="E65" s="834">
        <v>0.2</v>
      </c>
      <c r="F65" s="821">
        <v>30</v>
      </c>
    </row>
    <row r="66" spans="1:6" s="817" customFormat="1" ht="36">
      <c r="A66" s="821">
        <v>6</v>
      </c>
      <c r="B66" s="3389"/>
      <c r="C66" s="757" t="s">
        <v>625</v>
      </c>
      <c r="D66" s="757" t="s">
        <v>626</v>
      </c>
      <c r="E66" s="834">
        <v>0.3</v>
      </c>
      <c r="F66" s="821">
        <v>50</v>
      </c>
    </row>
    <row r="67" spans="1:6" s="817" customFormat="1" ht="36">
      <c r="A67" s="821">
        <v>7</v>
      </c>
      <c r="B67" s="3389"/>
      <c r="C67" s="757" t="s">
        <v>627</v>
      </c>
      <c r="D67" s="757" t="s">
        <v>628</v>
      </c>
      <c r="E67" s="834">
        <v>0.2</v>
      </c>
      <c r="F67" s="821">
        <v>30</v>
      </c>
    </row>
    <row r="68" spans="1:6" s="817" customFormat="1" ht="36">
      <c r="A68" s="821">
        <v>8</v>
      </c>
      <c r="B68" s="3389"/>
      <c r="C68" s="757" t="s">
        <v>629</v>
      </c>
      <c r="D68" s="757" t="s">
        <v>630</v>
      </c>
      <c r="E68" s="834">
        <v>0.2</v>
      </c>
      <c r="F68" s="821">
        <v>30</v>
      </c>
    </row>
    <row r="69" spans="1:6" s="817" customFormat="1" ht="36">
      <c r="A69" s="821">
        <v>9</v>
      </c>
      <c r="B69" s="3389"/>
      <c r="C69" s="757" t="s">
        <v>631</v>
      </c>
      <c r="D69" s="757" t="s">
        <v>632</v>
      </c>
      <c r="E69" s="834">
        <v>0.2</v>
      </c>
      <c r="F69" s="821">
        <v>30</v>
      </c>
    </row>
    <row r="70" spans="1:6" s="817" customFormat="1" ht="48">
      <c r="A70" s="821">
        <v>10</v>
      </c>
      <c r="B70" s="3389"/>
      <c r="C70" s="757" t="s">
        <v>633</v>
      </c>
      <c r="D70" s="757" t="s">
        <v>634</v>
      </c>
      <c r="E70" s="834">
        <v>0.2</v>
      </c>
      <c r="F70" s="821">
        <v>30</v>
      </c>
    </row>
    <row r="71" spans="1:6" s="817" customFormat="1" ht="48">
      <c r="A71" s="821">
        <v>11</v>
      </c>
      <c r="B71" s="3389"/>
      <c r="C71" s="757" t="s">
        <v>635</v>
      </c>
      <c r="D71" s="757" t="s">
        <v>636</v>
      </c>
      <c r="E71" s="834">
        <v>0.2</v>
      </c>
      <c r="F71" s="821">
        <v>30</v>
      </c>
    </row>
    <row r="72" spans="1:6" s="817" customFormat="1" ht="36">
      <c r="A72" s="821">
        <v>12</v>
      </c>
      <c r="B72" s="3389"/>
      <c r="C72" s="757" t="s">
        <v>637</v>
      </c>
      <c r="D72" s="757" t="s">
        <v>638</v>
      </c>
      <c r="E72" s="834">
        <v>0.5</v>
      </c>
      <c r="F72" s="821">
        <v>80</v>
      </c>
    </row>
    <row r="73" spans="1:6" s="817" customFormat="1" ht="24">
      <c r="A73" s="821">
        <v>13</v>
      </c>
      <c r="B73" s="3389"/>
      <c r="C73" s="757" t="s">
        <v>639</v>
      </c>
      <c r="D73" s="757" t="s">
        <v>640</v>
      </c>
      <c r="E73" s="834">
        <v>0.4</v>
      </c>
      <c r="F73" s="821">
        <v>60</v>
      </c>
    </row>
    <row r="74" spans="1:6" s="817" customFormat="1" ht="24">
      <c r="A74" s="821">
        <v>14</v>
      </c>
      <c r="B74" s="3389"/>
      <c r="C74" s="757" t="s">
        <v>641</v>
      </c>
      <c r="D74" s="757" t="s">
        <v>642</v>
      </c>
      <c r="E74" s="834">
        <v>0.2</v>
      </c>
      <c r="F74" s="821">
        <v>30</v>
      </c>
    </row>
    <row r="75" spans="1:6" s="817" customFormat="1" ht="24">
      <c r="A75" s="821">
        <v>15</v>
      </c>
      <c r="B75" s="3389"/>
      <c r="C75" s="757" t="s">
        <v>643</v>
      </c>
      <c r="D75" s="757" t="s">
        <v>644</v>
      </c>
      <c r="E75" s="834">
        <v>0.2</v>
      </c>
      <c r="F75" s="821">
        <v>30</v>
      </c>
    </row>
    <row r="76" spans="1:6" s="817" customFormat="1" ht="24">
      <c r="A76" s="821">
        <v>16</v>
      </c>
      <c r="B76" s="3389" t="s">
        <v>645</v>
      </c>
      <c r="C76" s="757" t="s">
        <v>646</v>
      </c>
      <c r="D76" s="757" t="s">
        <v>647</v>
      </c>
      <c r="E76" s="834">
        <v>0.5</v>
      </c>
      <c r="F76" s="821">
        <v>80</v>
      </c>
    </row>
    <row r="77" spans="1:6" s="817" customFormat="1" ht="24">
      <c r="A77" s="821">
        <v>17</v>
      </c>
      <c r="B77" s="3389"/>
      <c r="C77" s="757" t="s">
        <v>648</v>
      </c>
      <c r="D77" s="757" t="s">
        <v>649</v>
      </c>
      <c r="E77" s="834">
        <v>0.5</v>
      </c>
      <c r="F77" s="821">
        <v>80</v>
      </c>
    </row>
    <row r="78" spans="1:6" s="817" customFormat="1" ht="24">
      <c r="A78" s="821">
        <v>18</v>
      </c>
      <c r="B78" s="3389"/>
      <c r="C78" s="757" t="s">
        <v>650</v>
      </c>
      <c r="D78" s="757" t="s">
        <v>651</v>
      </c>
      <c r="E78" s="834">
        <v>0.2</v>
      </c>
      <c r="F78" s="821">
        <v>30</v>
      </c>
    </row>
    <row r="79" spans="1:6" s="817" customFormat="1" ht="24">
      <c r="A79" s="821">
        <v>19</v>
      </c>
      <c r="B79" s="3389"/>
      <c r="C79" s="757" t="s">
        <v>652</v>
      </c>
      <c r="D79" s="757" t="s">
        <v>653</v>
      </c>
      <c r="E79" s="834">
        <v>0.5</v>
      </c>
      <c r="F79" s="821">
        <v>80</v>
      </c>
    </row>
    <row r="80" spans="1:6" s="817" customFormat="1" ht="36">
      <c r="A80" s="821">
        <v>20</v>
      </c>
      <c r="B80" s="3389"/>
      <c r="C80" s="757" t="s">
        <v>654</v>
      </c>
      <c r="D80" s="757" t="s">
        <v>655</v>
      </c>
      <c r="E80" s="834">
        <v>0.2</v>
      </c>
      <c r="F80" s="821">
        <v>30</v>
      </c>
    </row>
    <row r="81" spans="1:6" s="817" customFormat="1" ht="36">
      <c r="A81" s="821">
        <v>21</v>
      </c>
      <c r="B81" s="3389"/>
      <c r="C81" s="757" t="s">
        <v>656</v>
      </c>
      <c r="D81" s="757" t="s">
        <v>657</v>
      </c>
      <c r="E81" s="834">
        <v>0.2</v>
      </c>
      <c r="F81" s="821">
        <v>30</v>
      </c>
    </row>
    <row r="82" spans="1:6" s="817" customFormat="1" ht="48">
      <c r="A82" s="821">
        <v>22</v>
      </c>
      <c r="B82" s="3389"/>
      <c r="C82" s="757" t="s">
        <v>658</v>
      </c>
      <c r="D82" s="757" t="s">
        <v>659</v>
      </c>
      <c r="E82" s="834">
        <v>0.2</v>
      </c>
      <c r="F82" s="821">
        <v>30</v>
      </c>
    </row>
    <row r="83" spans="1:6" s="817" customFormat="1" ht="48">
      <c r="A83" s="821">
        <v>23</v>
      </c>
      <c r="B83" s="3389"/>
      <c r="C83" s="757" t="s">
        <v>660</v>
      </c>
      <c r="D83" s="757" t="s">
        <v>661</v>
      </c>
      <c r="E83" s="834">
        <v>0.2</v>
      </c>
      <c r="F83" s="821">
        <v>30</v>
      </c>
    </row>
    <row r="84" spans="1:6" s="817" customFormat="1" ht="36">
      <c r="A84" s="821">
        <v>24</v>
      </c>
      <c r="B84" s="3389"/>
      <c r="C84" s="757" t="s">
        <v>662</v>
      </c>
      <c r="D84" s="757" t="s">
        <v>663</v>
      </c>
      <c r="E84" s="834">
        <v>0.2</v>
      </c>
      <c r="F84" s="821">
        <v>30</v>
      </c>
    </row>
    <row r="85" spans="1:6" s="817" customFormat="1" ht="36">
      <c r="A85" s="821">
        <v>25</v>
      </c>
      <c r="B85" s="3389"/>
      <c r="C85" s="757" t="s">
        <v>664</v>
      </c>
      <c r="D85" s="757" t="s">
        <v>665</v>
      </c>
      <c r="E85" s="834">
        <v>0.5</v>
      </c>
      <c r="F85" s="821">
        <v>80</v>
      </c>
    </row>
    <row r="86" spans="1:6" s="817" customFormat="1" ht="36">
      <c r="A86" s="821">
        <v>26</v>
      </c>
      <c r="B86" s="3389"/>
      <c r="C86" s="757" t="s">
        <v>666</v>
      </c>
      <c r="D86" s="757" t="s">
        <v>667</v>
      </c>
      <c r="E86" s="834">
        <v>0.2</v>
      </c>
      <c r="F86" s="821">
        <v>30</v>
      </c>
    </row>
    <row r="87" spans="1:6" s="817" customFormat="1" ht="36">
      <c r="A87" s="821">
        <v>27</v>
      </c>
      <c r="B87" s="3389"/>
      <c r="C87" s="757" t="s">
        <v>668</v>
      </c>
      <c r="D87" s="757" t="s">
        <v>669</v>
      </c>
      <c r="E87" s="834">
        <v>0.2</v>
      </c>
      <c r="F87" s="821">
        <v>30</v>
      </c>
    </row>
    <row r="88" spans="1:6" s="817" customFormat="1" ht="36">
      <c r="A88" s="821">
        <v>28</v>
      </c>
      <c r="B88" s="3389"/>
      <c r="C88" s="757" t="s">
        <v>670</v>
      </c>
      <c r="D88" s="757" t="s">
        <v>671</v>
      </c>
      <c r="E88" s="834">
        <v>0.2</v>
      </c>
      <c r="F88" s="821">
        <v>30</v>
      </c>
    </row>
    <row r="89" spans="1:6" s="817" customFormat="1" ht="24">
      <c r="A89" s="821">
        <v>29</v>
      </c>
      <c r="B89" s="3389"/>
      <c r="C89" s="757" t="s">
        <v>672</v>
      </c>
      <c r="D89" s="757" t="s">
        <v>673</v>
      </c>
      <c r="E89" s="834">
        <v>0.2</v>
      </c>
      <c r="F89" s="821">
        <v>30</v>
      </c>
    </row>
    <row r="90" spans="1:6" s="817" customFormat="1" ht="24">
      <c r="A90" s="821">
        <v>30</v>
      </c>
      <c r="B90" s="3389"/>
      <c r="C90" s="757" t="s">
        <v>674</v>
      </c>
      <c r="D90" s="757" t="s">
        <v>675</v>
      </c>
      <c r="E90" s="834">
        <v>0.2</v>
      </c>
      <c r="F90" s="821">
        <v>30</v>
      </c>
    </row>
    <row r="91" spans="1:6" s="817" customFormat="1" ht="36">
      <c r="A91" s="821">
        <v>31</v>
      </c>
      <c r="B91" s="3389"/>
      <c r="C91" s="757" t="s">
        <v>676</v>
      </c>
      <c r="D91" s="757" t="s">
        <v>677</v>
      </c>
      <c r="E91" s="834">
        <v>0.2</v>
      </c>
      <c r="F91" s="821">
        <v>30</v>
      </c>
    </row>
    <row r="92" spans="1:6" s="817" customFormat="1" ht="24">
      <c r="A92" s="821">
        <v>32</v>
      </c>
      <c r="B92" s="3389" t="s">
        <v>678</v>
      </c>
      <c r="C92" s="821" t="s">
        <v>679</v>
      </c>
      <c r="D92" s="757" t="s">
        <v>680</v>
      </c>
      <c r="E92" s="834">
        <v>0.2</v>
      </c>
      <c r="F92" s="821">
        <v>30</v>
      </c>
    </row>
    <row r="93" spans="1:6" s="817" customFormat="1" ht="36">
      <c r="A93" s="821">
        <v>33</v>
      </c>
      <c r="B93" s="3389"/>
      <c r="C93" s="821" t="s">
        <v>681</v>
      </c>
      <c r="D93" s="757" t="s">
        <v>682</v>
      </c>
      <c r="E93" s="834">
        <v>0.2</v>
      </c>
      <c r="F93" s="821">
        <v>30</v>
      </c>
    </row>
    <row r="94" spans="1:6" s="817" customFormat="1" ht="48">
      <c r="A94" s="821">
        <v>34</v>
      </c>
      <c r="B94" s="3389"/>
      <c r="C94" s="821" t="s">
        <v>683</v>
      </c>
      <c r="D94" s="757" t="s">
        <v>684</v>
      </c>
      <c r="E94" s="834">
        <v>0.2</v>
      </c>
      <c r="F94" s="821">
        <v>30</v>
      </c>
    </row>
    <row r="95" spans="1:6" s="817" customFormat="1" ht="36">
      <c r="A95" s="821">
        <v>35</v>
      </c>
      <c r="B95" s="3389"/>
      <c r="C95" s="821" t="s">
        <v>685</v>
      </c>
      <c r="D95" s="757" t="s">
        <v>686</v>
      </c>
      <c r="E95" s="834">
        <v>0.2</v>
      </c>
      <c r="F95" s="821">
        <v>30</v>
      </c>
    </row>
    <row r="96" spans="1:6" s="817" customFormat="1" ht="48">
      <c r="A96" s="821">
        <v>36</v>
      </c>
      <c r="B96" s="3389"/>
      <c r="C96" s="757" t="s">
        <v>687</v>
      </c>
      <c r="D96" s="757" t="s">
        <v>688</v>
      </c>
      <c r="E96" s="834">
        <v>0.2</v>
      </c>
      <c r="F96" s="821">
        <v>30</v>
      </c>
    </row>
    <row r="97" spans="1:6" s="817" customFormat="1" ht="36">
      <c r="A97" s="821">
        <v>37</v>
      </c>
      <c r="B97" s="3389"/>
      <c r="C97" s="821" t="s">
        <v>689</v>
      </c>
      <c r="D97" s="757" t="s">
        <v>690</v>
      </c>
      <c r="E97" s="834">
        <v>0.2</v>
      </c>
      <c r="F97" s="821">
        <v>30</v>
      </c>
    </row>
    <row r="98" spans="1:6" s="817" customFormat="1" ht="36">
      <c r="A98" s="821">
        <v>38</v>
      </c>
      <c r="B98" s="3389"/>
      <c r="C98" s="821" t="s">
        <v>691</v>
      </c>
      <c r="D98" s="757" t="s">
        <v>692</v>
      </c>
      <c r="E98" s="834">
        <v>0.2</v>
      </c>
      <c r="F98" s="821">
        <v>30</v>
      </c>
    </row>
    <row r="99" spans="1:6" s="817" customFormat="1" ht="36">
      <c r="A99" s="821">
        <v>39</v>
      </c>
      <c r="B99" s="3389" t="s">
        <v>693</v>
      </c>
      <c r="C99" s="821" t="s">
        <v>694</v>
      </c>
      <c r="D99" s="757" t="s">
        <v>695</v>
      </c>
      <c r="E99" s="834">
        <v>0.3</v>
      </c>
      <c r="F99" s="821">
        <v>50</v>
      </c>
    </row>
    <row r="100" spans="1:6" s="817" customFormat="1" ht="24">
      <c r="A100" s="821">
        <v>40</v>
      </c>
      <c r="B100" s="3389"/>
      <c r="C100" s="821" t="s">
        <v>696</v>
      </c>
      <c r="D100" s="757" t="s">
        <v>697</v>
      </c>
      <c r="E100" s="834">
        <v>0.2</v>
      </c>
      <c r="F100" s="821">
        <v>30</v>
      </c>
    </row>
    <row r="101" spans="1:6" s="817" customFormat="1" ht="36">
      <c r="A101" s="821">
        <v>41</v>
      </c>
      <c r="B101" s="338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9" t="s">
        <v>708</v>
      </c>
      <c r="C105" s="821" t="s">
        <v>709</v>
      </c>
      <c r="D105" s="757" t="s">
        <v>710</v>
      </c>
      <c r="E105" s="834">
        <v>0.2</v>
      </c>
      <c r="F105" s="821">
        <v>30</v>
      </c>
    </row>
    <row r="106" spans="1:6" s="817" customFormat="1" ht="36">
      <c r="A106" s="821">
        <v>46</v>
      </c>
      <c r="B106" s="3389"/>
      <c r="C106" s="821" t="s">
        <v>711</v>
      </c>
      <c r="D106" s="757" t="s">
        <v>712</v>
      </c>
      <c r="E106" s="834">
        <v>0.2</v>
      </c>
      <c r="F106" s="821">
        <v>30</v>
      </c>
    </row>
    <row r="107" spans="1:6" s="817" customFormat="1" ht="36">
      <c r="A107" s="821">
        <v>47</v>
      </c>
      <c r="B107" s="3389" t="s">
        <v>713</v>
      </c>
      <c r="C107" s="821" t="s">
        <v>714</v>
      </c>
      <c r="D107" s="757" t="s">
        <v>715</v>
      </c>
      <c r="E107" s="834">
        <v>0.3</v>
      </c>
      <c r="F107" s="821">
        <v>50</v>
      </c>
    </row>
    <row r="108" spans="1:6" s="817" customFormat="1" ht="36">
      <c r="A108" s="821">
        <v>48</v>
      </c>
      <c r="B108" s="338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9" t="s">
        <v>724</v>
      </c>
      <c r="C111" s="821" t="s">
        <v>725</v>
      </c>
      <c r="D111" s="757" t="s">
        <v>726</v>
      </c>
      <c r="E111" s="834">
        <v>0.2</v>
      </c>
      <c r="F111" s="821">
        <v>30</v>
      </c>
    </row>
    <row r="112" spans="1:6" s="817" customFormat="1" ht="24">
      <c r="A112" s="821">
        <v>52</v>
      </c>
      <c r="B112" s="3389"/>
      <c r="C112" s="821" t="s">
        <v>727</v>
      </c>
      <c r="D112" s="757" t="s">
        <v>728</v>
      </c>
      <c r="E112" s="834">
        <v>0.2</v>
      </c>
      <c r="F112" s="821">
        <v>30</v>
      </c>
    </row>
    <row r="113" spans="1:6" s="817" customFormat="1" ht="24">
      <c r="A113" s="821">
        <v>53</v>
      </c>
      <c r="B113" s="338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9" t="s">
        <v>737</v>
      </c>
      <c r="C116" s="821" t="s">
        <v>738</v>
      </c>
      <c r="D116" s="757" t="s">
        <v>739</v>
      </c>
      <c r="E116" s="834">
        <v>0.2</v>
      </c>
      <c r="F116" s="821">
        <v>30</v>
      </c>
    </row>
    <row r="117" spans="1:6" ht="36">
      <c r="A117" s="821">
        <v>57</v>
      </c>
      <c r="B117" s="338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J22" sqref="J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5" t="s">
        <v>1117</v>
      </c>
      <c r="C1" s="3395"/>
      <c r="D1" s="3395"/>
      <c r="E1" s="3395"/>
      <c r="F1" s="3395"/>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ROUND(AVERAGE($I4:$I33),2)</f>
        <v>1.79</v>
      </c>
      <c r="J3" s="2399">
        <f>ROUND(AVERAGE($J4:$J33),2)</f>
        <v>1.1200000000000001</v>
      </c>
      <c r="K3" s="2399">
        <f>ROUND(AVERAGE($K4:$K33),2)</f>
        <v>1.97</v>
      </c>
      <c r="L3" s="2399">
        <f>ROUND(AVERAGE($L4:$L33),2)</f>
        <v>1.29</v>
      </c>
      <c r="N3" s="2397"/>
      <c r="S3" s="2397"/>
      <c r="W3" s="2401"/>
      <c r="X3" s="2402">
        <f>ROUND(SUMPRODUCT(PRODUCT(1+N3:N$32)),4)</f>
        <v>1.619</v>
      </c>
      <c r="Y3" s="2402">
        <f>ROUND(SUMPRODUCT(PRODUCT(1+O3:O$32)),4)</f>
        <v>1.3491</v>
      </c>
      <c r="Z3" s="2402">
        <f t="shared" ref="Z3:Z30" si="0">Y3</f>
        <v>1.3491</v>
      </c>
      <c r="AA3" s="2402">
        <f>ROUND(SUMPRODUCT(PRODUCT(1+P3:P$32)),4)</f>
        <v>1.6988000000000001</v>
      </c>
      <c r="AB3" s="2402">
        <f>ROUND(SUMPRODUCT(PRODUCT(1+Q3:Q$32)),4)</f>
        <v>1.4315</v>
      </c>
      <c r="AD3" s="2403">
        <f>ROUND(AVERAGE(I3:I$33)/100,4)</f>
        <v>1.7899999999999999E-2</v>
      </c>
      <c r="AE3" s="2403">
        <f>ROUND(AVERAGE(J3:J$33)/100,4)</f>
        <v>1.12E-2</v>
      </c>
      <c r="AF3" s="2403">
        <f t="shared" ref="AF3:AF31" si="1">AE3</f>
        <v>1.12E-2</v>
      </c>
      <c r="AG3" s="2403">
        <f>ROUND(AVERAGE(K3:K$33)/100,4)</f>
        <v>1.9699999999999999E-2</v>
      </c>
      <c r="AH3" s="2403">
        <f>ROUND(AVERAGE(L3:L$33)/100,4)</f>
        <v>1.29E-2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3">
        <v>2021</v>
      </c>
      <c r="H5" s="2415">
        <v>1</v>
      </c>
      <c r="I5" s="2416">
        <v>0.97</v>
      </c>
      <c r="J5" s="2416">
        <v>0.16</v>
      </c>
      <c r="K5" s="2416">
        <v>1.1100000000000001</v>
      </c>
      <c r="L5" s="2416">
        <v>0.36</v>
      </c>
      <c r="N5" s="2418">
        <f t="shared" ref="N5" si="7">I5/100</f>
        <v>9.7000000000000003E-3</v>
      </c>
      <c r="O5" s="2418">
        <f t="shared" ref="O5" si="8">J5/100</f>
        <v>1.6000000000000001E-3</v>
      </c>
      <c r="P5" s="2418">
        <f t="shared" ref="P5" si="9">K5/100</f>
        <v>1.11E-2</v>
      </c>
      <c r="Q5" s="2418">
        <f t="shared" ref="Q5" si="10">L5/100</f>
        <v>3.5999999999999999E-3</v>
      </c>
      <c r="S5" s="2419"/>
      <c r="W5" s="2420" t="s">
        <v>2857</v>
      </c>
      <c r="X5" s="2421">
        <f>ROUND(IF(项目基本情况!B5="出让",SUMPRODUCT(PRODUCT(1+N5:N$33)),SUMPRODUCT(PRODUCT(1+N5:N$32))),4)</f>
        <v>1.619</v>
      </c>
      <c r="Y5" s="2421">
        <f>ROUND(IF(项目基本情况!B5="出让",SUMPRODUCT(PRODUCT(1+O5:O$33)),SUMPRODUCT(PRODUCT(1+O5:O$32))),4)</f>
        <v>1.3491</v>
      </c>
      <c r="Z5" s="2421">
        <f t="shared" ref="Z5" si="11">Y5</f>
        <v>1.3491</v>
      </c>
      <c r="AA5" s="2421">
        <f>ROUND(IF(项目基本情况!B5="出让",SUMPRODUCT(PRODUCT(1+P5:P$33)),SUMPRODUCT(PRODUCT(1+P5:P$32))),4)</f>
        <v>1.6988000000000001</v>
      </c>
      <c r="AB5" s="2421">
        <f>ROUND(IF(项目基本情况!B5="出让",SUMPRODUCT(PRODUCT(1+Q5:Q$33)),SUMPRODUCT(PRODUCT(1+Q5:Q$32))),4)</f>
        <v>1.4315</v>
      </c>
      <c r="AD5" s="2422">
        <f>ROUND(AVERAGE(I5:I$33)/100,4)</f>
        <v>1.7899999999999999E-2</v>
      </c>
      <c r="AE5" s="2422">
        <f>ROUND(AVERAGE(J5:J$33)/100,4)</f>
        <v>1.12E-2</v>
      </c>
      <c r="AF5" s="2422">
        <f t="shared" ref="AF5" si="12">AE5</f>
        <v>1.12E-2</v>
      </c>
      <c r="AG5" s="2422">
        <f>ROUND(AVERAGE(K5:K$33)/100,4)</f>
        <v>1.9699999999999999E-2</v>
      </c>
      <c r="AH5" s="2422">
        <f>ROUND(AVERAGE(L5:L$33)/100,4)</f>
        <v>1.29E-2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3">
        <v>2020</v>
      </c>
      <c r="H6" s="2425">
        <v>4</v>
      </c>
      <c r="I6" s="2387">
        <v>2.0699999999999998</v>
      </c>
      <c r="J6" s="2387">
        <v>0.37</v>
      </c>
      <c r="K6" s="2387">
        <v>2.35</v>
      </c>
      <c r="L6" s="2388">
        <v>2.69</v>
      </c>
      <c r="M6" s="2410"/>
      <c r="N6" s="2426">
        <f t="shared" ref="N6" si="18">I6/100</f>
        <v>2.07E-2</v>
      </c>
      <c r="O6" s="2411">
        <f t="shared" ref="O6" si="19">J6/100</f>
        <v>3.7000000000000002E-3</v>
      </c>
      <c r="P6" s="2411">
        <f t="shared" ref="P6" si="20">K6/100</f>
        <v>2.35E-2</v>
      </c>
      <c r="Q6" s="2411">
        <f t="shared" ref="Q6" si="21">L6/100</f>
        <v>2.69E-2</v>
      </c>
      <c r="R6" s="2427"/>
      <c r="S6" s="2426"/>
      <c r="T6" s="2411"/>
      <c r="U6" s="2411"/>
      <c r="V6" s="2411"/>
      <c r="W6" s="2428"/>
      <c r="X6" s="2428">
        <f>ROUND(IF(项目基本情况!B6="出让",SUMPRODUCT(PRODUCT(1+N6:N$33)),SUMPRODUCT(PRODUCT(1+N6:N$32))),4)</f>
        <v>1.6034999999999999</v>
      </c>
      <c r="Y6" s="2428">
        <f>ROUND(IF(项目基本情况!B6="出让",SUMPRODUCT(PRODUCT(1+O6:O$33)),SUMPRODUCT(PRODUCT(1+O6:O$32))),4)</f>
        <v>1.3469</v>
      </c>
      <c r="Z6" s="2428">
        <f t="shared" ref="Z6" si="22">Y6</f>
        <v>1.3469</v>
      </c>
      <c r="AA6" s="2428">
        <f>ROUND(IF(项目基本情况!B6="出让",SUMPRODUCT(PRODUCT(1+P6:P$33)),SUMPRODUCT(PRODUCT(1+P6:P$32))),4)</f>
        <v>1.6801999999999999</v>
      </c>
      <c r="AB6" s="2428">
        <f>ROUND(IF(项目基本情况!B6="出让",SUMPRODUCT(PRODUCT(1+Q6:Q$33)),SUMPRODUCT(PRODUCT(1+Q6:Q$32))),4)</f>
        <v>1.4263999999999999</v>
      </c>
      <c r="AC6" s="2428"/>
      <c r="AD6" s="2429">
        <f>ROUND(AVERAGE(I6:I$33)/100,4)</f>
        <v>1.8200000000000001E-2</v>
      </c>
      <c r="AE6" s="2429">
        <f>ROUND(AVERAGE(J6:J$33)/100,4)</f>
        <v>1.1599999999999999E-2</v>
      </c>
      <c r="AF6" s="2429">
        <f t="shared" ref="AF6" si="23">AE6</f>
        <v>1.1599999999999999E-2</v>
      </c>
      <c r="AG6" s="2429">
        <f>ROUND(AVERAGE(K6:K$33)/100,4)</f>
        <v>0.02</v>
      </c>
      <c r="AH6" s="2429">
        <f>ROUND(AVERAGE(L6:L$33)/100,4)</f>
        <v>1.3299999999999999E-2</v>
      </c>
    </row>
    <row r="7" spans="1:34" s="2430" customFormat="1">
      <c r="A7" s="2423" t="s">
        <v>3059</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2873</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2871</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2870</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2869</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2867</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2865</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2868</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393">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2863</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393"/>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2862</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393"/>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2855</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00"/>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2853</v>
      </c>
      <c r="B18" s="2438">
        <v>439</v>
      </c>
      <c r="C18" s="2438">
        <v>327</v>
      </c>
      <c r="D18" s="2438">
        <f>C18</f>
        <v>327</v>
      </c>
      <c r="E18" s="2438">
        <v>627</v>
      </c>
      <c r="F18" s="2439">
        <v>283</v>
      </c>
      <c r="G18" s="3396">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2854</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393"/>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393"/>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00"/>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396">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393"/>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393"/>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394"/>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392">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393"/>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393"/>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394"/>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392">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393"/>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393"/>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394"/>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397">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398"/>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398"/>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399"/>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392">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393"/>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393"/>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394"/>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392">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393">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393">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394">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392">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393">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393">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394">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392">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393">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393">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394">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392">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393">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393">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394">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392">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393">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393">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394">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392">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393">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393">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394">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392">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393">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393">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394">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392">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393">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393">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394">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392">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393">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393">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394">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392">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393">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393">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394">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223730</v>
      </c>
      <c r="E5" s="1676"/>
    </row>
    <row r="6" spans="1:5" ht="15.75">
      <c r="A6" s="1676"/>
      <c r="B6" s="3074"/>
      <c r="C6" s="1679" t="s">
        <v>1589</v>
      </c>
      <c r="D6" s="959" t="str">
        <f ca="1">NUMBERSTRING(INT(D5*10000),2)&amp;"元整"</f>
        <v>贰拾贰亿叁仟柒佰叁拾万元整</v>
      </c>
      <c r="E6" s="1676"/>
    </row>
    <row r="7" spans="1:5" ht="15.75">
      <c r="A7" s="1676"/>
      <c r="B7" s="3079"/>
      <c r="C7" s="1680" t="s">
        <v>1590</v>
      </c>
      <c r="D7" s="960">
        <f ca="1">结果表!H102</f>
        <v>16968</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223730</v>
      </c>
      <c r="E13" s="1676"/>
    </row>
    <row r="14" spans="1:5" ht="15.75">
      <c r="A14" s="1676"/>
      <c r="B14" s="3074"/>
      <c r="C14" s="1679" t="s">
        <v>1589</v>
      </c>
      <c r="D14" s="959" t="str">
        <f ca="1">NUMBERSTRING(INT(D13*10000),2)&amp;"元整"</f>
        <v>贰拾贰亿叁仟柒佰叁拾万元整</v>
      </c>
      <c r="E14" s="1676"/>
    </row>
    <row r="15" spans="1:5" ht="15">
      <c r="A15" s="1676"/>
      <c r="B15" s="3079"/>
      <c r="C15" s="1680" t="s">
        <v>1599</v>
      </c>
      <c r="D15" s="968">
        <f ca="1">结果表!H108</f>
        <v>16968</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61" activePane="bottomLeft" state="frozen"/>
      <selection activeCell="Y537" sqref="Y537"/>
      <selection pane="bottomLeft" activeCell="Y537" sqref="Y53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04" t="s">
        <v>2826</v>
      </c>
      <c r="D1" s="3405"/>
      <c r="E1" s="3405"/>
      <c r="F1" s="3405"/>
      <c r="G1" s="3405"/>
      <c r="H1" s="3405"/>
      <c r="I1" s="3405"/>
      <c r="J1" s="3405"/>
      <c r="K1" s="3405"/>
      <c r="L1" s="3405"/>
      <c r="M1" s="3405"/>
      <c r="N1" s="3405"/>
      <c r="O1" s="3405"/>
      <c r="P1" s="3405"/>
      <c r="Q1" s="3405"/>
      <c r="R1" s="3405"/>
      <c r="S1" s="3406"/>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401" t="s">
        <v>33</v>
      </c>
      <c r="D22" s="3402"/>
      <c r="E22" s="3402"/>
      <c r="F22" s="3402"/>
      <c r="G22" s="3402"/>
      <c r="H22" s="3402"/>
      <c r="I22" s="3402"/>
      <c r="J22" s="3402"/>
      <c r="K22" s="3402"/>
      <c r="L22" s="3402"/>
      <c r="M22" s="3402"/>
      <c r="N22" s="3402"/>
      <c r="O22" s="3402"/>
      <c r="P22" s="3402"/>
      <c r="Q22" s="3403"/>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92155</v>
      </c>
      <c r="C2" s="2" t="s">
        <v>133</v>
      </c>
      <c r="D2" s="205"/>
      <c r="E2" s="205"/>
      <c r="F2" s="205"/>
      <c r="G2" s="205"/>
    </row>
    <row r="3" spans="1:7" s="206" customFormat="1" ht="18" customHeight="1" thickBot="1">
      <c r="A3" s="209" t="s">
        <v>85</v>
      </c>
      <c r="B3" s="210">
        <f ca="1">ROUND(B2*10000/'数据-汇总表'!E3,0)</f>
        <v>6989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2637</v>
      </c>
      <c r="D10" s="954">
        <f>'数据-汇总表'!E6</f>
        <v>131855.63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2637</v>
      </c>
      <c r="D19" s="958">
        <f>'数据-汇总表'!E3</f>
        <v>131855.63</v>
      </c>
      <c r="E19" s="217">
        <f>'数据-取费表'!B31</f>
        <v>200</v>
      </c>
      <c r="F19" s="237"/>
      <c r="G19" s="1" t="s">
        <v>1042</v>
      </c>
    </row>
    <row r="20" spans="1:7" s="220" customFormat="1" ht="13.5" customHeight="1">
      <c r="A20" s="885" t="s">
        <v>1025</v>
      </c>
      <c r="B20" s="216" t="s">
        <v>104</v>
      </c>
      <c r="C20" s="238">
        <f>ROUND((C5+C19)*F20,0)</f>
        <v>697</v>
      </c>
      <c r="D20" s="238"/>
      <c r="E20" s="238"/>
      <c r="F20" s="239">
        <f>'数据-取费表'!B37</f>
        <v>0.03</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2096</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234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4310</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4310</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32878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44765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39557</v>
      </c>
      <c r="D34" s="223"/>
      <c r="E34" s="226"/>
      <c r="F34" s="263">
        <f>IF('数据-取费表'!B24=0,1,'数据-取费表'!N16)</f>
        <v>1</v>
      </c>
      <c r="G34" s="225" t="s">
        <v>116</v>
      </c>
    </row>
    <row r="35" spans="1:7" ht="13.5" customHeight="1">
      <c r="A35" s="888" t="s">
        <v>796</v>
      </c>
      <c r="B35" s="221" t="s">
        <v>60</v>
      </c>
      <c r="C35" s="226">
        <f>ROUND(C34*F35,0)</f>
        <v>1978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2637</v>
      </c>
      <c r="D37" s="223">
        <f>'数据-汇总表'!E3</f>
        <v>131855.63</v>
      </c>
      <c r="E37" s="255">
        <f>'数据-取费表'!B35</f>
        <v>200</v>
      </c>
      <c r="F37" s="265"/>
      <c r="G37" s="267" t="s">
        <v>119</v>
      </c>
    </row>
    <row r="38" spans="1:7" ht="13.5" customHeight="1">
      <c r="A38" s="888" t="s">
        <v>799</v>
      </c>
      <c r="B38" s="221" t="s">
        <v>63</v>
      </c>
      <c r="C38" s="226">
        <f>ROUND(C34*F38,0)</f>
        <v>593</v>
      </c>
      <c r="D38" s="226"/>
      <c r="E38" s="226"/>
      <c r="F38" s="265">
        <f>'数据-取费表'!B36</f>
        <v>1.4999999999999999E-2</v>
      </c>
      <c r="G38" s="225" t="s">
        <v>117</v>
      </c>
    </row>
    <row r="39" spans="1:7" s="220" customFormat="1" ht="13.5" customHeight="1">
      <c r="A39" s="885" t="s">
        <v>783</v>
      </c>
      <c r="B39" s="216" t="s">
        <v>104</v>
      </c>
      <c r="C39" s="238">
        <f>ROUND(C33*F20,0)</f>
        <v>1343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2005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1947</v>
      </c>
      <c r="D42" s="244"/>
      <c r="E42" s="244"/>
      <c r="F42" s="245"/>
      <c r="G42" s="3261" t="s">
        <v>121</v>
      </c>
    </row>
    <row r="43" spans="1:7" ht="13.5" customHeight="1">
      <c r="A43" s="888" t="s">
        <v>792</v>
      </c>
      <c r="B43" s="221" t="s">
        <v>1032</v>
      </c>
      <c r="C43" s="244">
        <f ca="1">ROUND(IF('数据-取费表'!B22&lt;=1,C39*F22*'数据-取费表'!B21/2,C39*(POWER((1+F22),'数据-取费表'!B21/2)-1)),0)</f>
        <v>58</v>
      </c>
      <c r="D43" s="244"/>
      <c r="E43" s="244"/>
      <c r="F43" s="245"/>
      <c r="G43" s="3262"/>
    </row>
    <row r="44" spans="1:7" ht="13.5" customHeight="1">
      <c r="A44" s="888" t="s">
        <v>793</v>
      </c>
      <c r="B44" s="221" t="s">
        <v>1034</v>
      </c>
      <c r="C44" s="244">
        <f ca="1">ROUND(IF('数据-取费表'!B22&lt;=1,C40*F22*'数据-取费表'!B21/2,C40*(POWER((1+F22),'数据-取费表'!B21/2)-1)),4)</f>
        <v>8.9999999999999998E-4</v>
      </c>
      <c r="D44" s="244"/>
      <c r="E44" s="244"/>
      <c r="F44" s="245"/>
      <c r="G44" s="3263"/>
    </row>
    <row r="45" spans="1:7" s="220" customFormat="1" ht="13.5" customHeight="1">
      <c r="A45" s="885" t="s">
        <v>786</v>
      </c>
      <c r="B45" s="250" t="s">
        <v>112</v>
      </c>
      <c r="C45" s="251">
        <f>C46</f>
        <v>8299</v>
      </c>
      <c r="D45" s="241">
        <f>C47</f>
        <v>3.5999999999999999E-3</v>
      </c>
      <c r="E45" s="242" t="s">
        <v>129</v>
      </c>
      <c r="F45" s="252"/>
      <c r="G45" s="253" t="s">
        <v>1040</v>
      </c>
    </row>
    <row r="46" spans="1:7" s="220" customFormat="1" ht="13.5" customHeight="1">
      <c r="A46" s="888" t="s">
        <v>794</v>
      </c>
      <c r="B46" s="254" t="s">
        <v>1033</v>
      </c>
      <c r="C46" s="255">
        <f>ROUND((C33+C39)*F27,0)</f>
        <v>8299</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61110</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59277</v>
      </c>
      <c r="D51" s="238"/>
      <c r="E51" s="238"/>
      <c r="F51" s="270"/>
      <c r="G51" s="240" t="s">
        <v>64</v>
      </c>
    </row>
    <row r="52" spans="1:7" s="214" customFormat="1" ht="16.5" thickBot="1">
      <c r="A52" s="271" t="s">
        <v>65</v>
      </c>
      <c r="B52" s="272"/>
      <c r="C52" s="273">
        <f ca="1">C31+C51</f>
        <v>92155</v>
      </c>
      <c r="D52" s="272"/>
      <c r="E52" s="272"/>
      <c r="F52" s="272"/>
      <c r="G52" s="274"/>
    </row>
    <row r="55" spans="1:7" ht="15">
      <c r="B55" s="276" t="s">
        <v>66</v>
      </c>
      <c r="C55" s="277"/>
    </row>
    <row r="56" spans="1:7">
      <c r="B56" s="279" t="s">
        <v>67</v>
      </c>
      <c r="C56" s="280">
        <f ca="1">ROUND(C51/C52,3)</f>
        <v>0.64300000000000002</v>
      </c>
    </row>
    <row r="57" spans="1:7">
      <c r="B57" s="279" t="s">
        <v>68</v>
      </c>
      <c r="C57" s="281">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44314</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62">
        <v>43941</v>
      </c>
      <c r="D13" s="3063">
        <v>3.85</v>
      </c>
      <c r="E13" s="3063">
        <v>3.85</v>
      </c>
      <c r="F13" s="3063">
        <v>3.85</v>
      </c>
      <c r="G13" s="3063">
        <v>3.85</v>
      </c>
      <c r="H13" s="306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58"/>
      <c r="C14" s="3059">
        <v>43881</v>
      </c>
      <c r="D14" s="3058">
        <v>4.05</v>
      </c>
      <c r="E14" s="3058">
        <v>4.05</v>
      </c>
      <c r="F14" s="3058">
        <v>4.05</v>
      </c>
      <c r="G14" s="3058">
        <v>4.05</v>
      </c>
      <c r="H14" s="3058">
        <v>4.75</v>
      </c>
      <c r="I14" s="3058"/>
      <c r="J14" s="305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58"/>
      <c r="C15" s="3059">
        <v>43789</v>
      </c>
      <c r="D15" s="3058">
        <v>4.1500000000000004</v>
      </c>
      <c r="E15" s="3058">
        <v>4.1500000000000004</v>
      </c>
      <c r="F15" s="3058">
        <v>4.1500000000000004</v>
      </c>
      <c r="G15" s="3058">
        <v>4.1500000000000004</v>
      </c>
      <c r="H15" s="3058">
        <v>4.8</v>
      </c>
      <c r="I15" s="3058"/>
      <c r="J15" s="305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58"/>
      <c r="C16" s="3059">
        <v>43728</v>
      </c>
      <c r="D16" s="3058">
        <v>4.2</v>
      </c>
      <c r="E16" s="3058">
        <v>4.2</v>
      </c>
      <c r="F16" s="3058">
        <v>4.2</v>
      </c>
      <c r="G16" s="3058">
        <v>4.2</v>
      </c>
      <c r="H16" s="3058">
        <v>4.8499999999999996</v>
      </c>
      <c r="I16" s="3058"/>
      <c r="J16" s="305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57" t="s">
        <v>3062</v>
      </c>
      <c r="C17" s="3060">
        <v>43697</v>
      </c>
      <c r="D17" s="3061">
        <v>4.25</v>
      </c>
      <c r="E17" s="3061">
        <v>4.25</v>
      </c>
      <c r="F17" s="3061">
        <v>4.25</v>
      </c>
      <c r="G17" s="3061">
        <v>4.25</v>
      </c>
      <c r="H17" s="3061">
        <v>4.8499999999999996</v>
      </c>
      <c r="I17" s="3061"/>
      <c r="J17" s="306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A34" workbookViewId="0">
      <selection activeCell="E20" sqref="E20"/>
    </sheetView>
  </sheetViews>
  <sheetFormatPr defaultRowHeight="13.5"/>
  <cols>
    <col min="1" max="1" width="63.125" customWidth="1"/>
    <col min="8" max="8" width="30.625" customWidth="1"/>
    <col min="9" max="9" width="12.625" customWidth="1"/>
    <col min="10" max="10" width="11.25" customWidth="1"/>
    <col min="15" max="15" width="39.625" customWidth="1"/>
  </cols>
  <sheetData>
    <row r="1" spans="1:16" s="1406" customFormat="1">
      <c r="A1" s="1406" t="s">
        <v>3085</v>
      </c>
      <c r="B1" s="1406" t="s">
        <v>3086</v>
      </c>
      <c r="C1" s="1406" t="s">
        <v>3087</v>
      </c>
      <c r="D1" s="1406" t="s">
        <v>3088</v>
      </c>
      <c r="E1" s="1406" t="s">
        <v>3089</v>
      </c>
      <c r="F1" s="1406" t="s">
        <v>3090</v>
      </c>
      <c r="G1" s="1406" t="s">
        <v>3091</v>
      </c>
      <c r="H1" s="1406" t="s">
        <v>3092</v>
      </c>
      <c r="I1" s="1406" t="s">
        <v>3093</v>
      </c>
      <c r="J1" s="1406" t="s">
        <v>3094</v>
      </c>
      <c r="K1" s="1406" t="s">
        <v>3095</v>
      </c>
      <c r="L1" s="1406" t="s">
        <v>3096</v>
      </c>
      <c r="M1" s="1406" t="s">
        <v>3097</v>
      </c>
      <c r="N1" s="1406" t="s">
        <v>3098</v>
      </c>
      <c r="O1" s="1406" t="s">
        <v>3099</v>
      </c>
      <c r="P1" s="1406" t="s">
        <v>3100</v>
      </c>
    </row>
    <row r="2" spans="1:16" s="1406" customFormat="1">
      <c r="A2" s="1406" t="s">
        <v>3101</v>
      </c>
      <c r="B2" s="1406" t="s">
        <v>3067</v>
      </c>
      <c r="C2" s="1406" t="s">
        <v>3102</v>
      </c>
      <c r="D2" s="1406">
        <v>28676.63</v>
      </c>
      <c r="E2" s="1406">
        <v>114706.51</v>
      </c>
      <c r="F2" s="1406" t="s">
        <v>3103</v>
      </c>
      <c r="G2" s="1406" t="s">
        <v>3104</v>
      </c>
      <c r="H2" s="1406" t="s">
        <v>3105</v>
      </c>
      <c r="I2" s="1406" t="s">
        <v>3106</v>
      </c>
      <c r="J2" s="1406" t="s">
        <v>3106</v>
      </c>
      <c r="K2" s="1406">
        <v>175500</v>
      </c>
      <c r="L2" s="1406">
        <v>175500</v>
      </c>
      <c r="M2" s="1406">
        <v>15299.92</v>
      </c>
      <c r="N2" s="1406">
        <v>0</v>
      </c>
      <c r="O2" s="1406" t="s">
        <v>3107</v>
      </c>
      <c r="P2" s="1406" t="s">
        <v>3108</v>
      </c>
    </row>
    <row r="3" spans="1:16" s="1406" customFormat="1">
      <c r="A3" s="1406" t="s">
        <v>3109</v>
      </c>
      <c r="B3" s="1406" t="s">
        <v>3067</v>
      </c>
      <c r="C3" s="1406" t="s">
        <v>3102</v>
      </c>
      <c r="D3" s="1406">
        <v>51788.13</v>
      </c>
      <c r="E3" s="1406">
        <v>184800</v>
      </c>
      <c r="F3" s="1406" t="s">
        <v>3110</v>
      </c>
      <c r="G3" s="1406" t="s">
        <v>3104</v>
      </c>
      <c r="H3" s="1406" t="s">
        <v>3111</v>
      </c>
      <c r="I3" s="1406" t="s">
        <v>3112</v>
      </c>
      <c r="J3" s="1406" t="s">
        <v>3112</v>
      </c>
      <c r="K3" s="1406">
        <v>570500</v>
      </c>
      <c r="L3" s="1406">
        <v>579500</v>
      </c>
      <c r="M3" s="1406">
        <v>31358.22</v>
      </c>
      <c r="N3" s="1406">
        <v>1.58</v>
      </c>
      <c r="O3" s="1406" t="s">
        <v>3113</v>
      </c>
      <c r="P3" s="1406" t="s">
        <v>3108</v>
      </c>
    </row>
    <row r="4" spans="1:16" s="1406" customFormat="1">
      <c r="A4" s="1406" t="s">
        <v>3114</v>
      </c>
      <c r="B4" s="1406" t="s">
        <v>3067</v>
      </c>
      <c r="C4" s="1406" t="s">
        <v>3102</v>
      </c>
      <c r="D4" s="1406">
        <v>7289.19</v>
      </c>
      <c r="E4" s="1406">
        <v>21867.57</v>
      </c>
      <c r="F4" s="1406" t="s">
        <v>3115</v>
      </c>
      <c r="G4" s="1406" t="s">
        <v>3104</v>
      </c>
      <c r="H4" s="1406" t="s">
        <v>3116</v>
      </c>
      <c r="I4" s="1406" t="s">
        <v>3117</v>
      </c>
      <c r="J4" s="1406" t="s">
        <v>3117</v>
      </c>
      <c r="K4" s="1406">
        <v>35200</v>
      </c>
      <c r="L4" s="1406">
        <v>35200</v>
      </c>
      <c r="M4" s="1406">
        <v>16096.89</v>
      </c>
      <c r="N4" s="1406">
        <v>0</v>
      </c>
      <c r="O4" s="1406" t="s">
        <v>3118</v>
      </c>
      <c r="P4" s="1406" t="s">
        <v>3108</v>
      </c>
    </row>
    <row r="5" spans="1:16" s="3066" customFormat="1">
      <c r="A5" s="3066" t="s">
        <v>3119</v>
      </c>
      <c r="B5" s="3066" t="s">
        <v>3067</v>
      </c>
      <c r="C5" s="3066" t="s">
        <v>3102</v>
      </c>
      <c r="D5" s="3066">
        <v>12501.51</v>
      </c>
      <c r="E5" s="3066">
        <v>37505</v>
      </c>
      <c r="F5" s="3066" t="s">
        <v>3115</v>
      </c>
      <c r="G5" s="3066" t="s">
        <v>3104</v>
      </c>
      <c r="H5" s="3066" t="s">
        <v>3120</v>
      </c>
      <c r="I5" s="3066" t="s">
        <v>3117</v>
      </c>
      <c r="J5" s="3066" t="s">
        <v>3117</v>
      </c>
      <c r="K5" s="3066">
        <v>56000</v>
      </c>
      <c r="L5" s="3066">
        <v>56000</v>
      </c>
      <c r="M5" s="3066">
        <v>14931.34</v>
      </c>
      <c r="N5" s="3066">
        <v>0</v>
      </c>
      <c r="O5" s="3066" t="s">
        <v>3121</v>
      </c>
      <c r="P5" s="3066" t="s">
        <v>3122</v>
      </c>
    </row>
    <row r="6" spans="1:16" s="1406" customFormat="1">
      <c r="A6" s="1406" t="s">
        <v>3123</v>
      </c>
      <c r="B6" s="1406" t="s">
        <v>3067</v>
      </c>
      <c r="C6" s="1406" t="s">
        <v>3102</v>
      </c>
      <c r="D6" s="1406">
        <v>30159.25</v>
      </c>
      <c r="E6" s="1406">
        <v>138421</v>
      </c>
      <c r="F6" s="1406" t="s">
        <v>3124</v>
      </c>
      <c r="G6" s="1406" t="s">
        <v>3104</v>
      </c>
      <c r="H6" s="1406" t="s">
        <v>3111</v>
      </c>
      <c r="I6" s="1406" t="s">
        <v>3125</v>
      </c>
      <c r="J6" s="1406" t="s">
        <v>3125</v>
      </c>
      <c r="K6" s="1406">
        <v>230100</v>
      </c>
      <c r="L6" s="1406">
        <v>230100</v>
      </c>
      <c r="M6" s="1406">
        <v>16623.2</v>
      </c>
      <c r="N6" s="1406">
        <v>0</v>
      </c>
      <c r="O6" s="1406" t="s">
        <v>3126</v>
      </c>
      <c r="P6" s="1406" t="s">
        <v>3122</v>
      </c>
    </row>
    <row r="7" spans="1:16" s="1406" customFormat="1">
      <c r="A7" s="1406" t="s">
        <v>3127</v>
      </c>
      <c r="B7" s="1406" t="s">
        <v>3067</v>
      </c>
      <c r="C7" s="1406" t="s">
        <v>3102</v>
      </c>
      <c r="D7" s="1406">
        <v>35629.120000000003</v>
      </c>
      <c r="E7" s="1406">
        <v>100429</v>
      </c>
      <c r="F7" s="1406" t="s">
        <v>3128</v>
      </c>
      <c r="G7" s="1406" t="s">
        <v>3104</v>
      </c>
      <c r="H7" s="1406" t="s">
        <v>3129</v>
      </c>
      <c r="I7" s="1406" t="s">
        <v>3125</v>
      </c>
      <c r="J7" s="1406" t="s">
        <v>3125</v>
      </c>
      <c r="K7" s="1406">
        <v>166700</v>
      </c>
      <c r="L7" s="1406">
        <v>166700</v>
      </c>
      <c r="M7" s="1406">
        <v>16598.79</v>
      </c>
      <c r="N7" s="1406">
        <v>0</v>
      </c>
      <c r="O7" s="1406" t="s">
        <v>3126</v>
      </c>
      <c r="P7" s="1406" t="s">
        <v>3108</v>
      </c>
    </row>
    <row r="8" spans="1:16" s="1406" customFormat="1">
      <c r="A8" s="1406" t="s">
        <v>3130</v>
      </c>
      <c r="B8" s="1406" t="s">
        <v>3067</v>
      </c>
      <c r="C8" s="1406" t="s">
        <v>3102</v>
      </c>
      <c r="D8" s="1406">
        <v>70601.070000000007</v>
      </c>
      <c r="E8" s="1406">
        <v>285523</v>
      </c>
      <c r="F8" s="1406" t="s">
        <v>3131</v>
      </c>
      <c r="G8" s="1406" t="s">
        <v>3132</v>
      </c>
      <c r="H8" s="1406" t="s">
        <v>3133</v>
      </c>
      <c r="I8" s="1406" t="s">
        <v>3134</v>
      </c>
      <c r="J8" s="1406" t="s">
        <v>3134</v>
      </c>
      <c r="K8" s="1406" t="s">
        <v>1298</v>
      </c>
      <c r="L8" s="1406">
        <v>660900</v>
      </c>
      <c r="M8" s="1406">
        <v>23147</v>
      </c>
      <c r="N8" s="1406" t="s">
        <v>1298</v>
      </c>
      <c r="O8" s="1406" t="s">
        <v>3135</v>
      </c>
      <c r="P8" s="1406" t="s">
        <v>3108</v>
      </c>
    </row>
    <row r="9" spans="1:16" s="1406" customFormat="1">
      <c r="A9" s="1406" t="s">
        <v>3136</v>
      </c>
      <c r="B9" s="1406" t="s">
        <v>3067</v>
      </c>
      <c r="C9" s="1406" t="s">
        <v>3102</v>
      </c>
      <c r="D9" s="1406">
        <v>22035.93</v>
      </c>
      <c r="E9" s="1406">
        <v>61700.6</v>
      </c>
      <c r="F9" s="1406" t="s">
        <v>3137</v>
      </c>
      <c r="G9" s="1406" t="s">
        <v>3104</v>
      </c>
      <c r="H9" s="1406" t="s">
        <v>3111</v>
      </c>
      <c r="I9" s="1406" t="s">
        <v>3138</v>
      </c>
      <c r="J9" s="1406" t="s">
        <v>3138</v>
      </c>
      <c r="K9" s="1406">
        <v>103700</v>
      </c>
      <c r="L9" s="1406">
        <v>103700</v>
      </c>
      <c r="M9" s="1406">
        <v>16806.97</v>
      </c>
      <c r="N9" s="1406">
        <v>0</v>
      </c>
      <c r="O9" s="1406" t="s">
        <v>3139</v>
      </c>
      <c r="P9" s="1406" t="s">
        <v>3108</v>
      </c>
    </row>
    <row r="10" spans="1:16" s="1406" customFormat="1">
      <c r="A10" s="1406" t="s">
        <v>3140</v>
      </c>
      <c r="B10" s="1406" t="s">
        <v>3067</v>
      </c>
      <c r="C10" s="1406" t="s">
        <v>3102</v>
      </c>
      <c r="D10" s="1406">
        <v>32158.94</v>
      </c>
      <c r="E10" s="1406">
        <v>96476.82</v>
      </c>
      <c r="F10" s="1406" t="s">
        <v>3115</v>
      </c>
      <c r="G10" s="1406" t="s">
        <v>3104</v>
      </c>
      <c r="H10" s="1406" t="s">
        <v>3105</v>
      </c>
      <c r="I10" s="1406" t="s">
        <v>3141</v>
      </c>
      <c r="J10" s="1406" t="s">
        <v>3141</v>
      </c>
      <c r="K10" s="1406">
        <v>263800</v>
      </c>
      <c r="L10" s="1406">
        <v>263800</v>
      </c>
      <c r="M10" s="1406">
        <v>27343.360000000001</v>
      </c>
      <c r="N10" s="1406">
        <v>0</v>
      </c>
      <c r="O10" s="1406" t="s">
        <v>3142</v>
      </c>
      <c r="P10" s="1406" t="s">
        <v>3122</v>
      </c>
    </row>
    <row r="11" spans="1:16" s="1406" customFormat="1">
      <c r="A11" s="1406" t="s">
        <v>3143</v>
      </c>
      <c r="B11" s="1406" t="s">
        <v>3067</v>
      </c>
      <c r="C11" s="1406" t="s">
        <v>3102</v>
      </c>
      <c r="D11" s="1406">
        <v>28622.32</v>
      </c>
      <c r="E11" s="1406">
        <v>71556</v>
      </c>
      <c r="F11" s="1406">
        <v>2.5</v>
      </c>
      <c r="G11" s="1406" t="s">
        <v>3104</v>
      </c>
      <c r="H11" s="1406" t="s">
        <v>3111</v>
      </c>
      <c r="I11" s="1406" t="s">
        <v>3144</v>
      </c>
      <c r="J11" s="1406" t="s">
        <v>3144</v>
      </c>
      <c r="K11" s="1406">
        <v>132000</v>
      </c>
      <c r="L11" s="1406">
        <v>132000</v>
      </c>
      <c r="M11" s="1406">
        <v>18447.09</v>
      </c>
      <c r="N11" s="1406">
        <v>0</v>
      </c>
      <c r="O11" s="1406" t="s">
        <v>3145</v>
      </c>
      <c r="P11" s="1406" t="s">
        <v>3122</v>
      </c>
    </row>
    <row r="12" spans="1:16" s="1406" customFormat="1">
      <c r="A12" s="1406" t="s">
        <v>3146</v>
      </c>
      <c r="B12" s="1406" t="s">
        <v>3067</v>
      </c>
      <c r="C12" s="1406" t="s">
        <v>3102</v>
      </c>
      <c r="D12" s="1406">
        <v>138746.29999999999</v>
      </c>
      <c r="E12" s="1406">
        <v>486596</v>
      </c>
      <c r="F12" s="1406">
        <v>3.51</v>
      </c>
      <c r="G12" s="1406" t="s">
        <v>3104</v>
      </c>
      <c r="H12" s="1406" t="s">
        <v>3129</v>
      </c>
      <c r="I12" s="1406" t="s">
        <v>3147</v>
      </c>
      <c r="J12" s="1406" t="s">
        <v>3147</v>
      </c>
      <c r="K12" s="1406">
        <v>866300</v>
      </c>
      <c r="L12" s="1406">
        <v>866300</v>
      </c>
      <c r="M12" s="1406">
        <v>17803.27</v>
      </c>
      <c r="N12" s="1406">
        <v>0</v>
      </c>
      <c r="O12" s="1406" t="s">
        <v>3148</v>
      </c>
      <c r="P12" s="1406" t="s">
        <v>3108</v>
      </c>
    </row>
    <row r="13" spans="1:16" s="1406" customFormat="1">
      <c r="A13" s="1406" t="s">
        <v>3149</v>
      </c>
      <c r="B13" s="1406" t="s">
        <v>3067</v>
      </c>
      <c r="C13" s="1406" t="s">
        <v>3102</v>
      </c>
      <c r="D13" s="1406">
        <v>18015.060000000001</v>
      </c>
      <c r="E13" s="1406">
        <v>54046</v>
      </c>
      <c r="F13" s="1406">
        <v>3</v>
      </c>
      <c r="G13" s="1406" t="s">
        <v>3104</v>
      </c>
      <c r="H13" s="1406" t="s">
        <v>3111</v>
      </c>
      <c r="I13" s="1406" t="s">
        <v>3150</v>
      </c>
      <c r="J13" s="1406" t="s">
        <v>3150</v>
      </c>
      <c r="K13" s="1406">
        <v>60000</v>
      </c>
      <c r="L13" s="1406">
        <v>60000</v>
      </c>
      <c r="M13" s="1406">
        <v>11101.64</v>
      </c>
      <c r="N13" s="1406">
        <v>0</v>
      </c>
      <c r="O13" s="1406" t="s">
        <v>3151</v>
      </c>
      <c r="P13" s="1406" t="s">
        <v>3122</v>
      </c>
    </row>
    <row r="14" spans="1:16" s="3066" customFormat="1">
      <c r="A14" s="3066" t="s">
        <v>3152</v>
      </c>
      <c r="B14" s="3066" t="s">
        <v>3067</v>
      </c>
      <c r="C14" s="3066" t="s">
        <v>3102</v>
      </c>
      <c r="D14" s="3066">
        <v>59747.77</v>
      </c>
      <c r="E14" s="3066">
        <v>89622</v>
      </c>
      <c r="F14" s="3066">
        <v>1.5</v>
      </c>
      <c r="G14" s="3066" t="s">
        <v>3104</v>
      </c>
      <c r="H14" s="3066" t="s">
        <v>3153</v>
      </c>
      <c r="I14" s="3066" t="s">
        <v>3154</v>
      </c>
      <c r="J14" s="3066" t="s">
        <v>3154</v>
      </c>
      <c r="K14" s="3066">
        <v>146800</v>
      </c>
      <c r="L14" s="3066">
        <v>146800</v>
      </c>
      <c r="M14" s="3066">
        <v>16379.9</v>
      </c>
      <c r="N14" s="3066">
        <v>0</v>
      </c>
      <c r="O14" s="3066" t="s">
        <v>3155</v>
      </c>
      <c r="P14" s="3066" t="s">
        <v>3122</v>
      </c>
    </row>
    <row r="15" spans="1:16" s="3066" customFormat="1">
      <c r="A15" s="3066" t="s">
        <v>3156</v>
      </c>
      <c r="B15" s="3066" t="s">
        <v>3067</v>
      </c>
      <c r="C15" s="3066" t="s">
        <v>3102</v>
      </c>
      <c r="D15" s="3066">
        <v>31420.65</v>
      </c>
      <c r="E15" s="3066">
        <v>65983</v>
      </c>
      <c r="F15" s="3066">
        <v>2.1</v>
      </c>
      <c r="G15" s="3066" t="s">
        <v>3104</v>
      </c>
      <c r="H15" s="3066" t="s">
        <v>3153</v>
      </c>
      <c r="I15" s="3066" t="s">
        <v>3154</v>
      </c>
      <c r="J15" s="3066" t="s">
        <v>3154</v>
      </c>
      <c r="K15" s="3066">
        <v>108100</v>
      </c>
      <c r="L15" s="3066">
        <v>108100</v>
      </c>
      <c r="M15" s="3066">
        <v>16383.01</v>
      </c>
      <c r="N15" s="3066">
        <v>0</v>
      </c>
      <c r="O15" s="3066" t="s">
        <v>3157</v>
      </c>
      <c r="P15" s="3066" t="s">
        <v>3158</v>
      </c>
    </row>
    <row r="16" spans="1:16" s="1406" customFormat="1">
      <c r="A16" s="1406" t="s">
        <v>3159</v>
      </c>
      <c r="B16" s="1406" t="s">
        <v>3067</v>
      </c>
      <c r="C16" s="1406" t="s">
        <v>3102</v>
      </c>
      <c r="D16" s="1406">
        <v>15240.2</v>
      </c>
      <c r="E16" s="1406">
        <v>86800</v>
      </c>
      <c r="F16" s="1406">
        <v>5.6955</v>
      </c>
      <c r="G16" s="1406" t="s">
        <v>3104</v>
      </c>
      <c r="H16" s="1406" t="s">
        <v>3111</v>
      </c>
      <c r="I16" s="1406" t="s">
        <v>3160</v>
      </c>
      <c r="J16" s="1406" t="s">
        <v>3160</v>
      </c>
      <c r="K16" s="1406">
        <v>237500</v>
      </c>
      <c r="L16" s="1406">
        <v>242500</v>
      </c>
      <c r="M16" s="1406">
        <v>27937.79</v>
      </c>
      <c r="N16" s="1406">
        <v>2.11</v>
      </c>
      <c r="O16" s="1406" t="s">
        <v>3161</v>
      </c>
      <c r="P16" s="1406" t="s">
        <v>3108</v>
      </c>
    </row>
    <row r="17" spans="1:16" s="1406" customFormat="1">
      <c r="A17" s="1406" t="s">
        <v>3162</v>
      </c>
      <c r="B17" s="1406" t="s">
        <v>3067</v>
      </c>
      <c r="C17" s="1406" t="s">
        <v>3102</v>
      </c>
      <c r="D17" s="1406">
        <v>16863.939999999999</v>
      </c>
      <c r="E17" s="1406">
        <v>87923.61</v>
      </c>
      <c r="F17" s="1406">
        <v>5.2137000000000002</v>
      </c>
      <c r="G17" s="1406" t="s">
        <v>3104</v>
      </c>
      <c r="H17" s="1406" t="s">
        <v>3111</v>
      </c>
      <c r="I17" s="1406" t="s">
        <v>3163</v>
      </c>
      <c r="J17" s="1406" t="s">
        <v>3163</v>
      </c>
      <c r="K17" s="1406">
        <v>211000</v>
      </c>
      <c r="L17" s="1406">
        <v>211000</v>
      </c>
      <c r="M17" s="1406">
        <v>23998.09</v>
      </c>
      <c r="N17" s="1406">
        <v>0</v>
      </c>
      <c r="O17" s="1406" t="s">
        <v>3164</v>
      </c>
      <c r="P17" s="1406" t="s">
        <v>3108</v>
      </c>
    </row>
    <row r="18" spans="1:16" s="1406" customFormat="1">
      <c r="A18" s="1406" t="s">
        <v>3165</v>
      </c>
      <c r="B18" s="1406" t="s">
        <v>3067</v>
      </c>
      <c r="C18" s="1406" t="s">
        <v>3102</v>
      </c>
      <c r="D18" s="1406">
        <v>5237.16</v>
      </c>
      <c r="E18" s="1406">
        <v>10474</v>
      </c>
      <c r="F18" s="1406">
        <v>2</v>
      </c>
      <c r="G18" s="1406" t="s">
        <v>3104</v>
      </c>
      <c r="H18" s="1406" t="s">
        <v>3166</v>
      </c>
      <c r="I18" s="1406" t="s">
        <v>3167</v>
      </c>
      <c r="J18" s="1406" t="s">
        <v>3167</v>
      </c>
      <c r="K18" s="1406">
        <v>13000</v>
      </c>
      <c r="L18" s="1406">
        <v>13700</v>
      </c>
      <c r="M18" s="1406">
        <v>13080.01</v>
      </c>
      <c r="N18" s="1406">
        <v>5.38</v>
      </c>
      <c r="O18" s="1406" t="s">
        <v>3168</v>
      </c>
      <c r="P18" s="1406" t="s">
        <v>3158</v>
      </c>
    </row>
    <row r="19" spans="1:16" s="1406" customFormat="1">
      <c r="A19" s="1406" t="s">
        <v>3169</v>
      </c>
      <c r="B19" s="1406" t="s">
        <v>3067</v>
      </c>
      <c r="C19" s="1406" t="s">
        <v>3102</v>
      </c>
      <c r="D19" s="1406">
        <v>39744.120000000003</v>
      </c>
      <c r="E19" s="1406">
        <v>119232</v>
      </c>
      <c r="F19" s="1406">
        <v>3</v>
      </c>
      <c r="G19" s="1406" t="s">
        <v>3104</v>
      </c>
      <c r="H19" s="1406" t="s">
        <v>3105</v>
      </c>
      <c r="I19" s="1406" t="s">
        <v>3170</v>
      </c>
      <c r="J19" s="1406" t="s">
        <v>3170</v>
      </c>
      <c r="K19" s="1406">
        <v>227000</v>
      </c>
      <c r="L19" s="1406">
        <v>292000</v>
      </c>
      <c r="M19" s="1406">
        <v>24490.06</v>
      </c>
      <c r="N19" s="1406">
        <v>28.63</v>
      </c>
      <c r="O19" s="1406" t="s">
        <v>3171</v>
      </c>
      <c r="P19" s="1406" t="s">
        <v>3122</v>
      </c>
    </row>
    <row r="20" spans="1:16" s="1406" customFormat="1">
      <c r="A20" s="1406" t="s">
        <v>3172</v>
      </c>
      <c r="B20" s="1406" t="s">
        <v>3067</v>
      </c>
      <c r="C20" s="1406" t="s">
        <v>3102</v>
      </c>
      <c r="D20" s="1406">
        <v>92055.95</v>
      </c>
      <c r="E20" s="1406">
        <v>92056</v>
      </c>
      <c r="F20" s="1406">
        <v>1</v>
      </c>
      <c r="G20" s="1406" t="s">
        <v>3132</v>
      </c>
      <c r="H20" s="1406" t="s">
        <v>3111</v>
      </c>
      <c r="I20" s="1406" t="s">
        <v>3173</v>
      </c>
      <c r="J20" s="1406" t="s">
        <v>3173</v>
      </c>
      <c r="K20" s="1406" t="s">
        <v>1298</v>
      </c>
      <c r="L20" s="1406">
        <v>285373.59000000003</v>
      </c>
      <c r="M20" s="1406">
        <v>31000</v>
      </c>
      <c r="N20" s="1406" t="s">
        <v>1298</v>
      </c>
      <c r="O20" s="1406" t="s">
        <v>3174</v>
      </c>
      <c r="P20" s="1406" t="s">
        <v>3122</v>
      </c>
    </row>
    <row r="21" spans="1:16" s="1406" customFormat="1">
      <c r="A21" s="1406" t="s">
        <v>3175</v>
      </c>
      <c r="B21" s="1406" t="s">
        <v>3067</v>
      </c>
      <c r="C21" s="1406" t="s">
        <v>3102</v>
      </c>
      <c r="D21" s="1406">
        <v>46165.91</v>
      </c>
      <c r="E21" s="1406">
        <v>92332</v>
      </c>
      <c r="F21" s="1406">
        <v>2</v>
      </c>
      <c r="G21" s="1406" t="s">
        <v>3104</v>
      </c>
      <c r="H21" s="1406" t="s">
        <v>3120</v>
      </c>
      <c r="I21" s="1406" t="s">
        <v>3176</v>
      </c>
      <c r="J21" s="1406" t="s">
        <v>3176</v>
      </c>
      <c r="K21" s="1406">
        <v>176000</v>
      </c>
      <c r="L21" s="1406">
        <v>225000</v>
      </c>
      <c r="M21" s="1406">
        <v>24368.58</v>
      </c>
      <c r="N21" s="1406">
        <v>27.84</v>
      </c>
      <c r="O21" s="1406" t="s">
        <v>3177</v>
      </c>
      <c r="P21" s="1406" t="s">
        <v>3122</v>
      </c>
    </row>
    <row r="22" spans="1:16" s="1406" customFormat="1">
      <c r="A22" s="1406" t="s">
        <v>3178</v>
      </c>
      <c r="B22" s="1406" t="s">
        <v>3067</v>
      </c>
      <c r="C22" s="1406" t="s">
        <v>3102</v>
      </c>
      <c r="D22" s="1406">
        <v>38100</v>
      </c>
      <c r="E22" s="1406">
        <v>76200</v>
      </c>
      <c r="F22" s="1406">
        <v>2</v>
      </c>
      <c r="G22" s="1406" t="s">
        <v>3104</v>
      </c>
      <c r="H22" s="1406" t="s">
        <v>3120</v>
      </c>
      <c r="I22" s="1406" t="s">
        <v>3176</v>
      </c>
      <c r="J22" s="1406" t="s">
        <v>3176</v>
      </c>
      <c r="K22" s="1406">
        <v>145000</v>
      </c>
      <c r="L22" s="1406">
        <v>204000</v>
      </c>
      <c r="M22" s="1406">
        <v>26771.65</v>
      </c>
      <c r="N22" s="1406">
        <v>40.69</v>
      </c>
      <c r="O22" s="1406" t="s">
        <v>3179</v>
      </c>
      <c r="P22" s="1406" t="s">
        <v>3122</v>
      </c>
    </row>
    <row r="23" spans="1:16" s="3066" customFormat="1">
      <c r="A23" s="3066" t="s">
        <v>3180</v>
      </c>
      <c r="B23" s="3066" t="s">
        <v>3067</v>
      </c>
      <c r="C23" s="3066" t="s">
        <v>3102</v>
      </c>
      <c r="D23" s="3066">
        <v>69848.44</v>
      </c>
      <c r="E23" s="3066">
        <v>146863</v>
      </c>
      <c r="F23" s="3066">
        <v>2.1</v>
      </c>
      <c r="G23" s="3066" t="s">
        <v>3104</v>
      </c>
      <c r="H23" s="3066" t="s">
        <v>3153</v>
      </c>
      <c r="I23" s="3066" t="s">
        <v>3181</v>
      </c>
      <c r="J23" s="3066" t="s">
        <v>3181</v>
      </c>
      <c r="K23" s="3066">
        <v>220000</v>
      </c>
      <c r="L23" s="3066">
        <v>220000</v>
      </c>
      <c r="M23" s="3066">
        <v>14979.95</v>
      </c>
      <c r="N23" s="3066">
        <v>0</v>
      </c>
      <c r="O23" s="3066" t="s">
        <v>3182</v>
      </c>
      <c r="P23" s="3066" t="s">
        <v>3122</v>
      </c>
    </row>
    <row r="24" spans="1:16" s="3066" customFormat="1">
      <c r="A24" s="3066" t="s">
        <v>3183</v>
      </c>
      <c r="B24" s="3066" t="s">
        <v>3067</v>
      </c>
      <c r="C24" s="3066" t="s">
        <v>3102</v>
      </c>
      <c r="D24" s="3066">
        <v>66079.679999999993</v>
      </c>
      <c r="E24" s="3066">
        <v>111429</v>
      </c>
      <c r="F24" s="3066">
        <v>1.69</v>
      </c>
      <c r="G24" s="3066" t="s">
        <v>3104</v>
      </c>
      <c r="H24" s="3066" t="s">
        <v>3153</v>
      </c>
      <c r="I24" s="3066" t="s">
        <v>3181</v>
      </c>
      <c r="J24" s="3066" t="s">
        <v>3181</v>
      </c>
      <c r="K24" s="3066">
        <v>135000</v>
      </c>
      <c r="L24" s="3066">
        <v>135000</v>
      </c>
      <c r="M24" s="3066">
        <v>12115.34</v>
      </c>
      <c r="N24" s="3066">
        <v>0</v>
      </c>
      <c r="O24" s="3066" t="s">
        <v>3157</v>
      </c>
      <c r="P24" s="3066" t="s">
        <v>3122</v>
      </c>
    </row>
    <row r="25" spans="1:16" s="1406" customFormat="1">
      <c r="A25" s="1406" t="s">
        <v>3184</v>
      </c>
      <c r="B25" s="1406" t="s">
        <v>3067</v>
      </c>
      <c r="C25" s="1406" t="s">
        <v>3102</v>
      </c>
      <c r="D25" s="1406">
        <v>13326.99</v>
      </c>
      <c r="E25" s="1406">
        <v>46644</v>
      </c>
      <c r="F25" s="1406">
        <v>3.5</v>
      </c>
      <c r="G25" s="1406" t="s">
        <v>3104</v>
      </c>
      <c r="H25" s="1406" t="s">
        <v>3166</v>
      </c>
      <c r="I25" s="1406" t="s">
        <v>3185</v>
      </c>
      <c r="J25" s="1406" t="s">
        <v>3185</v>
      </c>
      <c r="K25" s="1406">
        <v>68000</v>
      </c>
      <c r="L25" s="1406">
        <v>141000</v>
      </c>
      <c r="M25" s="1406">
        <v>30228.97</v>
      </c>
      <c r="N25" s="1406">
        <v>107.35</v>
      </c>
      <c r="O25" s="1406" t="s">
        <v>3186</v>
      </c>
      <c r="P25" s="1406" t="s">
        <v>3158</v>
      </c>
    </row>
    <row r="26" spans="1:16" s="1406" customFormat="1">
      <c r="A26" s="1406" t="s">
        <v>3187</v>
      </c>
      <c r="B26" s="1406" t="s">
        <v>3067</v>
      </c>
      <c r="C26" s="1406" t="s">
        <v>3102</v>
      </c>
      <c r="D26" s="1406">
        <v>18313.7</v>
      </c>
      <c r="E26" s="1406">
        <v>119400</v>
      </c>
      <c r="F26" s="1406">
        <v>6.52</v>
      </c>
      <c r="G26" s="1406" t="s">
        <v>3132</v>
      </c>
      <c r="H26" s="1406" t="s">
        <v>3111</v>
      </c>
      <c r="I26" s="1406" t="s">
        <v>3188</v>
      </c>
      <c r="J26" s="1406" t="s">
        <v>3188</v>
      </c>
      <c r="K26" s="1406" t="s">
        <v>1298</v>
      </c>
      <c r="L26" s="1406">
        <v>415000</v>
      </c>
      <c r="M26" s="1406">
        <v>34757.120000000003</v>
      </c>
      <c r="N26" s="1406" t="s">
        <v>1298</v>
      </c>
      <c r="O26" s="1406" t="s">
        <v>3189</v>
      </c>
      <c r="P26" s="1406" t="s">
        <v>3108</v>
      </c>
    </row>
    <row r="27" spans="1:16" s="1406" customFormat="1">
      <c r="A27" s="1406" t="s">
        <v>3190</v>
      </c>
      <c r="B27" s="1406" t="s">
        <v>3067</v>
      </c>
      <c r="C27" s="1406" t="s">
        <v>3102</v>
      </c>
      <c r="D27" s="1406">
        <v>35244.94</v>
      </c>
      <c r="E27" s="1406">
        <v>123357</v>
      </c>
      <c r="F27" s="1406">
        <v>3.5</v>
      </c>
      <c r="G27" s="1406" t="s">
        <v>3104</v>
      </c>
      <c r="H27" s="1406" t="s">
        <v>3111</v>
      </c>
      <c r="I27" s="1406" t="s">
        <v>3191</v>
      </c>
      <c r="J27" s="1406" t="s">
        <v>3191</v>
      </c>
      <c r="K27" s="1406">
        <v>160000</v>
      </c>
      <c r="L27" s="1406">
        <v>354000</v>
      </c>
      <c r="M27" s="1406">
        <v>28697.200000000001</v>
      </c>
      <c r="N27" s="1406">
        <v>121.25</v>
      </c>
      <c r="O27" s="1406" t="s">
        <v>3192</v>
      </c>
      <c r="P27" s="1406" t="s">
        <v>3108</v>
      </c>
    </row>
    <row r="28" spans="1:16" s="1406" customFormat="1">
      <c r="A28" s="1406" t="s">
        <v>3193</v>
      </c>
      <c r="B28" s="1406" t="s">
        <v>3067</v>
      </c>
      <c r="C28" s="1406" t="s">
        <v>3102</v>
      </c>
      <c r="D28" s="1406">
        <v>74500</v>
      </c>
      <c r="E28" s="1406">
        <v>475640</v>
      </c>
      <c r="F28" s="1406">
        <v>6.38</v>
      </c>
      <c r="G28" s="1406" t="s">
        <v>3104</v>
      </c>
      <c r="H28" s="1406" t="s">
        <v>3111</v>
      </c>
      <c r="I28" s="1406" t="s">
        <v>3194</v>
      </c>
      <c r="J28" s="1406" t="s">
        <v>3194</v>
      </c>
      <c r="K28" s="1406">
        <v>420000</v>
      </c>
      <c r="L28" s="1406">
        <v>420000</v>
      </c>
      <c r="M28" s="1406">
        <v>8830.2000000000007</v>
      </c>
      <c r="N28" s="1406">
        <v>0</v>
      </c>
      <c r="O28" s="1406" t="s">
        <v>3195</v>
      </c>
      <c r="P28" s="1406" t="s">
        <v>3158</v>
      </c>
    </row>
    <row r="29" spans="1:16" s="1406" customFormat="1">
      <c r="A29" s="1406" t="s">
        <v>3196</v>
      </c>
      <c r="B29" s="1406" t="s">
        <v>3067</v>
      </c>
      <c r="C29" s="1406" t="s">
        <v>3102</v>
      </c>
      <c r="D29" s="1406">
        <v>17629.740000000002</v>
      </c>
      <c r="E29" s="1406">
        <v>52889</v>
      </c>
      <c r="F29" s="1406">
        <v>3</v>
      </c>
      <c r="G29" s="1406" t="s">
        <v>3104</v>
      </c>
      <c r="H29" s="1406" t="s">
        <v>3166</v>
      </c>
      <c r="I29" s="1406" t="s">
        <v>3197</v>
      </c>
      <c r="J29" s="1406" t="s">
        <v>3197</v>
      </c>
      <c r="K29" s="1406">
        <v>63500</v>
      </c>
      <c r="L29" s="1406">
        <v>64200</v>
      </c>
      <c r="M29" s="1406">
        <v>12138.62</v>
      </c>
      <c r="N29" s="1406">
        <v>1.1000000000000001</v>
      </c>
      <c r="O29" s="1406" t="s">
        <v>3198</v>
      </c>
      <c r="P29" s="1406" t="s">
        <v>3122</v>
      </c>
    </row>
    <row r="30" spans="1:16" s="1406" customFormat="1">
      <c r="A30" s="1406" t="s">
        <v>3199</v>
      </c>
      <c r="B30" s="1406" t="s">
        <v>3067</v>
      </c>
      <c r="C30" s="1406" t="s">
        <v>3102</v>
      </c>
      <c r="D30" s="1406">
        <v>20680.23</v>
      </c>
      <c r="E30" s="1406">
        <v>62041</v>
      </c>
      <c r="F30" s="1406">
        <v>3</v>
      </c>
      <c r="G30" s="1406" t="s">
        <v>3104</v>
      </c>
      <c r="H30" s="1406" t="s">
        <v>3200</v>
      </c>
      <c r="I30" s="1406" t="s">
        <v>3201</v>
      </c>
      <c r="J30" s="1406" t="s">
        <v>3201</v>
      </c>
      <c r="K30" s="1406">
        <v>75000</v>
      </c>
      <c r="L30" s="1406">
        <v>81000</v>
      </c>
      <c r="M30" s="1406">
        <v>13055.87</v>
      </c>
      <c r="N30" s="1406">
        <v>8</v>
      </c>
      <c r="O30" s="1406" t="s">
        <v>3202</v>
      </c>
      <c r="P30" s="1406" t="s">
        <v>3122</v>
      </c>
    </row>
    <row r="31" spans="1:16" s="1406" customFormat="1">
      <c r="A31" s="1406" t="s">
        <v>3203</v>
      </c>
      <c r="B31" s="1406" t="s">
        <v>3067</v>
      </c>
      <c r="C31" s="1406" t="s">
        <v>3102</v>
      </c>
      <c r="D31" s="1406">
        <v>27377.24</v>
      </c>
      <c r="E31" s="1406">
        <v>62968</v>
      </c>
      <c r="F31" s="1406">
        <v>2.2999999999999998</v>
      </c>
      <c r="G31" s="1406" t="s">
        <v>3104</v>
      </c>
      <c r="H31" s="1406" t="s">
        <v>3153</v>
      </c>
      <c r="I31" s="1406" t="s">
        <v>3201</v>
      </c>
      <c r="J31" s="1406" t="s">
        <v>3201</v>
      </c>
      <c r="K31" s="1406">
        <v>65000</v>
      </c>
      <c r="L31" s="1406">
        <v>65000</v>
      </c>
      <c r="M31" s="1406">
        <v>10322.700000000001</v>
      </c>
      <c r="N31" s="1406">
        <v>0</v>
      </c>
      <c r="O31" s="1406" t="s">
        <v>3182</v>
      </c>
      <c r="P31" s="1406" t="s">
        <v>3122</v>
      </c>
    </row>
    <row r="32" spans="1:16" s="1406" customFormat="1">
      <c r="A32" s="1406" t="s">
        <v>3204</v>
      </c>
      <c r="B32" s="1406" t="s">
        <v>3067</v>
      </c>
      <c r="C32" s="1406" t="s">
        <v>3102</v>
      </c>
      <c r="D32" s="1406">
        <v>166012.29999999999</v>
      </c>
      <c r="E32" s="1406">
        <v>332025</v>
      </c>
      <c r="F32" s="1406">
        <v>2</v>
      </c>
      <c r="G32" s="1406" t="s">
        <v>3104</v>
      </c>
      <c r="H32" s="1406" t="s">
        <v>3105</v>
      </c>
      <c r="I32" s="1406" t="s">
        <v>3205</v>
      </c>
      <c r="J32" s="1406" t="s">
        <v>3205</v>
      </c>
      <c r="K32" s="1406">
        <v>240045</v>
      </c>
      <c r="L32" s="1406">
        <v>240045</v>
      </c>
      <c r="M32" s="1406">
        <v>7229.72</v>
      </c>
      <c r="N32" s="1406">
        <v>0</v>
      </c>
      <c r="O32" s="1406" t="s">
        <v>3206</v>
      </c>
      <c r="P32" s="1406" t="s">
        <v>3207</v>
      </c>
    </row>
    <row r="33" spans="1:16" s="1406" customFormat="1">
      <c r="A33" s="1406" t="s">
        <v>3208</v>
      </c>
      <c r="B33" s="1406" t="s">
        <v>3067</v>
      </c>
      <c r="C33" s="1406" t="s">
        <v>3102</v>
      </c>
      <c r="D33" s="1406">
        <v>27641.17</v>
      </c>
      <c r="E33" s="1406">
        <v>96744</v>
      </c>
      <c r="F33" s="1406">
        <v>3.5</v>
      </c>
      <c r="G33" s="1406" t="s">
        <v>3104</v>
      </c>
      <c r="H33" s="1406" t="s">
        <v>3111</v>
      </c>
      <c r="I33" s="1406" t="s">
        <v>3209</v>
      </c>
      <c r="J33" s="1406" t="s">
        <v>3209</v>
      </c>
      <c r="K33" s="1406">
        <v>117000</v>
      </c>
      <c r="L33" s="1406">
        <v>117600</v>
      </c>
      <c r="M33" s="1406">
        <v>12155.79</v>
      </c>
      <c r="N33" s="1406">
        <v>0.51</v>
      </c>
      <c r="O33" s="1406" t="s">
        <v>3186</v>
      </c>
      <c r="P33" s="1406" t="s">
        <v>3122</v>
      </c>
    </row>
    <row r="34" spans="1:16" s="1406" customFormat="1">
      <c r="A34" s="1406" t="s">
        <v>3210</v>
      </c>
      <c r="B34" s="1406" t="s">
        <v>3067</v>
      </c>
      <c r="C34" s="1406" t="s">
        <v>3102</v>
      </c>
      <c r="D34" s="1406">
        <v>9542.5300000000007</v>
      </c>
      <c r="E34" s="1406">
        <v>36580</v>
      </c>
      <c r="F34" s="1406">
        <v>3.83</v>
      </c>
      <c r="G34" s="1406" t="s">
        <v>3104</v>
      </c>
      <c r="H34" s="1406" t="s">
        <v>3211</v>
      </c>
      <c r="I34" s="1406" t="s">
        <v>3209</v>
      </c>
      <c r="J34" s="1406" t="s">
        <v>3209</v>
      </c>
      <c r="K34" s="1406">
        <v>120000</v>
      </c>
      <c r="L34" s="1406">
        <v>169500</v>
      </c>
      <c r="M34" s="1406">
        <v>46336.800000000003</v>
      </c>
      <c r="N34" s="1406">
        <v>41.25</v>
      </c>
      <c r="O34" s="1406" t="s">
        <v>3212</v>
      </c>
      <c r="P34" s="1406" t="s">
        <v>3108</v>
      </c>
    </row>
    <row r="35" spans="1:16" s="1406" customFormat="1">
      <c r="A35" s="1406" t="s">
        <v>3213</v>
      </c>
      <c r="B35" s="1406" t="s">
        <v>3067</v>
      </c>
      <c r="C35" s="1406" t="s">
        <v>3102</v>
      </c>
      <c r="D35" s="1406">
        <v>59750.39</v>
      </c>
      <c r="E35" s="1406">
        <v>149376</v>
      </c>
      <c r="F35" s="1406">
        <v>2.5</v>
      </c>
      <c r="G35" s="1406" t="s">
        <v>3104</v>
      </c>
      <c r="H35" s="1406" t="s">
        <v>3166</v>
      </c>
      <c r="I35" s="1406" t="s">
        <v>3214</v>
      </c>
      <c r="J35" s="1406" t="s">
        <v>3214</v>
      </c>
      <c r="K35" s="1406">
        <v>180000</v>
      </c>
      <c r="L35" s="1406">
        <v>182700</v>
      </c>
      <c r="M35" s="1406">
        <v>12230.87</v>
      </c>
      <c r="N35" s="1406">
        <v>1.5</v>
      </c>
      <c r="O35" s="1406" t="s">
        <v>3215</v>
      </c>
      <c r="P35" s="1406" t="s">
        <v>3158</v>
      </c>
    </row>
    <row r="36" spans="1:16" s="1406" customFormat="1">
      <c r="A36" s="1406" t="s">
        <v>3216</v>
      </c>
      <c r="B36" s="1406" t="s">
        <v>3067</v>
      </c>
      <c r="C36" s="1406" t="s">
        <v>3102</v>
      </c>
      <c r="D36" s="1406">
        <v>18865.5</v>
      </c>
      <c r="E36" s="1406">
        <v>22639</v>
      </c>
      <c r="F36" s="1406">
        <v>1.2</v>
      </c>
      <c r="G36" s="1406" t="s">
        <v>3104</v>
      </c>
      <c r="H36" s="1406" t="s">
        <v>3120</v>
      </c>
      <c r="I36" s="1406" t="s">
        <v>3217</v>
      </c>
      <c r="J36" s="1406" t="s">
        <v>3217</v>
      </c>
      <c r="K36" s="1406">
        <v>25400</v>
      </c>
      <c r="L36" s="1406">
        <v>25400</v>
      </c>
      <c r="M36" s="1406">
        <v>11219.57</v>
      </c>
      <c r="N36" s="1406">
        <v>0</v>
      </c>
      <c r="O36" s="1406" t="s">
        <v>3218</v>
      </c>
      <c r="P36" s="1406" t="s">
        <v>3122</v>
      </c>
    </row>
    <row r="37" spans="1:16" s="1406" customFormat="1">
      <c r="A37" s="1406" t="s">
        <v>3219</v>
      </c>
      <c r="B37" s="1406" t="s">
        <v>3067</v>
      </c>
      <c r="C37" s="1406" t="s">
        <v>3102</v>
      </c>
      <c r="D37" s="1406">
        <v>23342.84</v>
      </c>
      <c r="E37" s="1406">
        <v>91000</v>
      </c>
      <c r="F37" s="1406">
        <v>3.9</v>
      </c>
      <c r="G37" s="1406" t="s">
        <v>3104</v>
      </c>
      <c r="H37" s="1406" t="s">
        <v>3220</v>
      </c>
      <c r="I37" s="1406" t="s">
        <v>3221</v>
      </c>
      <c r="J37" s="1406" t="s">
        <v>3221</v>
      </c>
      <c r="K37" s="1406">
        <v>100000</v>
      </c>
      <c r="L37" s="1406">
        <v>101000</v>
      </c>
      <c r="M37" s="1406">
        <v>11098.89</v>
      </c>
      <c r="N37" s="1406">
        <v>1</v>
      </c>
      <c r="O37" s="1406" t="s">
        <v>3222</v>
      </c>
      <c r="P37" s="1406" t="s">
        <v>3122</v>
      </c>
    </row>
    <row r="38" spans="1:16" s="1406" customFormat="1">
      <c r="A38" s="1406" t="s">
        <v>3223</v>
      </c>
      <c r="B38" s="1406" t="s">
        <v>3067</v>
      </c>
      <c r="C38" s="1406" t="s">
        <v>3102</v>
      </c>
      <c r="D38" s="1406">
        <v>27884.6</v>
      </c>
      <c r="E38" s="1406">
        <v>81543</v>
      </c>
      <c r="F38" s="1406">
        <v>2.92</v>
      </c>
      <c r="G38" s="1406" t="s">
        <v>3104</v>
      </c>
      <c r="H38" s="1406" t="s">
        <v>3220</v>
      </c>
      <c r="I38" s="1406" t="s">
        <v>3224</v>
      </c>
      <c r="J38" s="1406" t="s">
        <v>3224</v>
      </c>
      <c r="K38" s="1406">
        <v>110100</v>
      </c>
      <c r="L38" s="1406">
        <v>110100</v>
      </c>
      <c r="M38" s="1406">
        <v>13502.07</v>
      </c>
      <c r="N38" s="1406">
        <v>0</v>
      </c>
      <c r="O38" s="1406" t="s">
        <v>3212</v>
      </c>
      <c r="P38" s="1406" t="s">
        <v>3122</v>
      </c>
    </row>
    <row r="39" spans="1:16" s="1406" customFormat="1">
      <c r="A39" s="1406" t="s">
        <v>3225</v>
      </c>
      <c r="B39" s="1406" t="s">
        <v>3067</v>
      </c>
      <c r="C39" s="1406" t="s">
        <v>3102</v>
      </c>
      <c r="D39" s="1406">
        <v>30547.5</v>
      </c>
      <c r="E39" s="1406">
        <v>83674</v>
      </c>
      <c r="F39" s="1406">
        <v>2.74</v>
      </c>
      <c r="G39" s="1406" t="s">
        <v>3104</v>
      </c>
      <c r="H39" s="1406" t="s">
        <v>3220</v>
      </c>
      <c r="I39" s="1406" t="s">
        <v>3224</v>
      </c>
      <c r="J39" s="1406" t="s">
        <v>3224</v>
      </c>
      <c r="K39" s="1406">
        <v>113000</v>
      </c>
      <c r="L39" s="1406">
        <v>113000</v>
      </c>
      <c r="M39" s="1406">
        <v>13504.79</v>
      </c>
      <c r="N39" s="1406">
        <v>0</v>
      </c>
      <c r="O39" s="1406" t="s">
        <v>3212</v>
      </c>
      <c r="P39" s="1406" t="s">
        <v>3122</v>
      </c>
    </row>
    <row r="40" spans="1:16" s="1406" customFormat="1">
      <c r="A40" s="1406" t="s">
        <v>3226</v>
      </c>
      <c r="B40" s="1406" t="s">
        <v>3067</v>
      </c>
      <c r="C40" s="1406" t="s">
        <v>3102</v>
      </c>
      <c r="D40" s="1406">
        <v>17300</v>
      </c>
      <c r="E40" s="1406">
        <v>25950</v>
      </c>
      <c r="F40" s="1406">
        <v>1.5</v>
      </c>
      <c r="G40" s="1406" t="s">
        <v>3104</v>
      </c>
      <c r="H40" s="1406" t="s">
        <v>3227</v>
      </c>
      <c r="I40" s="1406" t="s">
        <v>3228</v>
      </c>
      <c r="J40" s="1406" t="s">
        <v>3228</v>
      </c>
      <c r="K40" s="1406">
        <v>14300</v>
      </c>
      <c r="L40" s="1406">
        <v>15600</v>
      </c>
      <c r="M40" s="1406">
        <v>6011.56</v>
      </c>
      <c r="N40" s="1406">
        <v>9.09</v>
      </c>
      <c r="O40" s="1406" t="s">
        <v>3229</v>
      </c>
      <c r="P40" s="1406" t="s">
        <v>3158</v>
      </c>
    </row>
    <row r="41" spans="1:16" s="1406" customFormat="1">
      <c r="A41" s="1406" t="s">
        <v>3230</v>
      </c>
      <c r="B41" s="1406" t="s">
        <v>3067</v>
      </c>
      <c r="C41" s="1406" t="s">
        <v>3102</v>
      </c>
      <c r="D41" s="1406">
        <v>29235.040000000001</v>
      </c>
      <c r="E41" s="1406">
        <v>97949</v>
      </c>
      <c r="F41" s="1406">
        <v>3.35</v>
      </c>
      <c r="G41" s="1406" t="s">
        <v>3104</v>
      </c>
      <c r="H41" s="1406" t="s">
        <v>3231</v>
      </c>
      <c r="I41" s="1406" t="s">
        <v>3232</v>
      </c>
      <c r="J41" s="1406" t="s">
        <v>3232</v>
      </c>
      <c r="K41" s="1406">
        <v>93000</v>
      </c>
      <c r="L41" s="1406">
        <v>193000</v>
      </c>
      <c r="M41" s="1406">
        <v>19704.13</v>
      </c>
      <c r="N41" s="1406">
        <v>107.53</v>
      </c>
      <c r="O41" s="1406" t="s">
        <v>3233</v>
      </c>
      <c r="P41" s="1406" t="s">
        <v>3122</v>
      </c>
    </row>
    <row r="42" spans="1:16" s="1406" customFormat="1">
      <c r="A42" s="1406" t="s">
        <v>3234</v>
      </c>
      <c r="B42" s="1406" t="s">
        <v>3067</v>
      </c>
      <c r="C42" s="1406" t="s">
        <v>3102</v>
      </c>
      <c r="D42" s="1406">
        <v>63464.7</v>
      </c>
      <c r="E42" s="1406">
        <v>242699</v>
      </c>
      <c r="F42" s="1406">
        <v>3.82</v>
      </c>
      <c r="G42" s="1406" t="s">
        <v>3104</v>
      </c>
      <c r="H42" s="1406" t="s">
        <v>3235</v>
      </c>
      <c r="I42" s="1406" t="s">
        <v>3232</v>
      </c>
      <c r="J42" s="1406" t="s">
        <v>3232</v>
      </c>
      <c r="K42" s="1406">
        <v>219000</v>
      </c>
      <c r="L42" s="1406">
        <v>382000</v>
      </c>
      <c r="M42" s="1406">
        <v>15739.65</v>
      </c>
      <c r="N42" s="1406">
        <v>74.430000000000007</v>
      </c>
      <c r="O42" s="1406" t="s">
        <v>3236</v>
      </c>
      <c r="P42" s="1406" t="s">
        <v>3122</v>
      </c>
    </row>
    <row r="43" spans="1:16" s="1406" customFormat="1">
      <c r="A43" s="1406" t="s">
        <v>3237</v>
      </c>
      <c r="B43" s="1406" t="s">
        <v>3067</v>
      </c>
      <c r="C43" s="1406" t="s">
        <v>3102</v>
      </c>
      <c r="D43" s="1406">
        <v>33986.97</v>
      </c>
      <c r="E43" s="1406">
        <v>110290</v>
      </c>
      <c r="F43" s="1406">
        <v>3.25</v>
      </c>
      <c r="G43" s="1406" t="s">
        <v>3104</v>
      </c>
      <c r="H43" s="1406" t="s">
        <v>3231</v>
      </c>
      <c r="I43" s="1406" t="s">
        <v>3232</v>
      </c>
      <c r="J43" s="1406" t="s">
        <v>3232</v>
      </c>
      <c r="K43" s="1406">
        <v>94000</v>
      </c>
      <c r="L43" s="1406">
        <v>182000</v>
      </c>
      <c r="M43" s="1406">
        <v>16501.95</v>
      </c>
      <c r="N43" s="1406">
        <v>93.62</v>
      </c>
      <c r="O43" s="1406" t="s">
        <v>3238</v>
      </c>
      <c r="P43" s="1406" t="s">
        <v>3122</v>
      </c>
    </row>
    <row r="44" spans="1:16" s="1406" customFormat="1">
      <c r="A44" s="1406" t="s">
        <v>3239</v>
      </c>
      <c r="B44" s="1406" t="s">
        <v>3067</v>
      </c>
      <c r="C44" s="1406" t="s">
        <v>3102</v>
      </c>
      <c r="D44" s="1406">
        <v>51670.01</v>
      </c>
      <c r="E44" s="1406">
        <v>180844</v>
      </c>
      <c r="F44" s="1406">
        <v>3.5</v>
      </c>
      <c r="G44" s="1406" t="s">
        <v>3132</v>
      </c>
      <c r="H44" s="1406" t="s">
        <v>3240</v>
      </c>
      <c r="I44" s="1406" t="s">
        <v>3241</v>
      </c>
      <c r="J44" s="1406" t="s">
        <v>3241</v>
      </c>
      <c r="K44" s="1406" t="s">
        <v>1298</v>
      </c>
      <c r="L44" s="1406">
        <v>166000</v>
      </c>
      <c r="M44" s="1406">
        <v>9179.18</v>
      </c>
      <c r="N44" s="1406" t="s">
        <v>1298</v>
      </c>
      <c r="O44" s="1406" t="s">
        <v>3242</v>
      </c>
      <c r="P44" s="1406" t="s">
        <v>3158</v>
      </c>
    </row>
    <row r="45" spans="1:16" s="1406" customFormat="1">
      <c r="A45" s="1406" t="s">
        <v>3243</v>
      </c>
      <c r="B45" s="1406" t="s">
        <v>3067</v>
      </c>
      <c r="C45" s="1406" t="s">
        <v>3102</v>
      </c>
      <c r="D45" s="1406">
        <v>37490</v>
      </c>
      <c r="E45" s="1406">
        <v>67565</v>
      </c>
      <c r="F45" s="1406">
        <v>1.8</v>
      </c>
      <c r="G45" s="1406" t="s">
        <v>3104</v>
      </c>
      <c r="H45" s="1406" t="s">
        <v>3244</v>
      </c>
      <c r="I45" s="1406" t="s">
        <v>3245</v>
      </c>
      <c r="J45" s="1406" t="s">
        <v>3245</v>
      </c>
      <c r="K45" s="1406">
        <v>44100</v>
      </c>
      <c r="L45" s="1406">
        <v>85500</v>
      </c>
      <c r="M45" s="1406">
        <v>12654.47</v>
      </c>
      <c r="N45" s="1406">
        <v>93.88</v>
      </c>
      <c r="O45" s="1406" t="s">
        <v>3246</v>
      </c>
      <c r="P45" s="1406" t="s">
        <v>3108</v>
      </c>
    </row>
    <row r="46" spans="1:16" s="1406" customFormat="1">
      <c r="A46" s="1406" t="s">
        <v>3247</v>
      </c>
      <c r="B46" s="1406" t="s">
        <v>3067</v>
      </c>
      <c r="C46" s="1406" t="s">
        <v>3102</v>
      </c>
      <c r="D46" s="1406">
        <v>28450.28</v>
      </c>
      <c r="E46" s="1406">
        <v>80000</v>
      </c>
      <c r="F46" s="1406">
        <v>2.81</v>
      </c>
      <c r="G46" s="1406" t="s">
        <v>3104</v>
      </c>
      <c r="H46" s="1406" t="s">
        <v>3248</v>
      </c>
      <c r="I46" s="1406" t="s">
        <v>3249</v>
      </c>
      <c r="J46" s="1406" t="s">
        <v>3249</v>
      </c>
      <c r="K46" s="1406">
        <v>16000</v>
      </c>
      <c r="L46" s="1406">
        <v>32200</v>
      </c>
      <c r="M46" s="1406">
        <v>4025</v>
      </c>
      <c r="N46" s="1406">
        <v>101.25</v>
      </c>
      <c r="O46" s="1406" t="s">
        <v>3250</v>
      </c>
      <c r="P46" s="1406" t="s">
        <v>3108</v>
      </c>
    </row>
    <row r="47" spans="1:16" s="1406" customFormat="1">
      <c r="A47" s="1406" t="s">
        <v>3251</v>
      </c>
      <c r="B47" s="1406" t="s">
        <v>3067</v>
      </c>
      <c r="C47" s="1406" t="s">
        <v>3102</v>
      </c>
      <c r="D47" s="1406">
        <v>99373.61</v>
      </c>
      <c r="E47" s="1406">
        <v>89961</v>
      </c>
      <c r="F47" s="1406">
        <v>0.91</v>
      </c>
      <c r="G47" s="1406" t="s">
        <v>3104</v>
      </c>
      <c r="H47" s="1406" t="s">
        <v>3231</v>
      </c>
      <c r="I47" s="1406" t="s">
        <v>3252</v>
      </c>
      <c r="J47" s="1406" t="s">
        <v>3252</v>
      </c>
      <c r="K47" s="1406">
        <v>26775</v>
      </c>
      <c r="L47" s="1406">
        <v>26775</v>
      </c>
      <c r="M47" s="1406">
        <v>2976.28</v>
      </c>
      <c r="N47" s="1406">
        <v>0</v>
      </c>
      <c r="O47" s="1406" t="s">
        <v>3253</v>
      </c>
      <c r="P47" s="1406" t="s">
        <v>3207</v>
      </c>
    </row>
    <row r="48" spans="1:16" s="1406" customFormat="1">
      <c r="A48" s="1406" t="s">
        <v>3254</v>
      </c>
      <c r="B48" s="1406" t="s">
        <v>3067</v>
      </c>
      <c r="C48" s="1406" t="s">
        <v>3102</v>
      </c>
      <c r="D48" s="1406">
        <v>26647.759999999998</v>
      </c>
      <c r="E48" s="1406">
        <v>93267</v>
      </c>
      <c r="F48" s="1406">
        <v>3.5</v>
      </c>
      <c r="G48" s="1406" t="s">
        <v>3104</v>
      </c>
      <c r="H48" s="1406" t="s">
        <v>3240</v>
      </c>
      <c r="I48" s="1406" t="s">
        <v>3255</v>
      </c>
      <c r="J48" s="1406" t="s">
        <v>3255</v>
      </c>
      <c r="K48" s="1406">
        <v>73100</v>
      </c>
      <c r="L48" s="1406">
        <v>133000</v>
      </c>
      <c r="M48" s="1406">
        <v>14260.12</v>
      </c>
      <c r="N48" s="1406">
        <v>81.94</v>
      </c>
      <c r="O48" s="1406" t="s">
        <v>3256</v>
      </c>
      <c r="P48" s="1406" t="s">
        <v>3122</v>
      </c>
    </row>
    <row r="49" spans="1:16" s="1406" customFormat="1">
      <c r="A49" s="1406" t="s">
        <v>3257</v>
      </c>
      <c r="B49" s="1406" t="s">
        <v>3067</v>
      </c>
      <c r="C49" s="1406" t="s">
        <v>3102</v>
      </c>
      <c r="D49" s="1406">
        <v>19364.02</v>
      </c>
      <c r="E49" s="1406">
        <v>58092</v>
      </c>
      <c r="F49" s="1406">
        <v>3</v>
      </c>
      <c r="G49" s="1406" t="s">
        <v>3104</v>
      </c>
      <c r="H49" s="1406" t="s">
        <v>3220</v>
      </c>
      <c r="I49" s="1406" t="s">
        <v>3258</v>
      </c>
      <c r="J49" s="1406" t="s">
        <v>3258</v>
      </c>
      <c r="K49" s="1406">
        <v>90000</v>
      </c>
      <c r="L49" s="1406">
        <v>91000</v>
      </c>
      <c r="M49" s="1406">
        <v>15664.8</v>
      </c>
      <c r="N49" s="1406">
        <v>1.1100000000000001</v>
      </c>
      <c r="O49" s="1406" t="s">
        <v>3259</v>
      </c>
      <c r="P49" s="1406" t="s">
        <v>3108</v>
      </c>
    </row>
    <row r="50" spans="1:16" s="1406" customFormat="1">
      <c r="A50" s="1406" t="s">
        <v>3260</v>
      </c>
      <c r="B50" s="1406" t="s">
        <v>3067</v>
      </c>
      <c r="C50" s="1406" t="s">
        <v>3102</v>
      </c>
      <c r="D50" s="1406">
        <v>21071.040000000001</v>
      </c>
      <c r="E50" s="1406">
        <v>105355</v>
      </c>
      <c r="F50" s="1406">
        <v>5</v>
      </c>
      <c r="G50" s="1406" t="s">
        <v>3132</v>
      </c>
      <c r="H50" s="1406" t="s">
        <v>3220</v>
      </c>
      <c r="I50" s="1406" t="s">
        <v>3261</v>
      </c>
      <c r="J50" s="1406" t="s">
        <v>3261</v>
      </c>
      <c r="K50" s="1406" t="s">
        <v>1298</v>
      </c>
      <c r="L50" s="1406">
        <v>143000</v>
      </c>
      <c r="M50" s="1406">
        <v>13573.15</v>
      </c>
      <c r="N50" s="1406" t="s">
        <v>1298</v>
      </c>
      <c r="O50" s="1406" t="s">
        <v>3262</v>
      </c>
      <c r="P50" s="1406" t="s">
        <v>3108</v>
      </c>
    </row>
    <row r="51" spans="1:16" s="1406" customFormat="1">
      <c r="A51" s="1406" t="s">
        <v>3263</v>
      </c>
      <c r="B51" s="1406" t="s">
        <v>3067</v>
      </c>
      <c r="C51" s="1406" t="s">
        <v>3102</v>
      </c>
      <c r="D51" s="1406">
        <v>4775</v>
      </c>
      <c r="E51" s="1406">
        <v>9550</v>
      </c>
      <c r="F51" s="1406">
        <v>2</v>
      </c>
      <c r="G51" s="1406" t="s">
        <v>3104</v>
      </c>
      <c r="H51" s="1406" t="s">
        <v>3220</v>
      </c>
      <c r="I51" s="1406" t="s">
        <v>3264</v>
      </c>
      <c r="J51" s="1406" t="s">
        <v>3264</v>
      </c>
      <c r="K51" s="1406">
        <v>4800</v>
      </c>
      <c r="L51" s="1406">
        <v>10600</v>
      </c>
      <c r="M51" s="1406">
        <v>11099.47</v>
      </c>
      <c r="N51" s="1406">
        <v>120.83</v>
      </c>
      <c r="O51" s="1406" t="s">
        <v>3265</v>
      </c>
      <c r="P51" s="1406" t="s">
        <v>3158</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5"/>
  <sheetViews>
    <sheetView workbookViewId="0">
      <selection activeCell="J31" sqref="J31"/>
    </sheetView>
  </sheetViews>
  <sheetFormatPr defaultRowHeight="13.5"/>
  <sheetData>
    <row r="3" spans="3:4">
      <c r="C3">
        <f>'数据-汇总表'!F19</f>
        <v>78056.28</v>
      </c>
      <c r="D3">
        <v>3.4</v>
      </c>
    </row>
    <row r="4" spans="3:4">
      <c r="C4">
        <f>'数据-汇总表'!G19</f>
        <v>32607.03</v>
      </c>
      <c r="D4">
        <f>D3*0.4</f>
        <v>1.36</v>
      </c>
    </row>
    <row r="5" spans="3:4">
      <c r="C5">
        <f>SUM(C3:C4)</f>
        <v>110663.31</v>
      </c>
      <c r="D5">
        <f>ROUND(SUMPRODUCT(C3:C4*D3:D4/C5),1)</f>
        <v>2.8</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3" t="s">
        <v>1603</v>
      </c>
      <c r="E3" s="963" t="s">
        <v>1609</v>
      </c>
      <c r="F3" s="963" t="s">
        <v>1603</v>
      </c>
      <c r="G3" s="963" t="s">
        <v>1604</v>
      </c>
      <c r="H3" s="963" t="s">
        <v>1603</v>
      </c>
      <c r="I3" s="963" t="s">
        <v>1604</v>
      </c>
    </row>
    <row r="4" spans="1:9" ht="15">
      <c r="A4" s="1690" t="str">
        <f>项目基本情况!S2</f>
        <v>北京市房地产</v>
      </c>
      <c r="B4" s="963">
        <f>项目基本情况!C17</f>
        <v>131855.63</v>
      </c>
      <c r="C4" s="963">
        <f>项目基本情况!C18</f>
        <v>41486.36</v>
      </c>
      <c r="D4" s="963">
        <f ca="1">结果表!D118</f>
        <v>170259</v>
      </c>
      <c r="E4" s="963">
        <f ca="1">结果表!E118</f>
        <v>12913</v>
      </c>
      <c r="F4" s="963">
        <f ca="1">结果表!F118</f>
        <v>53471</v>
      </c>
      <c r="G4" s="963">
        <f ca="1">结果表!G118</f>
        <v>4055</v>
      </c>
      <c r="H4" s="963">
        <f ca="1">结果表!H118</f>
        <v>223730</v>
      </c>
      <c r="I4" s="963">
        <f ca="1">结果表!I118</f>
        <v>16968</v>
      </c>
    </row>
    <row r="5" spans="1:9" ht="30" customHeight="1">
      <c r="A5" s="3085" t="s">
        <v>1605</v>
      </c>
      <c r="B5" s="3085"/>
      <c r="C5" s="3085"/>
      <c r="D5" s="3086" t="str">
        <f ca="1">结果表!D119</f>
        <v>壹拾柒亿零贰佰伍拾玖万元整</v>
      </c>
      <c r="E5" s="3086"/>
      <c r="F5" s="3086" t="str">
        <f ca="1">结果表!F119</f>
        <v>伍亿叁仟肆佰柒拾壹万元整</v>
      </c>
      <c r="G5" s="3086"/>
      <c r="H5" s="3086" t="str">
        <f ca="1">结果表!H119</f>
        <v>贰拾贰亿叁仟柒佰叁拾万元整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223730</v>
      </c>
      <c r="E8" s="3087"/>
      <c r="F8" s="3087"/>
      <c r="G8" s="3087"/>
      <c r="H8" s="3087"/>
      <c r="I8" s="3087"/>
    </row>
    <row r="9" spans="1:9" ht="15">
      <c r="A9" s="3085" t="s">
        <v>1605</v>
      </c>
      <c r="B9" s="3085"/>
      <c r="C9" s="3085"/>
      <c r="D9" s="3086" t="str">
        <f ca="1">结果表!D123</f>
        <v>贰拾贰亿叁仟柒佰叁拾万元整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44322</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f ca="1">IF(C13&lt;B2,"已过期",1120020033)</f>
        <v>1120020033</v>
      </c>
      <c r="C13" s="2568">
        <v>44339</v>
      </c>
      <c r="D13" s="2569" t="str">
        <f t="shared" ca="1" si="0"/>
        <v>刘敬东（注册号：1120020033）</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1" t="s">
        <v>2903</v>
      </c>
      <c r="B17" s="3111"/>
      <c r="C17" s="3111"/>
      <c r="D17" s="3111"/>
      <c r="E17" s="3111"/>
      <c r="F17" s="3111"/>
      <c r="G17" s="3111"/>
      <c r="H17" s="3111"/>
    </row>
    <row r="18" spans="1:8" ht="24" customHeight="1">
      <c r="A18" s="3112" t="s">
        <v>2904</v>
      </c>
      <c r="B18" s="3112"/>
      <c r="C18" s="3112"/>
      <c r="D18" s="2566"/>
      <c r="E18" s="3113" t="s">
        <v>2905</v>
      </c>
      <c r="F18" s="3112"/>
      <c r="G18" s="3112"/>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2021-05-06T08:43:20Z</dcterms:modified>
</cp:coreProperties>
</file>