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南法信工业\"/>
    </mc:Choice>
  </mc:AlternateContent>
  <bookViews>
    <workbookView xWindow="276" yWindow="12" windowWidth="14388" windowHeight="12228"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分析" sheetId="82" r:id="rId20"/>
    <sheet name="结果" sheetId="84" r:id="rId21"/>
    <sheet name="比较法-仓储" sheetId="36" r:id="rId22"/>
    <sheet name="Sheet4" sheetId="83" r:id="rId23"/>
    <sheet name="成本法 (元)" sheetId="69" r:id="rId24"/>
    <sheet name="基准地价修正" sheetId="43" r:id="rId25"/>
    <sheet name="Sheet2" sheetId="81" r:id="rId26"/>
    <sheet name="Sheet1" sheetId="80" r:id="rId27"/>
    <sheet name="假设开发法" sheetId="12" state="hidden" r:id="rId28"/>
    <sheet name="收益法" sheetId="15" state="hidden"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 r:id="rId55"/>
  </externalReferences>
  <definedNames>
    <definedName name="_xlnm._FilterDatabase" localSheetId="34" hidden="1">'比较法-办公'!$A$1:$L$50</definedName>
    <definedName name="_xlnm._FilterDatabase" localSheetId="21"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1">'比较法-仓储'!$A$1:$K$42,'比较法-仓储'!$A$45:$M$96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7">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 localSheetId="19">#REF!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分析">#REF!</definedName>
    <definedName name="成本分析1">#REF!</definedName>
    <definedName name="城镇土地纳税等级分级范围">'数据-取费表'!$A$53:$A$63</definedName>
    <definedName name="单价内涵">定义!$V$1:$V$3</definedName>
    <definedName name="单元">#REF!</definedName>
    <definedName name="地类判定">定义!$H$1:$H$9</definedName>
    <definedName name="抵押状况">#REF!</definedName>
    <definedName name="独立使用性分析">#REF!</definedName>
    <definedName name="二级" localSheetId="19">#REF!</definedName>
    <definedName name="二级">区片价!$J$1:$J$21</definedName>
    <definedName name="二级分类">修正!$C$19:$C$53</definedName>
    <definedName name="发证日期">#REF!</definedName>
    <definedName name="法定最高年限">定义!$G$1:$G$6</definedName>
    <definedName name="法定最高土地使用年限">#REF!</definedName>
    <definedName name="房号">#REF!</definedName>
    <definedName name="房间">#REF!</definedName>
    <definedName name="房间号">#REF!</definedName>
    <definedName name="房屋产权性质">[3]楼层测算!$N$2:$N$9</definedName>
    <definedName name="房屋朝向">[3]楼层测算!$A$117:$A$126</definedName>
    <definedName name="房屋装修">[3]楼层测算!$K$2:$K$5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对象是否为半地下室">#REF!</definedName>
    <definedName name="估价对象所在区县">#REF!</definedName>
    <definedName name="估价范围判定">定义!$D$1:$D$4</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19">[4]基准地价修正!$O$19:$Z$19</definedName>
    <definedName name="季度">基准地价修正!$Q$19:$AD$19</definedName>
    <definedName name="价值类型2">定义!$B$54:$B$56</definedName>
    <definedName name="建筑结构">[5]楼层测算!$J$2:$J$3</definedName>
    <definedName name="交通便捷度">定义!$O$1:$O$6</definedName>
    <definedName name="教委">#REF!</definedName>
    <definedName name="结构">#REF!</definedName>
    <definedName name="经济寿命">#REF!</definedName>
    <definedName name="九级" localSheetId="19">#REF!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 localSheetId="19">#REF!</definedName>
    <definedName name="六级">区片价!$N$1:$N$64</definedName>
    <definedName name="楼栋">#REF!</definedName>
    <definedName name="楼号">#REF!</definedName>
    <definedName name="内部装修维护情况">定义!$U$1:$U$6</definedName>
    <definedName name="配备电梯">[5]楼层测算!$M$2:$M$3</definedName>
    <definedName name="评估方法1">#REF!</definedName>
    <definedName name="评估方法2">#REF!</definedName>
    <definedName name="七级" localSheetId="19">#REF!</definedName>
    <definedName name="七级">区片价!$O$1:$O$45</definedName>
    <definedName name="七通一平">修正!$A$8:$A$16</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9">#REF!</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 localSheetId="19">#REF!</definedName>
    <definedName name="十二级">区片价!$T$1:$T$8</definedName>
    <definedName name="十级" localSheetId="19">#REF!</definedName>
    <definedName name="十级">区片价!$R$1:$R$32</definedName>
    <definedName name="十一级" localSheetId="19">#REF!</definedName>
    <definedName name="十一级">区片价!$S$1:$S$21</definedName>
    <definedName name="是否封闭">'比较法-仓储'!$B$89:$M$89</definedName>
    <definedName name="是否直接入户">'比较法-车位'!$B$95:$M$95</definedName>
    <definedName name="四级" localSheetId="19">#REF!</definedName>
    <definedName name="四级">区片价!$L$1:$L$33</definedName>
    <definedName name="所在楼层">[3]楼层测算!$L$2:$L$6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土地用途">#REF!</definedName>
    <definedName name="位置">定义!$E$2:$E$4</definedName>
    <definedName name="五等判定">定义!$W$1:$W$6</definedName>
    <definedName name="五级" localSheetId="19">#REF!</definedName>
    <definedName name="五级">区片价!$M$1:$M$41</definedName>
    <definedName name="物理结构是否变化">#REF!</definedName>
    <definedName name="项目类型" localSheetId="30">'[1]数据-汇总表'!$C$17:$C$26</definedName>
    <definedName name="项目类型">'数据-汇总表'!$C$17:$C$26</definedName>
    <definedName name="小区临近道路级别">#REF!</definedName>
    <definedName name="写字楼等级">'比较法-办公'!$B$113:$M$113</definedName>
    <definedName name="一级" localSheetId="19">#REF!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明细">定义!$A$1:$A$50</definedName>
    <definedName name="优先受偿">#REF!</definedName>
    <definedName name="有无电梯">'比较法-仓储'!$B$84:$M$84</definedName>
    <definedName name="原件">#REF!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料来源">#REF!</definedName>
    <definedName name="租户名称">#REF!</definedName>
    <definedName name="租户银行账户">#REF!</definedName>
  </definedNames>
  <calcPr calcId="152511"/>
</workbook>
</file>

<file path=xl/calcChain.xml><?xml version="1.0" encoding="utf-8"?>
<calcChain xmlns="http://schemas.openxmlformats.org/spreadsheetml/2006/main">
  <c r="E35" i="36" l="1"/>
  <c r="I5" i="36"/>
  <c r="G5" i="36"/>
  <c r="E5" i="36"/>
  <c r="I33" i="36"/>
  <c r="G33" i="36"/>
  <c r="E33" i="36"/>
  <c r="C12" i="82"/>
  <c r="I35" i="36"/>
  <c r="G35" i="36"/>
  <c r="I32" i="36"/>
  <c r="F91" i="36" s="1"/>
  <c r="G32" i="36"/>
  <c r="E32" i="36"/>
  <c r="C30" i="36"/>
  <c r="C27" i="36"/>
  <c r="F92" i="36"/>
  <c r="D91" i="36"/>
  <c r="C91" i="36"/>
  <c r="I7" i="36"/>
  <c r="G7" i="36"/>
  <c r="E7" i="36"/>
  <c r="D3" i="84"/>
  <c r="C3" i="84"/>
  <c r="C8" i="82"/>
  <c r="C10" i="82" s="1"/>
  <c r="C5" i="82"/>
  <c r="F4" i="82"/>
  <c r="E2" i="82"/>
  <c r="E4" i="82"/>
  <c r="J3" i="82" l="1"/>
  <c r="I4" i="82"/>
  <c r="C4" i="82"/>
  <c r="E6" i="82" l="1"/>
  <c r="C6" i="82" s="1"/>
  <c r="C3" i="82" s="1"/>
  <c r="D33" i="43" l="1"/>
  <c r="N6" i="1"/>
  <c r="F19" i="6"/>
  <c r="B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AR18" i="79"/>
  <c r="AR19" i="79" s="1"/>
  <c r="AR20" i="79" s="1"/>
  <c r="AR21" i="79" s="1"/>
  <c r="AR22" i="79" s="1"/>
  <c r="AR23" i="79" s="1"/>
  <c r="AR24" i="79" s="1"/>
  <c r="T35" i="79"/>
  <c r="T34" i="79"/>
  <c r="T33" i="79"/>
  <c r="AR40" i="79"/>
  <c r="AR41" i="79" s="1"/>
  <c r="AR42" i="79" s="1"/>
  <c r="AR43" i="79" s="1"/>
  <c r="AR44" i="79" s="1"/>
  <c r="AR45" i="79" s="1"/>
  <c r="AR46" i="79" s="1"/>
  <c r="AR47" i="79" s="1"/>
  <c r="AR48" i="79" s="1"/>
  <c r="AR49" i="79" s="1"/>
  <c r="AR50" i="79" s="1"/>
  <c r="AR51" i="79" s="1"/>
  <c r="AR52" i="79" s="1"/>
  <c r="AD38" i="79"/>
  <c r="AD34" i="79"/>
  <c r="AD37" i="79"/>
  <c r="AD35" i="79"/>
  <c r="AD36" i="79"/>
  <c r="Z3" i="79"/>
  <c r="AA31" i="79"/>
  <c r="AD31"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0" i="79"/>
  <c r="AK10" i="79" s="1"/>
  <c r="AH1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9" i="71"/>
  <c r="B40" i="71" s="1"/>
  <c r="S40" i="71" s="1"/>
  <c r="E38" i="71"/>
  <c r="N68" i="71"/>
  <c r="E34" i="71"/>
  <c r="C30" i="71"/>
  <c r="C35" i="71"/>
  <c r="AA35" i="71"/>
  <c r="C38" i="71"/>
  <c r="D38" i="71" s="1"/>
  <c r="X38" i="71"/>
  <c r="B28" i="71"/>
  <c r="B27" i="71" s="1"/>
  <c r="B26" i="71"/>
  <c r="D30" i="71"/>
  <c r="C43" i="71"/>
  <c r="C44" i="71" s="1"/>
  <c r="P28" i="71"/>
  <c r="E28" i="71" s="1"/>
  <c r="U56" i="71"/>
  <c r="U68" i="71"/>
  <c r="E67" i="71"/>
  <c r="Q28" i="71"/>
  <c r="C59" i="71"/>
  <c r="D58" i="71"/>
  <c r="D62" i="71"/>
  <c r="Q68" i="71"/>
  <c r="E71" i="71"/>
  <c r="E70" i="71" s="1"/>
  <c r="D72" i="71"/>
  <c r="E75" i="71"/>
  <c r="E74" i="71" s="1"/>
  <c r="E79" i="71"/>
  <c r="E78" i="71" s="1"/>
  <c r="D80" i="71"/>
  <c r="C87" i="71"/>
  <c r="F28" i="71"/>
  <c r="F27" i="71" s="1"/>
  <c r="F26" i="71" s="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H18" i="36"/>
  <c r="AB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H35" i="35" s="1"/>
  <c r="B97" i="35"/>
  <c r="B77" i="35"/>
  <c r="B75" i="35"/>
  <c r="J24" i="35" s="1"/>
  <c r="AC24" i="35"/>
  <c r="B73" i="35"/>
  <c r="J23" i="35" s="1"/>
  <c r="AC23" i="35" s="1"/>
  <c r="B57" i="35"/>
  <c r="B61" i="35"/>
  <c r="B59" i="35"/>
  <c r="F12" i="35" s="1"/>
  <c r="B131" i="34"/>
  <c r="B129" i="34"/>
  <c r="B127" i="34"/>
  <c r="B99" i="34"/>
  <c r="B97" i="34"/>
  <c r="B95" i="34"/>
  <c r="B93" i="34"/>
  <c r="F29" i="34" s="1"/>
  <c r="S29" i="34" s="1"/>
  <c r="B75" i="34"/>
  <c r="B73" i="34"/>
  <c r="B71" i="34"/>
  <c r="J12" i="34" s="1"/>
  <c r="W12" i="34" s="1"/>
  <c r="B130" i="33"/>
  <c r="B128" i="33"/>
  <c r="B126" i="33"/>
  <c r="B98" i="33"/>
  <c r="B96" i="33"/>
  <c r="B94" i="33"/>
  <c r="B74" i="33"/>
  <c r="B72" i="33"/>
  <c r="B70" i="33"/>
  <c r="D96" i="35"/>
  <c r="E96" i="35" s="1"/>
  <c r="F96" i="35"/>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s="1"/>
  <c r="J39" i="33"/>
  <c r="AC39" i="33" s="1"/>
  <c r="Q38" i="33"/>
  <c r="Z38" i="33"/>
  <c r="J38" i="33"/>
  <c r="AC38" i="33" s="1"/>
  <c r="H38" i="33"/>
  <c r="AB38" i="33"/>
  <c r="F38" i="33"/>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E113" i="33"/>
  <c r="F32" i="33"/>
  <c r="AA32" i="33"/>
  <c r="J19" i="33"/>
  <c r="AC19" i="33" s="1"/>
  <c r="J15" i="33"/>
  <c r="AC15" i="33"/>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s="1"/>
  <c r="J31" i="21"/>
  <c r="AC31" i="21" s="1"/>
  <c r="F31" i="21"/>
  <c r="S31" i="21"/>
  <c r="F45" i="21"/>
  <c r="AA45" i="21" s="1"/>
  <c r="F27" i="33"/>
  <c r="AA27" i="33" s="1"/>
  <c r="J13" i="33"/>
  <c r="W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U36" i="37" s="1"/>
  <c r="F107" i="37"/>
  <c r="J37" i="37"/>
  <c r="AC37" i="37" s="1"/>
  <c r="H37" i="37"/>
  <c r="AB37" i="37" s="1"/>
  <c r="H40" i="37"/>
  <c r="U40" i="37" s="1"/>
  <c r="J40" i="37"/>
  <c r="AC40" i="37"/>
  <c r="F40" i="37"/>
  <c r="AA40" i="37" s="1"/>
  <c r="H14" i="33"/>
  <c r="U14" i="33" s="1"/>
  <c r="F14" i="33"/>
  <c r="S14" i="33" s="1"/>
  <c r="J14" i="33"/>
  <c r="H30" i="33"/>
  <c r="AB30" i="33" s="1"/>
  <c r="H44" i="33"/>
  <c r="J44" i="33"/>
  <c r="F44" i="33"/>
  <c r="S44" i="33" s="1"/>
  <c r="J46" i="33"/>
  <c r="AC46" i="33"/>
  <c r="H13" i="34"/>
  <c r="U13" i="34" s="1"/>
  <c r="J13" i="34"/>
  <c r="W13" i="34" s="1"/>
  <c r="F13" i="34"/>
  <c r="AA13" i="34" s="1"/>
  <c r="J29" i="34"/>
  <c r="W29" i="34" s="1"/>
  <c r="H29" i="34"/>
  <c r="AB29" i="34" s="1"/>
  <c r="J31" i="34"/>
  <c r="AC31" i="34" s="1"/>
  <c r="H31" i="34"/>
  <c r="F31" i="34"/>
  <c r="AA31" i="34" s="1"/>
  <c r="F45" i="34"/>
  <c r="S45" i="34" s="1"/>
  <c r="H47" i="34"/>
  <c r="U47" i="34" s="1"/>
  <c r="F47" i="34"/>
  <c r="S47" i="34" s="1"/>
  <c r="J47" i="34"/>
  <c r="AC47" i="34" s="1"/>
  <c r="J13" i="35"/>
  <c r="AC13" i="35"/>
  <c r="J25" i="35"/>
  <c r="W25" i="35"/>
  <c r="F25" i="35"/>
  <c r="S25" i="35" s="1"/>
  <c r="H25" i="35"/>
  <c r="AB25" i="35" s="1"/>
  <c r="J35" i="35"/>
  <c r="AC35" i="35" s="1"/>
  <c r="F35" i="35"/>
  <c r="AA35" i="35" s="1"/>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c r="H33" i="40"/>
  <c r="U33" i="40" s="1"/>
  <c r="J35" i="40"/>
  <c r="AC35" i="40" s="1"/>
  <c r="J37" i="40"/>
  <c r="W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AA14" i="33"/>
  <c r="J36" i="37"/>
  <c r="AC36" i="37" s="1"/>
  <c r="J10" i="36"/>
  <c r="AC10" i="36" s="1"/>
  <c r="AB26" i="33"/>
  <c r="W31" i="34"/>
  <c r="S11" i="36"/>
  <c r="S45" i="33"/>
  <c r="AB45" i="33"/>
  <c r="AC28" i="21"/>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54" i="3"/>
  <c r="G550" i="3"/>
  <c r="BL584" i="3"/>
  <c r="AZ584" i="3" s="1"/>
  <c r="BL576" i="3"/>
  <c r="BL572" i="3"/>
  <c r="BL568" i="3"/>
  <c r="BL560" i="3"/>
  <c r="BL554" i="3"/>
  <c r="BL546" i="3"/>
  <c r="BL538" i="3"/>
  <c r="BL534" i="3"/>
  <c r="BL530" i="3"/>
  <c r="BL522" i="3"/>
  <c r="BL516" i="3"/>
  <c r="BL512" i="3"/>
  <c r="BL502" i="3"/>
  <c r="AZ502" i="3" s="1"/>
  <c r="BL498" i="3"/>
  <c r="BL494" i="3"/>
  <c r="BL582" i="3"/>
  <c r="BL578" i="3"/>
  <c r="BL574" i="3"/>
  <c r="BL570" i="3"/>
  <c r="BL562" i="3"/>
  <c r="BL556" i="3"/>
  <c r="BL552" i="3"/>
  <c r="BL540" i="3"/>
  <c r="BL536" i="3"/>
  <c r="AZ536" i="3" s="1"/>
  <c r="G533" i="3"/>
  <c r="G529" i="3"/>
  <c r="BL528" i="3"/>
  <c r="G525" i="3"/>
  <c r="BL518" i="3"/>
  <c r="BL514" i="3"/>
  <c r="BL510" i="3"/>
  <c r="BL500" i="3"/>
  <c r="BL496" i="3"/>
  <c r="G493" i="3"/>
  <c r="BA584" i="3"/>
  <c r="BA582" i="3"/>
  <c r="AZ582" i="3" s="1"/>
  <c r="BA580" i="3"/>
  <c r="BA578" i="3"/>
  <c r="BA574" i="3"/>
  <c r="AZ574" i="3" s="1"/>
  <c r="BA572" i="3"/>
  <c r="AZ572" i="3" s="1"/>
  <c r="BA570" i="3"/>
  <c r="AZ570" i="3" s="1"/>
  <c r="BA566" i="3"/>
  <c r="BA564" i="3"/>
  <c r="BA562" i="3"/>
  <c r="BA558" i="3"/>
  <c r="BA556" i="3"/>
  <c r="BA554" i="3"/>
  <c r="AZ554" i="3" s="1"/>
  <c r="BA552" i="3"/>
  <c r="AZ552" i="3" s="1"/>
  <c r="BA548" i="3"/>
  <c r="BA546" i="3"/>
  <c r="AZ546" i="3" s="1"/>
  <c r="BA544" i="3"/>
  <c r="BA542" i="3"/>
  <c r="BA540" i="3"/>
  <c r="BA536" i="3"/>
  <c r="BA532" i="3"/>
  <c r="BA528" i="3"/>
  <c r="AZ528" i="3" s="1"/>
  <c r="BA526" i="3"/>
  <c r="BA524" i="3"/>
  <c r="BA520" i="3"/>
  <c r="BA518" i="3"/>
  <c r="BA516" i="3"/>
  <c r="AZ516" i="3" s="1"/>
  <c r="BA512" i="3"/>
  <c r="AZ512" i="3" s="1"/>
  <c r="BA510" i="3"/>
  <c r="AZ510" i="3" s="1"/>
  <c r="BA508" i="3"/>
  <c r="BA506" i="3"/>
  <c r="BA504" i="3"/>
  <c r="BA502" i="3"/>
  <c r="BA500" i="3"/>
  <c r="AZ500" i="3" s="1"/>
  <c r="BA498" i="3"/>
  <c r="AZ498" i="3" s="1"/>
  <c r="BA496" i="3"/>
  <c r="BA494" i="3"/>
  <c r="BA587" i="3"/>
  <c r="BA583" i="3"/>
  <c r="BA581" i="3"/>
  <c r="BA579" i="3"/>
  <c r="BA575" i="3"/>
  <c r="BA573" i="3"/>
  <c r="BA571" i="3"/>
  <c r="BA567" i="3"/>
  <c r="BA565" i="3"/>
  <c r="AZ565" i="3" s="1"/>
  <c r="BA563" i="3"/>
  <c r="BA559" i="3"/>
  <c r="BA555" i="3"/>
  <c r="BA553" i="3"/>
  <c r="AZ553" i="3" s="1"/>
  <c r="BA547" i="3"/>
  <c r="BA545" i="3"/>
  <c r="BA543" i="3"/>
  <c r="BA539" i="3"/>
  <c r="BA537" i="3"/>
  <c r="BA535" i="3"/>
  <c r="BA531" i="3"/>
  <c r="BA529" i="3"/>
  <c r="AZ529" i="3" s="1"/>
  <c r="BA527" i="3"/>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L583" i="3" s="1"/>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3" i="3"/>
  <c r="G541" i="3"/>
  <c r="G539" i="3"/>
  <c r="G537" i="3"/>
  <c r="BQ555" i="3"/>
  <c r="BL555" i="3"/>
  <c r="BQ553" i="3"/>
  <c r="BL553" i="3" s="1"/>
  <c r="BQ551" i="3"/>
  <c r="BL551" i="3"/>
  <c r="BQ549" i="3"/>
  <c r="BL549" i="3" s="1"/>
  <c r="BQ547" i="3"/>
  <c r="BL547" i="3" s="1"/>
  <c r="AZ547" i="3" s="1"/>
  <c r="BQ545" i="3"/>
  <c r="BL545" i="3"/>
  <c r="BQ543" i="3"/>
  <c r="BL543" i="3" s="1"/>
  <c r="AZ543" i="3" s="1"/>
  <c r="BQ541" i="3"/>
  <c r="BL541" i="3"/>
  <c r="BQ539" i="3"/>
  <c r="BL539" i="3" s="1"/>
  <c r="AZ539" i="3" s="1"/>
  <c r="BQ537" i="3"/>
  <c r="BQ535" i="3"/>
  <c r="BL535" i="3" s="1"/>
  <c r="AZ535" i="3" s="1"/>
  <c r="BQ533" i="3"/>
  <c r="BL533" i="3"/>
  <c r="BQ531" i="3"/>
  <c r="BQ529" i="3"/>
  <c r="BL529" i="3"/>
  <c r="BQ527" i="3"/>
  <c r="BL527" i="3" s="1"/>
  <c r="BQ525" i="3"/>
  <c r="BL525" i="3" s="1"/>
  <c r="BQ523" i="3"/>
  <c r="BL523" i="3" s="1"/>
  <c r="AZ523" i="3" s="1"/>
  <c r="AC521" i="3"/>
  <c r="AC5" i="3" s="1"/>
  <c r="BQ521" i="3"/>
  <c r="BL520" i="3"/>
  <c r="AZ520" i="3"/>
  <c r="G519"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AA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AZ164" i="3" s="1"/>
  <c r="G165" i="3"/>
  <c r="BA167" i="3"/>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s="1"/>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AZ358" i="3"/>
  <c r="G359" i="3"/>
  <c r="BA361" i="3"/>
  <c r="BL362" i="3"/>
  <c r="AZ362" i="3" s="1"/>
  <c r="G363" i="3"/>
  <c r="BA365" i="3"/>
  <c r="AZ365" i="3"/>
  <c r="BL366" i="3"/>
  <c r="G367" i="3"/>
  <c r="BA369" i="3"/>
  <c r="AZ369" i="3"/>
  <c r="BL370" i="3"/>
  <c r="G371" i="3"/>
  <c r="BA373" i="3"/>
  <c r="AZ373" i="3"/>
  <c r="BL374" i="3"/>
  <c r="G375" i="3"/>
  <c r="BA377" i="3"/>
  <c r="AZ241" i="3"/>
  <c r="BA379" i="3"/>
  <c r="AZ379" i="3" s="1"/>
  <c r="BL380" i="3"/>
  <c r="G381" i="3"/>
  <c r="BA383" i="3"/>
  <c r="AZ383" i="3" s="1"/>
  <c r="BL384" i="3"/>
  <c r="G385" i="3"/>
  <c r="BA387" i="3"/>
  <c r="AZ387" i="3" s="1"/>
  <c r="BL388" i="3"/>
  <c r="AZ388" i="3" s="1"/>
  <c r="G389" i="3"/>
  <c r="BA391" i="3"/>
  <c r="BL392" i="3"/>
  <c r="AZ392" i="3" s="1"/>
  <c r="G393" i="3"/>
  <c r="AZ291" i="3"/>
  <c r="BO5" i="3"/>
  <c r="BM5" i="3"/>
  <c r="F29" i="6" s="1"/>
  <c r="BJ5" i="3"/>
  <c r="BH5" i="3"/>
  <c r="BF5" i="3"/>
  <c r="BD5" i="3"/>
  <c r="AZ325" i="3"/>
  <c r="AZ496" i="3"/>
  <c r="G548" i="3"/>
  <c r="G538" i="3"/>
  <c r="G520" i="3"/>
  <c r="G502" i="3"/>
  <c r="BS5" i="3"/>
  <c r="BP5" i="3"/>
  <c r="BN5" i="3"/>
  <c r="BK5" i="3"/>
  <c r="BI5" i="3"/>
  <c r="BG5" i="3"/>
  <c r="BE5" i="3"/>
  <c r="BC5" i="3"/>
  <c r="G17" i="3"/>
  <c r="BA17" i="3"/>
  <c r="BT5" i="3"/>
  <c r="AZ350" i="3"/>
  <c r="AZ356" i="3"/>
  <c r="BA15" i="3"/>
  <c r="BB5" i="3"/>
  <c r="BR5" i="3"/>
  <c r="G509" i="3"/>
  <c r="BL493" i="3"/>
  <c r="U36" i="40"/>
  <c r="F83" i="43"/>
  <c r="H85" i="43" s="1"/>
  <c r="F50" i="43"/>
  <c r="H54" i="43" s="1"/>
  <c r="F72" i="43"/>
  <c r="H75" i="43" s="1"/>
  <c r="U17" i="39"/>
  <c r="S14" i="35"/>
  <c r="U43" i="21"/>
  <c r="U35" i="21"/>
  <c r="AC35" i="21"/>
  <c r="AC11" i="39"/>
  <c r="AZ563" i="3"/>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65" i="3"/>
  <c r="AA32" i="36"/>
  <c r="BL14" i="3"/>
  <c r="U30" i="33"/>
  <c r="AC13" i="34"/>
  <c r="AA47" i="34"/>
  <c r="W28" i="37"/>
  <c r="S19" i="39"/>
  <c r="F12" i="33"/>
  <c r="H12" i="39"/>
  <c r="AB12" i="39"/>
  <c r="F39" i="40"/>
  <c r="BA14" i="3"/>
  <c r="AZ14" i="3" s="1"/>
  <c r="AZ254" i="3"/>
  <c r="AZ297" i="3"/>
  <c r="AZ157" i="3"/>
  <c r="B12" i="1"/>
  <c r="E12" i="1" s="1"/>
  <c r="B10" i="1"/>
  <c r="E10" i="1" s="1"/>
  <c r="K12" i="1"/>
  <c r="M12" i="1" s="1"/>
  <c r="S13" i="1"/>
  <c r="AR13" i="1" s="1"/>
  <c r="R13" i="1"/>
  <c r="J51" i="67"/>
  <c r="C42" i="1"/>
  <c r="C24" i="12" s="1"/>
  <c r="AA34" i="33"/>
  <c r="B41" i="1"/>
  <c r="F48" i="9" s="1"/>
  <c r="O52" i="9" s="1"/>
  <c r="AB37" i="40"/>
  <c r="S35" i="40"/>
  <c r="U35" i="40"/>
  <c r="AC36" i="40"/>
  <c r="W38" i="40"/>
  <c r="S17" i="40"/>
  <c r="AC17" i="40"/>
  <c r="AC15"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AB14" i="36"/>
  <c r="U22" i="36"/>
  <c r="S24" i="36"/>
  <c r="U23" i="36"/>
  <c r="AB20" i="36"/>
  <c r="AA25" i="35"/>
  <c r="W24" i="35"/>
  <c r="U29" i="35"/>
  <c r="U28" i="35"/>
  <c r="AB27" i="35"/>
  <c r="U36" i="35"/>
  <c r="U32" i="35"/>
  <c r="AA33"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AC15" i="37"/>
  <c r="J17" i="37"/>
  <c r="W17" i="37" s="1"/>
  <c r="G73" i="37"/>
  <c r="F17" i="37"/>
  <c r="AA17" i="37" s="1"/>
  <c r="AB17" i="37"/>
  <c r="F75" i="37"/>
  <c r="G75" i="37" s="1"/>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AB27" i="33" s="1"/>
  <c r="F87" i="33"/>
  <c r="G87" i="33" s="1"/>
  <c r="H25" i="33"/>
  <c r="F25" i="33"/>
  <c r="J23" i="33"/>
  <c r="AC23" i="33" s="1"/>
  <c r="F85" i="33"/>
  <c r="G85" i="33" s="1"/>
  <c r="H23" i="33"/>
  <c r="F81" i="33"/>
  <c r="F19" i="33"/>
  <c r="W19" i="33"/>
  <c r="J17" i="33"/>
  <c r="F79" i="33"/>
  <c r="G79" i="33" s="1"/>
  <c r="S15" i="33"/>
  <c r="W15" i="33"/>
  <c r="U9" i="33"/>
  <c r="J10" i="33"/>
  <c r="W10" i="33" s="1"/>
  <c r="H10" i="33"/>
  <c r="U10" i="33" s="1"/>
  <c r="AC11" i="33"/>
  <c r="AB14" i="33"/>
  <c r="W43" i="21"/>
  <c r="W36" i="21"/>
  <c r="W41" i="21"/>
  <c r="AA43" i="21"/>
  <c r="S39" i="21"/>
  <c r="AA38" i="21"/>
  <c r="AA36" i="21"/>
  <c r="AC40" i="21"/>
  <c r="J15" i="21"/>
  <c r="F77" i="21"/>
  <c r="G77" i="21"/>
  <c r="F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31" i="39"/>
  <c r="S23" i="39"/>
  <c r="AA45" i="39"/>
  <c r="AB39" i="39"/>
  <c r="W34" i="39"/>
  <c r="U38" i="39"/>
  <c r="S8" i="39"/>
  <c r="AC25" i="36"/>
  <c r="W29" i="36"/>
  <c r="AC20" i="36"/>
  <c r="AB28" i="36"/>
  <c r="AA13" i="36"/>
  <c r="W22" i="36"/>
  <c r="W23" i="36"/>
  <c r="AC25" i="35"/>
  <c r="U25" i="35"/>
  <c r="U24" i="35"/>
  <c r="S35" i="35"/>
  <c r="W35" i="35"/>
  <c r="AA16" i="35"/>
  <c r="AA35" i="37"/>
  <c r="W36" i="37"/>
  <c r="S27" i="37"/>
  <c r="S28" i="37"/>
  <c r="W32" i="37"/>
  <c r="S40" i="37"/>
  <c r="AC34" i="37"/>
  <c r="AB35" i="37"/>
  <c r="AA31" i="37"/>
  <c r="U19" i="37"/>
  <c r="AA29" i="37"/>
  <c r="U8" i="37"/>
  <c r="AA40" i="34"/>
  <c r="AB40" i="34"/>
  <c r="U19" i="34"/>
  <c r="W19" i="34"/>
  <c r="AB33" i="34"/>
  <c r="AA30" i="34"/>
  <c r="AB47" i="34"/>
  <c r="U25" i="34"/>
  <c r="AB36" i="34"/>
  <c r="W33" i="34"/>
  <c r="AC14" i="34"/>
  <c r="AC32" i="34"/>
  <c r="AC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AC14" i="33"/>
  <c r="W14" i="33"/>
  <c r="S31" i="33"/>
  <c r="AA31" i="33"/>
  <c r="AC13" i="33"/>
  <c r="S11" i="33"/>
  <c r="U37" i="33"/>
  <c r="AC28" i="33"/>
  <c r="S28" i="33"/>
  <c r="W9" i="33"/>
  <c r="W8" i="33"/>
  <c r="S44" i="21"/>
  <c r="AB42"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U25" i="33"/>
  <c r="AB25" i="33"/>
  <c r="S25" i="33"/>
  <c r="AA25" i="33"/>
  <c r="H87" i="33"/>
  <c r="I87" i="33" s="1"/>
  <c r="J87" i="33" s="1"/>
  <c r="K87" i="33" s="1"/>
  <c r="L87" i="33" s="1"/>
  <c r="M87" i="33" s="1"/>
  <c r="J25" i="33"/>
  <c r="AC25" i="33" s="1"/>
  <c r="AB23" i="33"/>
  <c r="U23" i="33"/>
  <c r="F23" i="33"/>
  <c r="H19" i="33"/>
  <c r="G81" i="33"/>
  <c r="H17" i="33"/>
  <c r="U17" i="33" s="1"/>
  <c r="F17" i="33"/>
  <c r="S17" i="33" s="1"/>
  <c r="W17" i="33"/>
  <c r="AC17" i="33"/>
  <c r="AB15" i="21"/>
  <c r="J23" i="21"/>
  <c r="W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B19" i="33"/>
  <c r="U19" i="33"/>
  <c r="AA17" i="33"/>
  <c r="U23" i="21"/>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F7" i="15"/>
  <c r="M6" i="15"/>
  <c r="F38" i="15"/>
  <c r="B9" i="76"/>
  <c r="E13" i="76"/>
  <c r="B11" i="76"/>
  <c r="E12" i="76"/>
  <c r="B13" i="76"/>
  <c r="F13" i="15"/>
  <c r="D20" i="9"/>
  <c r="J15" i="15"/>
  <c r="M26" i="15"/>
  <c r="B12" i="76"/>
  <c r="D19" i="9"/>
  <c r="L48" i="15"/>
  <c r="C76" i="15"/>
  <c r="B7" i="76"/>
  <c r="E7" i="76"/>
  <c r="F42" i="15"/>
  <c r="E10" i="76"/>
  <c r="M22" i="15"/>
  <c r="F6" i="15"/>
  <c r="E11" i="76"/>
  <c r="B8" i="76"/>
  <c r="M9" i="15"/>
  <c r="M28" i="15"/>
  <c r="F40" i="15"/>
  <c r="E2" i="69"/>
  <c r="F16" i="15"/>
  <c r="M23" i="15"/>
  <c r="F7" i="73"/>
  <c r="C19" i="9"/>
  <c r="M9" i="67"/>
  <c r="B10" i="76"/>
  <c r="E8" i="76"/>
  <c r="L47" i="67"/>
  <c r="F5" i="73"/>
  <c r="M29" i="15"/>
  <c r="D35" i="9"/>
  <c r="F6" i="73"/>
  <c r="M28" i="67"/>
  <c r="F36" i="67"/>
  <c r="C76" i="67"/>
  <c r="F8" i="15"/>
  <c r="M24" i="15"/>
  <c r="AO13" i="1"/>
  <c r="M8" i="67"/>
  <c r="F9" i="67"/>
  <c r="M26" i="67"/>
  <c r="J15" i="67"/>
  <c r="F20" i="31"/>
  <c r="M8" i="15"/>
  <c r="F3" i="73"/>
  <c r="F37" i="15"/>
  <c r="F37" i="67"/>
  <c r="F26" i="15"/>
  <c r="L48" i="67"/>
  <c r="F9" i="15"/>
  <c r="F8" i="67"/>
  <c r="E2" i="68"/>
  <c r="C20" i="9"/>
  <c r="E9" i="76"/>
  <c r="F43" i="15"/>
  <c r="M23" i="67"/>
  <c r="L47" i="15"/>
  <c r="F4" i="73"/>
  <c r="F7" i="67"/>
  <c r="F42" i="67"/>
  <c r="M29" i="67"/>
  <c r="D34" i="9"/>
  <c r="D6" i="73"/>
  <c r="F66" i="36" l="1"/>
  <c r="G66" i="36" s="1"/>
  <c r="F18" i="36"/>
  <c r="AA18" i="36" s="1"/>
  <c r="W18" i="36"/>
  <c r="S33" i="36"/>
  <c r="U16" i="36"/>
  <c r="S16" i="36"/>
  <c r="AC14" i="36"/>
  <c r="S14" i="36"/>
  <c r="W30" i="36"/>
  <c r="AB30" i="36"/>
  <c r="U32" i="36"/>
  <c r="G22" i="69"/>
  <c r="G22" i="11"/>
  <c r="E1" i="73"/>
  <c r="G26" i="12"/>
  <c r="M18" i="67"/>
  <c r="F28" i="15"/>
  <c r="F28" i="67"/>
  <c r="M18" i="15"/>
  <c r="F30" i="11"/>
  <c r="C48" i="11" s="1"/>
  <c r="F32" i="67"/>
  <c r="F60" i="67" s="1"/>
  <c r="C21" i="68"/>
  <c r="AC32" i="39"/>
  <c r="W32" i="39"/>
  <c r="AA37" i="21"/>
  <c r="S37" i="21"/>
  <c r="AC15" i="21"/>
  <c r="W15" i="21"/>
  <c r="S23" i="37"/>
  <c r="AA23" i="37"/>
  <c r="AA23" i="21"/>
  <c r="S23" i="21"/>
  <c r="S12" i="40"/>
  <c r="AA12" i="40"/>
  <c r="U36" i="33"/>
  <c r="AB36" i="33"/>
  <c r="AC23" i="21"/>
  <c r="S19" i="33"/>
  <c r="AA19" i="33"/>
  <c r="AA39" i="40"/>
  <c r="S39" i="40"/>
  <c r="U15" i="33"/>
  <c r="U38" i="37"/>
  <c r="S24" i="35"/>
  <c r="W27" i="40"/>
  <c r="U32" i="37"/>
  <c r="AB31" i="37"/>
  <c r="S23" i="35"/>
  <c r="U21" i="40"/>
  <c r="S23" i="40"/>
  <c r="AZ347" i="3"/>
  <c r="AA11" i="39"/>
  <c r="AA43" i="33"/>
  <c r="S32" i="40"/>
  <c r="G521" i="3"/>
  <c r="AZ527" i="3"/>
  <c r="AC37" i="40"/>
  <c r="S31" i="34"/>
  <c r="U37" i="37"/>
  <c r="AB36" i="37"/>
  <c r="W11" i="35"/>
  <c r="AC11" i="35"/>
  <c r="U46" i="34"/>
  <c r="AA41" i="33"/>
  <c r="AB30" i="37"/>
  <c r="U30" i="37"/>
  <c r="H44" i="39"/>
  <c r="F44" i="39"/>
  <c r="J33" i="40"/>
  <c r="F33" i="40"/>
  <c r="W44" i="33"/>
  <c r="AC44" i="33"/>
  <c r="AZ575" i="3"/>
  <c r="AZ508" i="3"/>
  <c r="J12" i="40"/>
  <c r="H12" i="40"/>
  <c r="U32" i="21"/>
  <c r="S32" i="21"/>
  <c r="AB45" i="21"/>
  <c r="S21" i="39"/>
  <c r="F54" i="9"/>
  <c r="F32" i="15"/>
  <c r="F60" i="15" s="1"/>
  <c r="F52" i="9"/>
  <c r="F30" i="68"/>
  <c r="F48" i="68" s="1"/>
  <c r="AC37" i="33"/>
  <c r="W40" i="34"/>
  <c r="S20" i="36"/>
  <c r="AC13" i="37"/>
  <c r="AC34" i="33"/>
  <c r="AZ391" i="3"/>
  <c r="AZ364" i="3"/>
  <c r="AZ329" i="3"/>
  <c r="AZ304" i="3"/>
  <c r="AZ306" i="3"/>
  <c r="AZ541" i="3"/>
  <c r="AZ518" i="3"/>
  <c r="AZ556" i="3"/>
  <c r="AZ540" i="3"/>
  <c r="H25" i="36"/>
  <c r="F25" i="36"/>
  <c r="J39" i="40"/>
  <c r="H39" i="40"/>
  <c r="BA569" i="3"/>
  <c r="BA568" i="3"/>
  <c r="AZ568" i="3" s="1"/>
  <c r="BL566" i="3"/>
  <c r="BL564" i="3"/>
  <c r="AZ564" i="3" s="1"/>
  <c r="BA561" i="3"/>
  <c r="AZ561" i="3" s="1"/>
  <c r="BA560" i="3"/>
  <c r="AZ560" i="3" s="1"/>
  <c r="BL558" i="3"/>
  <c r="AZ558" i="3" s="1"/>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BL495" i="3"/>
  <c r="AA38" i="33"/>
  <c r="S38" i="33"/>
  <c r="D68" i="9"/>
  <c r="F30" i="69"/>
  <c r="F48" i="69" s="1"/>
  <c r="F31" i="12"/>
  <c r="U28" i="21"/>
  <c r="AB20" i="35"/>
  <c r="U41" i="39"/>
  <c r="AB39" i="21"/>
  <c r="S37" i="37"/>
  <c r="AC30" i="35"/>
  <c r="AA19" i="40"/>
  <c r="AZ357" i="3"/>
  <c r="AZ322" i="3"/>
  <c r="AZ313" i="3"/>
  <c r="AZ394" i="3"/>
  <c r="W44" i="21"/>
  <c r="AZ569" i="3"/>
  <c r="AZ571" i="3"/>
  <c r="AZ566" i="3"/>
  <c r="AA44" i="34"/>
  <c r="AB17" i="34"/>
  <c r="U23" i="34"/>
  <c r="AC44" i="39"/>
  <c r="W44" i="39"/>
  <c r="U34" i="21"/>
  <c r="AB34" i="21"/>
  <c r="H12" i="33"/>
  <c r="U12" i="33" s="1"/>
  <c r="J12" i="33"/>
  <c r="J30" i="33"/>
  <c r="F30" i="33"/>
  <c r="H46" i="33"/>
  <c r="F46" i="33"/>
  <c r="J45" i="34"/>
  <c r="H45" i="34"/>
  <c r="F13" i="35"/>
  <c r="H13" i="35"/>
  <c r="H9" i="36"/>
  <c r="AB9" i="36" s="1"/>
  <c r="J9" i="36"/>
  <c r="BL580" i="3"/>
  <c r="AZ580" i="3" s="1"/>
  <c r="BL579" i="3"/>
  <c r="AZ579" i="3" s="1"/>
  <c r="BA577" i="3"/>
  <c r="AZ577" i="3" s="1"/>
  <c r="BA576" i="3"/>
  <c r="AZ576" i="3" s="1"/>
  <c r="W28" i="35"/>
  <c r="J36" i="35"/>
  <c r="AC36" i="35" s="1"/>
  <c r="J24" i="36"/>
  <c r="H24" i="36"/>
  <c r="W31" i="35"/>
  <c r="AC31" i="35"/>
  <c r="BL550" i="3"/>
  <c r="AZ419" i="3"/>
  <c r="AZ466" i="3"/>
  <c r="AZ476" i="3"/>
  <c r="B97" i="43"/>
  <c r="B75" i="43"/>
  <c r="AC28" i="36"/>
  <c r="W28" i="36"/>
  <c r="H45" i="39"/>
  <c r="J45" i="39"/>
  <c r="W45" i="39" s="1"/>
  <c r="G582" i="3"/>
  <c r="G574" i="3"/>
  <c r="BA551" i="3"/>
  <c r="AZ551" i="3" s="1"/>
  <c r="BA550" i="3"/>
  <c r="AZ550" i="3" s="1"/>
  <c r="BL548" i="3"/>
  <c r="AZ548" i="3" s="1"/>
  <c r="BL519" i="3"/>
  <c r="AZ519" i="3" s="1"/>
  <c r="BL531" i="3"/>
  <c r="AZ531" i="3" s="1"/>
  <c r="BL559" i="3"/>
  <c r="AZ559" i="3" s="1"/>
  <c r="BL573" i="3"/>
  <c r="AZ573" i="3" s="1"/>
  <c r="AZ583" i="3"/>
  <c r="AA14" i="34"/>
  <c r="BL587" i="3"/>
  <c r="AZ587" i="3" s="1"/>
  <c r="BL586" i="3"/>
  <c r="AZ586" i="3" s="1"/>
  <c r="H23" i="35"/>
  <c r="AC22" i="35"/>
  <c r="W22" i="35"/>
  <c r="F38" i="40"/>
  <c r="AZ458" i="3"/>
  <c r="AZ462" i="3"/>
  <c r="C67" i="71"/>
  <c r="T68" i="71"/>
  <c r="O68" i="71"/>
  <c r="D68" i="71"/>
  <c r="T76" i="71"/>
  <c r="D76" i="71"/>
  <c r="C75" i="71"/>
  <c r="Y26" i="71"/>
  <c r="Z26" i="71" s="1"/>
  <c r="Y25" i="71"/>
  <c r="Z25" i="71" s="1"/>
  <c r="AA3" i="7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22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BL367" i="3"/>
  <c r="BL375" i="3"/>
  <c r="AZ375" i="3" s="1"/>
  <c r="BA384" i="3"/>
  <c r="AZ384" i="3" s="1"/>
  <c r="BA396" i="3"/>
  <c r="BA208" i="3"/>
  <c r="AZ208" i="3" s="1"/>
  <c r="G223" i="3"/>
  <c r="BA228" i="3"/>
  <c r="AZ228" i="3" s="1"/>
  <c r="BA230" i="3"/>
  <c r="AZ230" i="3" s="1"/>
  <c r="BA156" i="3"/>
  <c r="AZ156" i="3" s="1"/>
  <c r="W25" i="40"/>
  <c r="AC25" i="40"/>
  <c r="BL16" i="3"/>
  <c r="AZ16"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58" i="3"/>
  <c r="BA366" i="3"/>
  <c r="AZ366" i="3" s="1"/>
  <c r="BA368" i="3"/>
  <c r="AZ368" i="3" s="1"/>
  <c r="BL368" i="3"/>
  <c r="BA374" i="3"/>
  <c r="AZ374" i="3" s="1"/>
  <c r="BL386" i="3"/>
  <c r="G392" i="3"/>
  <c r="G209" i="3"/>
  <c r="BA210" i="3"/>
  <c r="BL210" i="3"/>
  <c r="BL213" i="3"/>
  <c r="BA217" i="3"/>
  <c r="AZ217" i="3" s="1"/>
  <c r="BL222" i="3"/>
  <c r="BL227" i="3"/>
  <c r="G232" i="3"/>
  <c r="BL232" i="3"/>
  <c r="BL234" i="3"/>
  <c r="BA236" i="3"/>
  <c r="BA238" i="3"/>
  <c r="BA243" i="3"/>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44" i="3"/>
  <c r="AZ144" i="3" s="1"/>
  <c r="G150" i="3"/>
  <c r="G154" i="3"/>
  <c r="G159" i="3"/>
  <c r="BL166" i="3"/>
  <c r="AZ166" i="3" s="1"/>
  <c r="BL167" i="3"/>
  <c r="AZ167" i="3" s="1"/>
  <c r="BL177" i="3"/>
  <c r="G179" i="3"/>
  <c r="BL183" i="3"/>
  <c r="AZ183" i="3" s="1"/>
  <c r="BA186" i="3"/>
  <c r="AZ186" i="3" s="1"/>
  <c r="BA190" i="3"/>
  <c r="BA207" i="3"/>
  <c r="BL20" i="3"/>
  <c r="BA21" i="3"/>
  <c r="AZ21" i="3" s="1"/>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BL86" i="3"/>
  <c r="AZ86" i="3" s="1"/>
  <c r="BA87" i="3"/>
  <c r="BA89" i="3"/>
  <c r="AB21" i="37"/>
  <c r="U21" i="37"/>
  <c r="D44" i="71"/>
  <c r="T44" i="71"/>
  <c r="AB34" i="71"/>
  <c r="AB32" i="71"/>
  <c r="AA38" i="71"/>
  <c r="AA28" i="71"/>
  <c r="C47" i="71"/>
  <c r="D47" i="71" s="1"/>
  <c r="D46" i="71"/>
  <c r="D50" i="71"/>
  <c r="C51" i="71"/>
  <c r="C64" i="71"/>
  <c r="D63" i="71"/>
  <c r="C23" i="71"/>
  <c r="B22" i="71"/>
  <c r="B21" i="71" s="1"/>
  <c r="B20" i="71" s="1"/>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L125" i="3"/>
  <c r="AZ125" i="3" s="1"/>
  <c r="BL126" i="3"/>
  <c r="AZ126" i="3" s="1"/>
  <c r="BL146" i="3"/>
  <c r="AZ146" i="3" s="1"/>
  <c r="BL155" i="3"/>
  <c r="AZ155" i="3" s="1"/>
  <c r="BL163" i="3"/>
  <c r="AZ163" i="3" s="1"/>
  <c r="AZ177" i="3"/>
  <c r="AZ52" i="3"/>
  <c r="AZ70" i="3"/>
  <c r="AC21" i="21"/>
  <c r="W21" i="21"/>
  <c r="F40" i="69"/>
  <c r="C40" i="69"/>
  <c r="T32" i="71"/>
  <c r="D32" i="71"/>
  <c r="X33" i="71"/>
  <c r="X31" i="71"/>
  <c r="X34" i="71"/>
  <c r="X36" i="71"/>
  <c r="X35" i="71"/>
  <c r="AB37" i="71"/>
  <c r="AB35" i="71"/>
  <c r="F38" i="71"/>
  <c r="F39" i="71" s="1"/>
  <c r="F40" i="71" s="1"/>
  <c r="V40" i="71" s="1"/>
  <c r="C55" i="71"/>
  <c r="D54" i="71"/>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G128" i="3"/>
  <c r="BA129" i="3"/>
  <c r="BL133" i="3"/>
  <c r="AZ133" i="3" s="1"/>
  <c r="BL139" i="3"/>
  <c r="AZ139" i="3" s="1"/>
  <c r="G140" i="3"/>
  <c r="BL141" i="3"/>
  <c r="BL143" i="3"/>
  <c r="AZ143" i="3" s="1"/>
  <c r="G146" i="3"/>
  <c r="BA153" i="3"/>
  <c r="G163" i="3"/>
  <c r="BL169" i="3"/>
  <c r="BA188" i="3"/>
  <c r="AZ188" i="3" s="1"/>
  <c r="BL195" i="3"/>
  <c r="AZ195" i="3" s="1"/>
  <c r="G196" i="3"/>
  <c r="BA197" i="3"/>
  <c r="BL201" i="3"/>
  <c r="AZ201" i="3" s="1"/>
  <c r="BL203" i="3"/>
  <c r="AZ203" i="3" s="1"/>
  <c r="BA204" i="3"/>
  <c r="AZ204" i="3" s="1"/>
  <c r="BL23" i="3"/>
  <c r="BA25" i="3"/>
  <c r="G32" i="3"/>
  <c r="G42" i="3"/>
  <c r="BA55" i="3"/>
  <c r="BL57" i="3"/>
  <c r="AZ57" i="3" s="1"/>
  <c r="G59" i="3"/>
  <c r="BA67" i="3"/>
  <c r="AZ67" i="3" s="1"/>
  <c r="BL70" i="3"/>
  <c r="BL71" i="3"/>
  <c r="AZ71" i="3" s="1"/>
  <c r="BA80" i="3"/>
  <c r="BL84" i="3"/>
  <c r="D43" i="71"/>
  <c r="C86" i="71"/>
  <c r="D86" i="71" s="1"/>
  <c r="D87" i="71"/>
  <c r="B66" i="71"/>
  <c r="AB25" i="71"/>
  <c r="AB28" i="71"/>
  <c r="AB26" i="71"/>
  <c r="AB27" i="71"/>
  <c r="B35" i="71"/>
  <c r="B36" i="71" s="1"/>
  <c r="S36" i="71" s="1"/>
  <c r="T28" i="71"/>
  <c r="D28" i="71"/>
  <c r="U28" i="71" s="1"/>
  <c r="C27" i="7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BA84" i="3"/>
  <c r="AZ84" i="3" s="1"/>
  <c r="BA92" i="3"/>
  <c r="BA95" i="3"/>
  <c r="BL97" i="3"/>
  <c r="AZ97" i="3" s="1"/>
  <c r="BL101" i="3"/>
  <c r="AZ101" i="3" s="1"/>
  <c r="BL102" i="3"/>
  <c r="U21" i="33"/>
  <c r="AB21" i="33"/>
  <c r="P65" i="71"/>
  <c r="P66" i="71"/>
  <c r="C36" i="71"/>
  <c r="D35" i="71"/>
  <c r="Y35" i="71"/>
  <c r="Z35" i="71" s="1"/>
  <c r="S80" i="71"/>
  <c r="B79" i="71"/>
  <c r="B78" i="71" s="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7" i="3"/>
  <c r="AZ77" i="3" s="1"/>
  <c r="BA79" i="3"/>
  <c r="AZ79" i="3" s="1"/>
  <c r="BA88" i="3"/>
  <c r="AZ88" i="3" s="1"/>
  <c r="BA91" i="3"/>
  <c r="AZ91" i="3" s="1"/>
  <c r="BL96" i="3"/>
  <c r="E39" i="71"/>
  <c r="E40" i="71" s="1"/>
  <c r="U40" i="71" s="1"/>
  <c r="Y37" i="71"/>
  <c r="Z37" i="71" s="1"/>
  <c r="F66" i="71"/>
  <c r="Q67" i="71"/>
  <c r="X25" i="71"/>
  <c r="V24" i="71"/>
  <c r="E23" i="71"/>
  <c r="E22" i="71" s="1"/>
  <c r="E21" i="71" s="1"/>
  <c r="E20" i="71" s="1"/>
  <c r="G9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U25" i="40"/>
  <c r="S21" i="34"/>
  <c r="B68" i="4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4" i="67"/>
  <c r="F68" i="15"/>
  <c r="C36" i="68"/>
  <c r="D9" i="68"/>
  <c r="D9" i="69"/>
  <c r="C36" i="69"/>
  <c r="F27" i="69"/>
  <c r="F13" i="67"/>
  <c r="F43" i="67"/>
  <c r="C16" i="15"/>
  <c r="D4" i="73"/>
  <c r="D3" i="73"/>
  <c r="F16" i="67"/>
  <c r="M22" i="67"/>
  <c r="D7" i="73"/>
  <c r="F40" i="67"/>
  <c r="M6" i="67"/>
  <c r="F38" i="67"/>
  <c r="D5" i="73"/>
  <c r="F26" i="67"/>
  <c r="F6" i="67"/>
  <c r="M24" i="67"/>
  <c r="S18" i="36" l="1"/>
  <c r="U9" i="36"/>
  <c r="J26" i="43"/>
  <c r="K16" i="1"/>
  <c r="N94" i="46"/>
  <c r="P6" i="1"/>
  <c r="C13" i="12" s="1"/>
  <c r="H16" i="1"/>
  <c r="E26" i="43"/>
  <c r="H26" i="43"/>
  <c r="G26" i="43"/>
  <c r="N370" i="46"/>
  <c r="C6" i="67"/>
  <c r="C32" i="67" s="1"/>
  <c r="F31" i="67"/>
  <c r="C27" i="67"/>
  <c r="F66" i="67"/>
  <c r="F68" i="67"/>
  <c r="F71" i="67"/>
  <c r="D83" i="71"/>
  <c r="C82" i="71"/>
  <c r="D82" i="71" s="1"/>
  <c r="AZ59" i="3"/>
  <c r="C26" i="71"/>
  <c r="D26" i="71" s="1"/>
  <c r="D27" i="71"/>
  <c r="N65" i="71"/>
  <c r="N66" i="71"/>
  <c r="AZ55" i="3"/>
  <c r="AZ197" i="3"/>
  <c r="AZ249" i="3"/>
  <c r="C56" i="71"/>
  <c r="D55" i="71"/>
  <c r="B19" i="71"/>
  <c r="B18" i="71" s="1"/>
  <c r="B17" i="71" s="1"/>
  <c r="B16" i="71" s="1"/>
  <c r="S16" i="71" s="1"/>
  <c r="S20" i="71"/>
  <c r="C52" i="71"/>
  <c r="D51" i="71"/>
  <c r="AZ190" i="3"/>
  <c r="AZ5" i="3" s="1"/>
  <c r="AZ271" i="3"/>
  <c r="AZ243" i="3"/>
  <c r="AZ210" i="3"/>
  <c r="AZ441" i="3"/>
  <c r="AZ405" i="3"/>
  <c r="AZ483" i="3"/>
  <c r="AZ421" i="3"/>
  <c r="D67" i="71"/>
  <c r="C66" i="71"/>
  <c r="O67" i="71"/>
  <c r="U23" i="35"/>
  <c r="AB23" i="35"/>
  <c r="U45" i="39"/>
  <c r="AB45" i="39"/>
  <c r="U13" i="35"/>
  <c r="AB13" i="35"/>
  <c r="AA46" i="33"/>
  <c r="S46" i="33"/>
  <c r="AC12" i="33"/>
  <c r="W12" i="33"/>
  <c r="S25" i="36"/>
  <c r="AA25" i="36"/>
  <c r="AB12" i="40"/>
  <c r="U12" i="40"/>
  <c r="AB44" i="39"/>
  <c r="U44" i="39"/>
  <c r="J6" i="67"/>
  <c r="J18" i="67" s="1"/>
  <c r="C40" i="71"/>
  <c r="D39" i="71"/>
  <c r="AZ27" i="3"/>
  <c r="D23" i="71"/>
  <c r="C22" i="71"/>
  <c r="AZ238" i="3"/>
  <c r="AZ457" i="3"/>
  <c r="AA38" i="40"/>
  <c r="S38" i="40"/>
  <c r="U46" i="33"/>
  <c r="AB46" i="33"/>
  <c r="AB25" i="36"/>
  <c r="U25" i="36"/>
  <c r="W12" i="40"/>
  <c r="AC12" i="40"/>
  <c r="AA33" i="40"/>
  <c r="S33" i="40"/>
  <c r="AZ111" i="3"/>
  <c r="C70" i="71"/>
  <c r="D70" i="71" s="1"/>
  <c r="D71" i="71"/>
  <c r="D75" i="71"/>
  <c r="C74" i="71"/>
  <c r="D74" i="71" s="1"/>
  <c r="AB24" i="36"/>
  <c r="U24" i="36"/>
  <c r="AC9" i="36"/>
  <c r="W9" i="36"/>
  <c r="U45" i="34"/>
  <c r="AB45" i="34"/>
  <c r="S30" i="33"/>
  <c r="AA30" i="33"/>
  <c r="U39" i="40"/>
  <c r="AB39" i="40"/>
  <c r="W33" i="40"/>
  <c r="AC33" i="40"/>
  <c r="G5" i="3"/>
  <c r="B3" i="3" s="1"/>
  <c r="E212" i="3" s="1"/>
  <c r="D79" i="71"/>
  <c r="C78" i="71"/>
  <c r="D78" i="71" s="1"/>
  <c r="AZ41" i="3"/>
  <c r="AZ31" i="3"/>
  <c r="AZ25" i="3"/>
  <c r="AZ263" i="3"/>
  <c r="AC24" i="36"/>
  <c r="W24" i="36"/>
  <c r="W45" i="34"/>
  <c r="AC45" i="34"/>
  <c r="AC30" i="33"/>
  <c r="W30" i="33"/>
  <c r="AC39" i="40"/>
  <c r="W39" i="40"/>
  <c r="AA44" i="39"/>
  <c r="S44" i="39"/>
  <c r="G16" i="1"/>
  <c r="F10" i="39" s="1"/>
  <c r="AA10" i="39" s="1"/>
  <c r="J7" i="37"/>
  <c r="K1" i="73"/>
  <c r="E510" i="3"/>
  <c r="E536" i="3"/>
  <c r="E199" i="3"/>
  <c r="E575" i="3"/>
  <c r="R6" i="3"/>
  <c r="E442" i="3"/>
  <c r="E541" i="3"/>
  <c r="E449" i="3"/>
  <c r="I3" i="6"/>
  <c r="E554" i="3"/>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G1" i="73"/>
  <c r="C16" i="67"/>
  <c r="S7" i="36" l="1"/>
  <c r="J10" i="39"/>
  <c r="W10" i="39" s="1"/>
  <c r="S10" i="39"/>
  <c r="H10" i="39"/>
  <c r="U10" i="39" s="1"/>
  <c r="J5" i="67"/>
  <c r="J24" i="67" s="1"/>
  <c r="H10" i="40"/>
  <c r="AB10" i="40" s="1"/>
  <c r="J10" i="40"/>
  <c r="AC10" i="40" s="1"/>
  <c r="F10" i="40"/>
  <c r="S10" i="40" s="1"/>
  <c r="AY6" i="3"/>
  <c r="E3" i="6"/>
  <c r="D22" i="71"/>
  <c r="C21" i="71"/>
  <c r="T40" i="71"/>
  <c r="D40" i="71"/>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R36" i="36"/>
  <c r="R37" i="36" s="1"/>
  <c r="T52" i="71"/>
  <c r="D52" i="71"/>
  <c r="D56" i="71"/>
  <c r="T56" i="71"/>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A10" i="40" l="1"/>
  <c r="AB10" i="39"/>
  <c r="D116" i="43"/>
  <c r="U10" i="40"/>
  <c r="F25" i="12"/>
  <c r="C26" i="12" s="1"/>
  <c r="D25" i="12"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2" i="84" s="1"/>
  <c r="E2" i="84" s="1"/>
  <c r="G58" i="21"/>
  <c r="C60" i="15"/>
  <c r="C34" i="9"/>
  <c r="C66" i="67"/>
  <c r="C60" i="67"/>
  <c r="D10" i="68"/>
  <c r="C34" i="69"/>
  <c r="D10" i="69"/>
  <c r="C17" i="67"/>
  <c r="C14" i="67"/>
  <c r="C17" i="15"/>
  <c r="D30" i="6" l="1"/>
  <c r="C23" i="68"/>
  <c r="C44" i="68"/>
  <c r="D41" i="68" s="1"/>
  <c r="C26" i="68"/>
  <c r="D22" i="68" s="1"/>
  <c r="C44" i="11"/>
  <c r="D41" i="11"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C2" i="82" s="1"/>
  <c r="L69" i="39"/>
  <c r="M67" i="39"/>
  <c r="S7" i="35"/>
  <c r="AA7" i="35"/>
  <c r="R38" i="35" s="1"/>
  <c r="C49" i="21"/>
  <c r="C48" i="21"/>
  <c r="E53" i="21"/>
  <c r="F53" i="21" s="1"/>
  <c r="G42" i="35"/>
  <c r="H42" i="35" s="1"/>
  <c r="G43" i="35"/>
  <c r="H43" i="35" s="1"/>
  <c r="K65" i="40"/>
  <c r="L63" i="40"/>
  <c r="I42" i="35"/>
  <c r="J42" i="35" s="1"/>
  <c r="B2" i="69" l="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7" i="82" l="1"/>
  <c r="F10" i="82" s="1"/>
  <c r="H9"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11" i="82"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6" i="1"/>
  <c r="AO9"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C104" i="9"/>
  <c r="H4" i="52"/>
  <c r="I4" i="52"/>
  <c r="C105" i="9"/>
  <c r="E81" i="9"/>
  <c r="D52" i="9"/>
  <c r="D53" i="9"/>
  <c r="N60" i="9"/>
  <c r="N61" i="9"/>
  <c r="M48" i="9"/>
  <c r="B48" i="72"/>
  <c r="M54" i="9"/>
  <c r="B53" i="72"/>
  <c r="E4" i="52"/>
  <c r="B52" i="72"/>
  <c r="C81" i="9"/>
  <c r="B30" i="72"/>
  <c r="C78" i="9"/>
  <c r="C73" i="9"/>
  <c r="F4" i="52"/>
  <c r="B51" i="72"/>
  <c r="E96" i="9"/>
  <c r="E97" i="9"/>
  <c r="C96" i="9"/>
  <c r="G4" i="52"/>
  <c r="B21" i="72"/>
  <c r="C5" i="74"/>
  <c r="H102" i="9"/>
  <c r="D7" i="53"/>
  <c r="N58" i="9"/>
  <c r="N59" i="9"/>
  <c r="N57" i="9"/>
  <c r="P57" i="9"/>
  <c r="B20" i="72"/>
  <c r="D9" i="52"/>
  <c r="D5" i="53"/>
  <c r="D6" i="53"/>
  <c r="B22" i="72"/>
  <c r="H119" i="9"/>
  <c r="H5" i="52"/>
  <c r="D54" i="9"/>
  <c r="D56" i="9"/>
  <c r="C93" i="9"/>
  <c r="C86" i="9"/>
  <c r="D119" i="9"/>
  <c r="D5" i="52"/>
  <c r="B49" i="72"/>
  <c r="G118" i="9"/>
  <c r="F118" i="9"/>
  <c r="F119" i="9"/>
  <c r="F5" i="52"/>
  <c r="M55" i="9"/>
  <c r="B31" i="72"/>
  <c r="D8" i="52"/>
  <c r="D122" i="9"/>
  <c r="D123" i="9"/>
  <c r="C72" i="9"/>
  <c r="C79" i="9"/>
  <c r="C80" i="9"/>
  <c r="E80" i="9"/>
  <c r="C68" i="9"/>
  <c r="C64" i="9"/>
  <c r="C63" i="9"/>
  <c r="C67" i="9"/>
  <c r="D59" i="9"/>
  <c r="C6" i="74"/>
  <c r="H108" i="9"/>
  <c r="D15" i="53"/>
  <c r="H107" i="9"/>
  <c r="D13" i="53"/>
  <c r="D14" i="53"/>
  <c r="B32" i="72"/>
  <c r="C85" i="9"/>
  <c r="C95" i="9"/>
  <c r="C97" i="9"/>
  <c r="D58" i="9"/>
  <c r="E118" i="9"/>
  <c r="D118" i="9"/>
  <c r="D4" i="52"/>
  <c r="B47" i="7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<sst xmlns="http://schemas.openxmlformats.org/spreadsheetml/2006/main" count="7972" uniqueCount="3507">
  <si>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</si>
  <si>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</si>
  <si>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</si>
  <si>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</si>
  <si>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</si>
  <si>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</si>
  <si>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</si>
  <si>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</si>
  <si>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</si>
  <si>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</si>
  <si>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</si>
  <si>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</si>
  <si>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</si>
  <si>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</si>
  <si>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</si>
  <si>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</si>
  <si>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</si>
  <si>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</si>
  <si>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</si>
  <si>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</si>
  <si>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</si>
  <si>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</si>
  <si>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</si>
  <si>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</si>
  <si>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</si>
  <si>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</si>
  <si>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</si>
  <si>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</si>
  <si>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</si>
  <si>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</si>
  <si>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</si>
  <si>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</si>
  <si>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</si>
  <si>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</si>
  <si>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</si>
  <si>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</si>
  <si>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</si>
  <si>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</si>
  <si>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</si>
  <si>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</si>
  <si>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</si>
  <si>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</si>
  <si>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</si>
  <si>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</si>
  <si>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</si>
  <si>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</si>
  <si>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</si>
  <si>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</si>
  <si>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</si>
  <si>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</si>
  <si>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</si>
  <si>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</si>
  <si>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</si>
  <si>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</si>
  <si>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</si>
  <si>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</si>
  <si>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</si>
  <si>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</si>
  <si>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</si>
  <si>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</si>
  <si>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</si>
  <si>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</si>
  <si>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</si>
  <si>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</si>
  <si>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</si>
  <si>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</si>
  <si>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</si>
  <si>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</si>
  <si>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</si>
  <si>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</si>
  <si>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</si>
  <si>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</si>
  <si>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</si>
  <si>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</si>
  <si>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</si>
  <si>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</si>
  <si>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</si>
  <si>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</si>
  <si>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</si>
  <si>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</si>
  <si>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</si>
  <si>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</si>
  <si>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</si>
  <si>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</si>
  <si>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</si>
  <si>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</si>
  <si>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</si>
  <si>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</si>
  <si>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</si>
  <si>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</si>
  <si>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</si>
  <si>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</si>
  <si>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</si>
  <si>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</si>
  <si>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</si>
  <si>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</si>
  <si>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</si>
  <si>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</si>
  <si>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</si>
  <si>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</si>
  <si>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</si>
  <si>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</si>
  <si>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</si>
  <si>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</si>
  <si>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</si>
  <si>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</si>
  <si>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</si>
  <si>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</si>
  <si>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</si>
  <si>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</si>
  <si>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</si>
  <si>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</si>
  <si>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</si>
  <si>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</si>
  <si>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</si>
  <si>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</si>
  <si>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</si>
  <si>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</si>
  <si>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</si>
  <si>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</si>
  <si>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</si>
  <si>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</si>
  <si>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</si>
  <si>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</si>
  <si>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</si>
  <si>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</si>
  <si>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</si>
  <si>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</si>
  <si>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</si>
  <si>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</si>
  <si>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</si>
  <si>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</si>
  <si>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</si>
  <si>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</si>
  <si>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</si>
  <si>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</si>
  <si>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</si>
  <si>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</si>
  <si>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</si>
  <si>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</si>
  <si>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</si>
  <si>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</si>
  <si>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</si>
  <si>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</si>
  <si>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</si>
  <si>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</si>
  <si>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</si>
  <si>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</si>
  <si>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</si>
  <si>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</si>
  <si>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</si>
  <si>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</si>
  <si>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</si>
  <si>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</si>
  <si>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</si>
  <si>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</si>
  <si>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</si>
  <si>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</si>
  <si>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</si>
  <si>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</si>
  <si>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</si>
  <si>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</si>
  <si>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</si>
  <si>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</si>
  <si>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</si>
  <si>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</si>
  <si>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</si>
  <si>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</si>
  <si>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</si>
  <si>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</si>
  <si>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</si>
  <si>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</si>
  <si>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</si>
  <si>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</si>
  <si>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</si>
  <si>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</si>
  <si>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</si>
  <si>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</si>
  <si>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</si>
  <si>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</si>
  <si>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</si>
  <si>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</si>
  <si>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</si>
  <si>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</si>
  <si>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</si>
  <si>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</si>
  <si>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</si>
  <si>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</si>
  <si>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</si>
  <si>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</si>
  <si>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</si>
  <si>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</si>
  <si>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</si>
  <si>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</si>
  <si>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</si>
  <si>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</si>
  <si>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</si>
  <si>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</si>
  <si>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</si>
  <si>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</si>
  <si>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</si>
  <si>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</si>
  <si>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</si>
  <si>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</si>
  <si>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</si>
  <si>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</si>
  <si>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</si>
  <si>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</si>
  <si>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</si>
  <si>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</si>
  <si>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</si>
  <si>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</si>
  <si>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</si>
  <si>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</si>
  <si>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</si>
  <si>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</si>
  <si>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</si>
  <si>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</si>
  <si>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</si>
  <si>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</si>
  <si>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</si>
  <si>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</si>
  <si>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</si>
  <si>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</si>
  <si>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</si>
  <si>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</si>
  <si>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</si>
  <si>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</si>
  <si>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</si>
  <si>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</si>
  <si>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</si>
  <si>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</si>
  <si>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</si>
  <si>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</si>
  <si>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</si>
  <si>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</si>
  <si>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</si>
  <si>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</si>
  <si>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</si>
  <si>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</si>
  <si>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</si>
  <si>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</si>
  <si>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</si>
  <si>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</si>
  <si>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</si>
  <si>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</si>
  <si>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</si>
  <si>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</si>
  <si>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</si>
  <si>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</si>
  <si>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</si>
  <si>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</si>
  <si>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</si>
  <si>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</si>
  <si>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</si>
  <si>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</si>
  <si>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</si>
  <si>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</si>
  <si>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</si>
  <si>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</si>
  <si>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</si>
  <si>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</si>
  <si>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</si>
  <si>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</si>
  <si>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</si>
  <si>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</si>
  <si>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</si>
  <si>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</si>
  <si>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</si>
  <si>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</si>
  <si>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</si>
  <si>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</si>
  <si>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</si>
  <si>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</si>
  <si>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</si>
  <si>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</si>
  <si>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</si>
  <si>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</si>
  <si>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</si>
  <si>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</si>
  <si>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</si>
  <si>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</si>
  <si>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</si>
  <si>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</si>
  <si>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</si>
  <si>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</si>
  <si>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</si>
  <si>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</si>
  <si>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</si>
  <si>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</si>
  <si>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</si>
  <si>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</si>
  <si>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</si>
  <si>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</si>
  <si>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</si>
  <si>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</si>
  <si>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</si>
  <si>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</si>
  <si>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</si>
  <si>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</si>
  <si>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</si>
  <si>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</si>
  <si>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</si>
  <si>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</si>
  <si>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</si>
  <si>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</si>
  <si>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</si>
  <si>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</si>
  <si>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</si>
  <si>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</si>
  <si>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</si>
  <si>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</si>
  <si>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</si>
  <si>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</si>
  <si>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</si>
  <si>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</si>
  <si>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</si>
  <si>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</si>
  <si>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</si>
  <si>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</si>
  <si>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</si>
  <si>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</si>
  <si>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</si>
  <si>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</si>
  <si>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</si>
  <si>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</si>
  <si>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</si>
  <si>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</si>
  <si>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</si>
  <si>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</si>
  <si>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</si>
  <si>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</si>
  <si>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</si>
  <si>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</si>
  <si>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</si>
  <si>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</si>
  <si>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</si>
  <si>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</si>
  <si>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</si>
  <si>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</si>
  <si>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</si>
  <si>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</si>
  <si>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</si>
  <si>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</si>
  <si>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</si>
  <si>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</si>
  <si>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</si>
  <si>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</si>
  <si>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</si>
  <si>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</si>
  <si>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</si>
  <si>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</si>
  <si>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</si>
  <si>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</si>
  <si>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</si>
  <si>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</si>
  <si>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</si>
  <si>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</si>
  <si>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</si>
  <si>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</si>
  <si>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</si>
  <si>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</si>
  <si>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</si>
  <si>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</si>
  <si>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</si>
  <si>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</si>
  <si>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</si>
  <si>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</si>
  <si>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</si>
  <si>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</si>
  <si>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</si>
  <si>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</si>
  <si>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</si>
  <si>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</si>
  <si>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</si>
  <si>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</si>
  <si>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</si>
  <si>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</si>
  <si>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</si>
  <si>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</si>
  <si>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</si>
  <si>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</si>
  <si>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</si>
  <si>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</si>
  <si>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</si>
  <si>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</si>
  <si>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</si>
  <si>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</si>
  <si>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</si>
  <si>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</si>
  <si>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</si>
  <si>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</si>
  <si>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</si>
  <si>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</si>
  <si>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</si>
  <si>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</si>
  <si>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</si>
  <si>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</si>
  <si>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</si>
  <si>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</si>
  <si>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</si>
  <si>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</si>
  <si>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</si>
  <si>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</si>
  <si>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</si>
  <si>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</si>
  <si>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</si>
  <si>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</si>
  <si>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</si>
  <si>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</si>
  <si>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</si>
  <si>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</si>
  <si>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</si>
  <si>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</si>
  <si>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</si>
  <si>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</si>
  <si>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</si>
  <si>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</si>
  <si>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</si>
  <si>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</si>
  <si>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</si>
  <si>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</si>
  <si>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</si>
  <si>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</si>
  <si>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</si>
  <si>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</si>
  <si>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</si>
  <si>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</si>
  <si>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</si>
  <si>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</si>
  <si>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</si>
  <si>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</si>
  <si>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</si>
  <si>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</si>
  <si>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</si>
  <si>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</si>
  <si>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</si>
  <si>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</si>
  <si>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</si>
  <si>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</si>
  <si>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</si>
  <si>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</si>
  <si>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</si>
  <si>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</si>
  <si>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</si>
  <si>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</si>
  <si>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</si>
  <si>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</si>
  <si>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</si>
  <si>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</si>
  <si>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</si>
  <si>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</si>
  <si>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</si>
  <si>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</si>
  <si>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</si>
  <si>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</si>
  <si>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</si>
  <si>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</si>
  <si>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</si>
  <si>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</si>
  <si>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</si>
  <si>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</si>
  <si>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</si>
  <si>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</si>
  <si>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</si>
  <si>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</si>
  <si>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</si>
  <si>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</si>
  <si>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</si>
  <si>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</si>
  <si>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</si>
  <si>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</si>
  <si>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</si>
  <si>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</si>
  <si>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</si>
  <si>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</si>
  <si>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</si>
  <si>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</si>
  <si>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</si>
  <si>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</si>
  <si>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</si>
  <si>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</si>
  <si>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</si>
  <si>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</si>
  <si>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</si>
  <si>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</si>
  <si>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</si>
  <si>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</si>
  <si>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</si>
  <si>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</si>
  <si>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</si>
  <si>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</si>
  <si>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</si>
  <si>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</si>
  <si>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</si>
  <si>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</si>
  <si>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</si>
  <si>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</si>
  <si>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</si>
  <si>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</si>
  <si>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</si>
  <si>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</si>
  <si>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</si>
  <si>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</si>
  <si>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</si>
  <si>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</si>
  <si>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</si>
  <si>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</si>
  <si>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</si>
  <si>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</si>
  <si>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</si>
  <si>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</si>
  <si>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</si>
  <si>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</si>
  <si>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</si>
  <si>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</si>
  <si>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</si>
  <si>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</si>
  <si>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</si>
  <si>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</si>
  <si>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</si>
  <si>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</si>
  <si>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</si>
  <si>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</si>
  <si>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</si>
  <si>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</si>
  <si>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</si>
  <si>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</si>
  <si>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</si>
  <si>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</si>
  <si>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</si>
  <si>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</si>
  <si>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</si>
  <si>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</si>
  <si>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</si>
  <si>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</si>
  <si>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</si>
  <si>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</si>
  <si>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</si>
  <si>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</si>
  <si>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</si>
  <si>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</si>
  <si>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</si>
  <si>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</si>
  <si>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</si>
  <si>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</si>
  <si>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</si>
  <si>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</si>
  <si>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</si>
  <si>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</si>
  <si>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</si>
  <si>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</si>
  <si>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</si>
  <si>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</si>
  <si>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</si>
  <si>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</si>
  <si>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</si>
  <si>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</si>
  <si>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</si>
  <si>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</si>
  <si>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</si>
  <si>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</si>
  <si>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</si>
  <si>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</si>
  <si>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</si>
  <si>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</si>
  <si>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</si>
  <si>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</si>
  <si>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</si>
  <si>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</si>
  <si>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</si>
  <si>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</si>
  <si>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</si>
  <si>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</si>
  <si>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</si>
  <si>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</si>
  <si>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</si>
  <si>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</si>
  <si>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</si>
  <si>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</si>
  <si>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</si>
  <si>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</si>
  <si>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</si>
  <si>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</si>
  <si>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</si>
  <si>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</si>
  <si>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</si>
  <si>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</si>
  <si>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</si>
  <si>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</si>
  <si>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</si>
  <si>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</si>
  <si>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</si>
  <si>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</si>
  <si>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</si>
  <si>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</si>
  <si>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</si>
  <si>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</si>
  <si>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</si>
  <si>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</si>
  <si>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</si>
  <si>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</si>
  <si>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</si>
  <si>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</si>
  <si>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</si>
  <si>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</si>
  <si>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</si>
  <si>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</si>
  <si>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</si>
  <si>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</si>
  <si>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</si>
  <si>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</si>
  <si>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</si>
  <si>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</si>
  <si>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</si>
  <si>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</si>
  <si>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</si>
  <si>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</si>
  <si>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</si>
  <si>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</si>
  <si>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</si>
  <si>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</si>
  <si>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</si>
  <si>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</si>
  <si>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</si>
  <si>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</si>
  <si>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</si>
  <si>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</si>
  <si>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</si>
  <si>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</si>
  <si>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</si>
  <si>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</si>
  <si>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</si>
  <si>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</si>
  <si>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</si>
  <si>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</si>
  <si>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</si>
  <si>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</si>
  <si>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</si>
  <si>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</si>
  <si>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</si>
  <si>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</si>
  <si>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</si>
  <si>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</si>
  <si>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</si>
  <si>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</si>
  <si>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</si>
  <si>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</si>
  <si>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</si>
  <si>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</si>
  <si>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</si>
  <si>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</si>
  <si>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</si>
  <si>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</si>
  <si>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</si>
  <si>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</si>
  <si>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</si>
  <si>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</si>
  <si>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</si>
  <si>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</si>
  <si>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</si>
  <si>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</si>
  <si>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</si>
  <si>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</si>
  <si>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</si>
  <si>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</si>
  <si>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</si>
  <si>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</si>
  <si>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</si>
  <si>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</si>
  <si>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</si>
  <si>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</si>
  <si>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</si>
  <si>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</si>
  <si>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</si>
  <si>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</si>
  <si>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</si>
  <si>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</si>
  <si>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</si>
  <si>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</si>
  <si>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</si>
  <si>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</si>
  <si>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</si>
  <si>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</si>
  <si>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</si>
  <si>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</si>
  <si>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</si>
  <si>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</si>
  <si>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</si>
  <si>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</si>
  <si>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</si>
  <si>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</si>
  <si>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</si>
  <si>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</si>
  <si>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</si>
  <si>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</si>
  <si>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</si>
  <si>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</si>
  <si>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</si>
  <si>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</si>
  <si>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</si>
  <si>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</si>
  <si>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</si>
  <si>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</si>
  <si>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</si>
  <si>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</si>
  <si>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</si>
  <si>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</si>
  <si>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</si>
  <si>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</si>
  <si>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</si>
  <si>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</si>
  <si>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</si>
  <si>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</si>
  <si>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</si>
  <si>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</si>
  <si>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</si>
  <si>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</si>
  <si>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</si>
  <si>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</si>
  <si>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</si>
  <si>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</si>
  <si>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</si>
  <si>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</si>
  <si>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</si>
  <si>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</si>
  <si>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</si>
  <si>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</si>
  <si>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</si>
  <si>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</si>
  <si>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</si>
  <si>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</si>
  <si>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</si>
  <si>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</si>
  <si>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</si>
  <si>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</si>
  <si>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</si>
  <si>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</si>
  <si>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</si>
  <si>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</si>
  <si>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</si>
  <si>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</si>
  <si>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</si>
  <si>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</si>
  <si>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</si>
  <si>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</si>
  <si>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</si>
  <si>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</si>
  <si>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</si>
  <si>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</si>
  <si>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</si>
  <si>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</si>
  <si>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</si>
  <si>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</si>
  <si>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</si>
  <si>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</si>
  <si>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</si>
  <si>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</si>
  <si>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</si>
  <si>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</si>
  <si>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</si>
  <si>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</si>
  <si>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</si>
  <si>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</si>
  <si>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</si>
  <si>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</si>
  <si>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</si>
  <si>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</si>
  <si>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</si>
  <si>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</si>
  <si>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</si>
  <si>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</si>
  <si>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</si>
  <si>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</si>
  <si>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</si>
  <si>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</si>
  <si>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</si>
  <si>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</si>
  <si>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</si>
  <si>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</si>
  <si>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</si>
  <si>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</si>
  <si>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</si>
  <si>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</si>
  <si>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</si>
  <si>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</si>
  <si>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</si>
  <si>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</si>
  <si>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</si>
  <si>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</si>
  <si>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</si>
  <si>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</si>
  <si>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</si>
  <si>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</si>
  <si>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</si>
  <si>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</si>
  <si>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</si>
  <si>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</si>
  <si>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</si>
  <si>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</si>
  <si>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</si>
  <si>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</si>
  <si>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</si>
  <si>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</si>
  <si>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</si>
  <si>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</si>
  <si>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</si>
  <si>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</si>
  <si>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</si>
  <si>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</si>
  <si>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</si>
  <si>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</si>
  <si>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</si>
  <si>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</si>
  <si>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</si>
  <si>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</si>
  <si>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</si>
  <si>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</si>
  <si>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</si>
  <si>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</si>
  <si>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</si>
  <si>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</si>
  <si>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</si>
  <si>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</si>
  <si>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</si>
  <si>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</si>
  <si>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</si>
  <si>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</si>
  <si>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</si>
  <si>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</si>
  <si>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</si>
  <si>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</si>
  <si>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</si>
  <si>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</si>
  <si>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</si>
  <si>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</si>
  <si>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</si>
  <si>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</si>
  <si>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</si>
  <si>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</si>
  <si>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</si>
  <si>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</si>
  <si>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</si>
  <si>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</si>
  <si>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</si>
  <si>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</si>
  <si>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</si>
  <si>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</si>
  <si>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</si>
  <si>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</si>
  <si>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</si>
  <si>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</si>
  <si>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</si>
  <si>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</si>
  <si>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</si>
  <si>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</si>
  <si>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</si>
  <si>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</si>
  <si>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</si>
  <si>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</si>
  <si>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</si>
  <si>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</si>
  <si>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</si>
  <si>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</si>
  <si>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</si>
  <si>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</si>
  <si>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</si>
  <si>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</si>
  <si>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</si>
  <si>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</si>
  <si>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</si>
  <si>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</si>
  <si>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</si>
  <si>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</si>
  <si>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</si>
  <si>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</si>
  <si>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</si>
  <si>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</si>
  <si>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</si>
  <si>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</si>
  <si>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</si>
  <si>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</si>
  <si>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</si>
  <si>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</si>
  <si>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</si>
  <si>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</si>
  <si>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</si>
  <si>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</si>
  <si>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</si>
  <si>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</si>
  <si>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</si>
  <si>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</si>
  <si>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</si>
  <si>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</si>
  <si>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</si>
  <si>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</si>
  <si>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</si>
  <si>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</si>
  <si>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</si>
  <si>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</si>
  <si>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</si>
  <si>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</si>
  <si>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</si>
  <si>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</si>
  <si>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</si>
  <si>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</si>
  <si>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</si>
  <si>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</si>
  <si>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</si>
  <si>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</si>
  <si>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</si>
  <si>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</si>
  <si>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</si>
  <si>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</si>
  <si>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</si>
  <si>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</si>
  <si>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</si>
  <si>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</si>
  <si>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</si>
  <si>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</si>
  <si>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</si>
  <si>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</si>
  <si>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</si>
  <si>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</si>
  <si>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</si>
  <si>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</si>
  <si>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</si>
  <si>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</si>
  <si>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</si>
  <si>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</si>
  <si>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</si>
  <si>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</si>
  <si>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</si>
  <si>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</si>
  <si>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</si>
  <si>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</si>
  <si>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</si>
  <si>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</si>
  <si>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</si>
  <si>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</si>
  <si>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</si>
  <si>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</si>
  <si>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</si>
  <si>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</si>
  <si>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</si>
  <si>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</si>
  <si>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</si>
  <si>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</si>
  <si>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</si>
  <si>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</si>
  <si>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</si>
  <si>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</si>
  <si>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</si>
  <si>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</si>
  <si>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</si>
  <si>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</si>
  <si>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</si>
  <si>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</si>
  <si>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</si>
  <si>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</si>
  <si>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</si>
  <si>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</si>
  <si>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</si>
  <si>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</si>
  <si>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</si>
  <si>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</si>
  <si>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</si>
  <si>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</si>
  <si>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</si>
  <si>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</si>
  <si>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</si>
  <si>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</si>
  <si>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</si>
  <si>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</si>
  <si>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</si>
  <si>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</si>
  <si>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</si>
  <si>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</si>
  <si>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</si>
  <si>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</si>
  <si>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</si>
  <si>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</si>
  <si>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</si>
  <si>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</si>
  <si>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</si>
  <si>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</si>
  <si>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</si>
  <si>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</si>
  <si>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</si>
  <si>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</si>
  <si>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</si>
  <si>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</si>
  <si>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</si>
  <si>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</si>
  <si>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</si>
  <si>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</si>
  <si>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</si>
  <si>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</si>
  <si>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</si>
  <si>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</si>
  <si>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</si>
  <si>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</si>
  <si>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</si>
  <si>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</si>
  <si>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</si>
  <si>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</si>
  <si>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</si>
  <si>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</si>
  <si>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</si>
  <si>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</si>
  <si>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</si>
  <si>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</si>
  <si>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</si>
  <si>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</si>
  <si>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</si>
  <si>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</si>
  <si>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</si>
  <si>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</si>
  <si>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</si>
  <si>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</si>
  <si>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</si>
  <si>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</si>
  <si>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</si>
  <si>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</si>
  <si>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</si>
  <si>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</si>
  <si>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</si>
  <si>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</si>
  <si>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</si>
  <si>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</si>
  <si>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</si>
  <si>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</si>
  <si>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</si>
  <si>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</si>
  <si>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</si>
  <si>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</si>
  <si>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</si>
  <si>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</si>
  <si>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</si>
  <si>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</si>
  <si>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</si>
  <si>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</si>
  <si>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</si>
  <si>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</si>
  <si>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</si>
  <si>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</si>
  <si>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</si>
  <si>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</si>
  <si>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</si>
  <si>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</si>
  <si>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</si>
  <si>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</si>
  <si>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</si>
  <si>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</si>
  <si>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</si>
  <si>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</si>
  <si>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</si>
  <si>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</si>
  <si>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</si>
  <si>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</si>
  <si>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</si>
  <si>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</si>
  <si>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</si>
  <si>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</si>
  <si>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</si>
  <si>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</si>
  <si>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</si>
  <si>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</si>
  <si>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</si>
  <si>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</si>
  <si>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</si>
  <si>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</si>
  <si>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</si>
  <si>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</si>
  <si>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</si>
  <si>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</si>
  <si>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</si>
  <si>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</si>
  <si>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</si>
  <si>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</si>
  <si>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</si>
  <si>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</si>
  <si>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</si>
  <si>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</si>
  <si>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</si>
  <si>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</si>
  <si>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</si>
  <si>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</si>
  <si>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</si>
  <si>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</si>
  <si>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</si>
  <si>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</si>
  <si>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</si>
  <si>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</si>
  <si>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</si>
  <si>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</si>
  <si>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</si>
  <si>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</si>
  <si>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</si>
  <si>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</si>
  <si>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</si>
  <si>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</si>
  <si>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</si>
  <si>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</si>
  <si>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</si>
  <si>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</si>
  <si>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</si>
  <si>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</si>
  <si>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</si>
  <si>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</si>
  <si>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</si>
  <si>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</si>
  <si>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</si>
  <si>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</si>
  <si>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</si>
  <si>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</si>
  <si>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</si>
  <si>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</si>
  <si>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</si>
  <si>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</si>
  <si>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</si>
  <si>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</si>
  <si>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</si>
  <si>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</si>
  <si>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</si>
  <si>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</si>
  <si>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</si>
  <si>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</si>
  <si>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</si>
  <si>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</si>
  <si>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</si>
  <si>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</si>
  <si>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</si>
  <si>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</si>
  <si>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</si>
  <si>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</si>
  <si>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</si>
  <si>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</si>
  <si>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</si>
  <si>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</si>
  <si>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</si>
  <si>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</si>
  <si>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</si>
  <si>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</si>
  <si>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</si>
  <si>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</si>
  <si>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</si>
  <si>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</si>
  <si>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</si>
  <si>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</si>
  <si>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</si>
  <si>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</si>
  <si>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</si>
  <si>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</si>
  <si>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</si>
  <si>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</si>
  <si>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</si>
  <si>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</si>
  <si>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</si>
  <si>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</si>
  <si>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</si>
  <si>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</si>
  <si>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</si>
  <si>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</si>
  <si>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</si>
  <si>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</si>
  <si>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</si>
  <si>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</si>
  <si>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</si>
  <si>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</si>
  <si>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</si>
  <si>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</si>
  <si>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</si>
  <si>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</si>
  <si>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</si>
  <si>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</si>
  <si>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</si>
  <si>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</si>
  <si>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</si>
  <si>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</si>
  <si>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</si>
  <si>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</si>
  <si>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</si>
  <si>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</si>
  <si>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</si>
  <si>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</si>
  <si>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</si>
  <si>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</si>
  <si>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</si>
  <si>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</si>
  <si>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</si>
  <si>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</si>
  <si>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</si>
  <si>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</si>
  <si>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</si>
  <si>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</si>
  <si>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</si>
  <si>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</si>
  <si>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</si>
  <si>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</si>
  <si>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</si>
  <si>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</si>
  <si>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</si>
  <si>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</si>
  <si>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</si>
  <si>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</si>
  <si>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</si>
  <si>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</si>
  <si>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</si>
  <si>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</si>
  <si>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</si>
  <si>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</si>
  <si>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</si>
  <si>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</si>
  <si>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</si>
  <si>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</si>
  <si>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</si>
  <si>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</si>
  <si>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</si>
  <si>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</si>
  <si>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</si>
  <si>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</si>
  <si>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</si>
  <si>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</si>
  <si>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</si>
  <si>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</si>
  <si>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</si>
  <si>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</si>
  <si>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</si>
  <si>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</si>
  <si>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</si>
  <si>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</si>
  <si>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</si>
  <si>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</si>
  <si>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</si>
  <si>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</si>
  <si>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</si>
  <si>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</si>
  <si>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</si>
  <si>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</si>
  <si>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</si>
  <si>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</si>
  <si>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</si>
  <si>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</si>
  <si>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</si>
  <si>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</si>
  <si>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</si>
  <si>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</si>
  <si>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</si>
  <si>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</si>
  <si>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</si>
  <si>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</si>
  <si>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</si>
  <si>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</si>
  <si>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</si>
  <si>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</si>
  <si>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</si>
  <si>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</si>
  <si>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</si>
  <si>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</si>
  <si>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</si>
  <si>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</si>
  <si>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</si>
  <si>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</si>
  <si>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</si>
  <si>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</si>
  <si>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</si>
  <si>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</si>
  <si>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</si>
  <si>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</si>
  <si>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</si>
  <si>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</si>
  <si>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</si>
  <si>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</si>
  <si>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</si>
  <si>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</si>
  <si>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</si>
  <si>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</si>
  <si>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</si>
  <si>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</si>
  <si>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</si>
  <si>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</si>
  <si>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</si>
  <si>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</si>
  <si>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</si>
  <si>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</si>
  <si>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</si>
  <si>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</si>
  <si>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</si>
  <si>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</si>
  <si>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</si>
  <si>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</si>
  <si>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</si>
  <si>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</si>
  <si>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</si>
  <si>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</si>
  <si>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</si>
  <si>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</si>
  <si>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</si>
  <si>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</si>
  <si>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</si>
  <si>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</si>
  <si>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</si>
  <si>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</si>
  <si>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</si>
  <si>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</si>
  <si>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</si>
  <si>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</si>
  <si>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</si>
  <si>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</si>
  <si>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</si>
  <si>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</si>
  <si>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</si>
  <si>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</si>
  <si>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</si>
  <si>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</si>
  <si>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</si>
  <si>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</si>
  <si>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</si>
  <si>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</si>
  <si>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</si>
  <si>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</si>
  <si>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</si>
  <si>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</si>
  <si>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</si>
  <si>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</si>
  <si>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</si>
  <si>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</si>
  <si>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</si>
  <si>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</si>
  <si>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</si>
  <si>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</si>
  <si>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</si>
  <si>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</si>
  <si>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</si>
  <si>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</si>
  <si>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</si>
  <si>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</si>
  <si>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</si>
  <si>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</si>
  <si>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</si>
  <si>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</si>
  <si>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</si>
  <si>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</si>
  <si>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</si>
  <si>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</si>
  <si>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</si>
  <si>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</si>
  <si>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</si>
  <si>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</si>
  <si>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</si>
  <si>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</si>
  <si>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</si>
  <si>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</si>
  <si>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</si>
  <si>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</si>
  <si>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</si>
  <si>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</si>
  <si>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</si>
  <si>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</si>
  <si>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</si>
  <si>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</si>
  <si>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</si>
  <si>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</si>
  <si>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</si>
  <si>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</si>
  <si>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</si>
  <si>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</si>
  <si>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</si>
  <si>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</si>
  <si>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</si>
  <si>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</si>
  <si>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</si>
  <si>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</si>
  <si>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</si>
  <si>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</si>
  <si>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</si>
  <si>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</si>
  <si>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</si>
  <si>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</si>
  <si>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</si>
  <si>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</si>
  <si>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</si>
  <si>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</si>
  <si>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</si>
  <si>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</si>
  <si>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</si>
  <si>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</si>
  <si>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</si>
  <si>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</si>
  <si>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</si>
  <si>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</si>
  <si>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</si>
  <si>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</si>
  <si>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</si>
  <si>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</si>
  <si>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</si>
  <si>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</si>
  <si>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</si>
  <si>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</si>
  <si>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</si>
  <si>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</si>
  <si>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</si>
  <si>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</si>
  <si>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</si>
  <si>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</si>
  <si>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</si>
  <si>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</si>
  <si>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</si>
  <si>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</si>
  <si>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</si>
  <si>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</si>
  <si>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</si>
  <si>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</si>
  <si>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</si>
  <si>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</si>
  <si>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</si>
  <si>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</si>
  <si>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</si>
  <si>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</si>
  <si>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</si>
  <si>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</si>
  <si>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</si>
  <si>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</si>
  <si>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</si>
  <si>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</si>
  <si>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</si>
  <si>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</si>
  <si>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</si>
  <si>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</si>
  <si>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</si>
  <si>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</si>
  <si>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</si>
  <si>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</si>
  <si>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</si>
  <si>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</si>
  <si>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</si>
  <si>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</si>
  <si>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</si>
  <si>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</si>
  <si>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</si>
  <si>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</si>
  <si>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</si>
  <si>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</si>
  <si>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</si>
  <si>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</si>
  <si>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</si>
  <si>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</si>
  <si>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</si>
  <si>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</si>
  <si>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</si>
  <si>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</si>
  <si>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</si>
  <si>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</si>
  <si>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</si>
  <si>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</si>
  <si>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</si>
  <si>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</si>
  <si>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</si>
  <si>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</si>
  <si>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</si>
  <si>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</si>
  <si>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</si>
  <si>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</si>
  <si>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</si>
  <si>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</si>
  <si>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</si>
  <si>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</si>
  <si>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</si>
  <si>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</si>
  <si>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</si>
  <si>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</si>
  <si>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</si>
  <si>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</si>
  <si>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</si>
  <si>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</si>
  <si>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</si>
  <si>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</si>
  <si>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</si>
  <si>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</si>
  <si>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</si>
  <si>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</si>
  <si>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</si>
  <si>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</si>
  <si>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</si>
  <si>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</si>
  <si>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</si>
  <si>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</si>
  <si>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</si>
  <si>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</si>
  <si>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</si>
  <si>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</si>
  <si>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</si>
  <si>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</si>
  <si>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</si>
  <si>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</si>
  <si>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</si>
  <si>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</si>
  <si>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</si>
  <si>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</si>
  <si>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</si>
  <si>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</si>
  <si>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</si>
  <si>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</si>
  <si>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</si>
  <si>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</si>
  <si>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</si>
  <si>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</si>
  <si>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</si>
  <si>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</si>
  <si>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</si>
  <si>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</si>
  <si>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</si>
  <si>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</si>
  <si>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</si>
  <si>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</si>
  <si>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</si>
  <si>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</si>
  <si>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</si>
  <si>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</si>
  <si>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</si>
  <si>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</si>
  <si>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</si>
  <si>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</si>
  <si>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</si>
  <si>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</si>
  <si>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</si>
  <si>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</si>
  <si>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</si>
  <si>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</si>
  <si>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</si>
  <si>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</si>
  <si>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</si>
  <si>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</si>
  <si>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</si>
  <si>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</si>
  <si>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</si>
  <si>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</si>
  <si>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</si>
  <si>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</si>
  <si>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</si>
  <si>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</si>
  <si>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</si>
  <si>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</si>
  <si>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</si>
  <si>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</si>
  <si>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</si>
  <si>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</si>
  <si>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</si>
  <si>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</si>
  <si>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</si>
  <si>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</si>
  <si>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</si>
  <si>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</si>
  <si>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</si>
  <si>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</si>
  <si>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</si>
  <si>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</si>
  <si>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</si>
  <si>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</si>
  <si>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</si>
  <si>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</si>
  <si>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</si>
  <si>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</si>
  <si>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</si>
  <si>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</si>
  <si>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</si>
  <si>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</si>
  <si>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</si>
  <si>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</si>
  <si>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</si>
  <si>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</si>
  <si>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</si>
  <si>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</si>
  <si>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</si>
  <si>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</si>
  <si>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</si>
  <si>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</si>
  <si>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</si>
  <si>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</si>
  <si>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</si>
  <si>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</si>
  <si>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</si>
  <si>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</si>
  <si>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</si>
  <si>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</si>
  <si>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</si>
  <si>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</si>
  <si>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</si>
  <si>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</si>
  <si>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</si>
  <si>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</si>
  <si>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</si>
  <si>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</si>
  <si>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</si>
  <si>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</si>
  <si>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</si>
  <si>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</si>
  <si>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</si>
  <si>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</si>
  <si>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</si>
  <si>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</si>
  <si>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</si>
  <si>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</si>
  <si>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</si>
  <si>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</si>
  <si>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</si>
  <si>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</si>
  <si>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</si>
  <si>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</si>
  <si>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</si>
  <si>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</si>
  <si>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</si>
  <si>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</si>
  <si>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</si>
  <si>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</si>
  <si>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</si>
  <si>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</si>
  <si>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</si>
  <si>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</si>
  <si>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</si>
  <si>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</si>
  <si>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</si>
  <si>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</si>
  <si>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</si>
  <si>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</si>
  <si>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</si>
  <si>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</si>
  <si>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</si>
  <si>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</si>
  <si>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</si>
  <si>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</si>
  <si>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</si>
  <si>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</si>
  <si>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</si>
  <si>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</si>
  <si>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</si>
  <si>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</si>
  <si>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</si>
  <si>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</si>
  <si>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</si>
  <si>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</si>
  <si>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</si>
  <si>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</si>
  <si>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</si>
  <si>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</si>
  <si>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</si>
  <si>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</si>
  <si>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</si>
  <si>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</si>
  <si>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</si>
  <si>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</si>
  <si>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</si>
  <si>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</si>
  <si>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</si>
  <si>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</si>
  <si>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</si>
  <si>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</si>
  <si>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</si>
  <si>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</si>
  <si>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</si>
  <si>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</si>
  <si>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</si>
  <si>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</si>
  <si>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</si>
  <si>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</si>
  <si>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</si>
  <si>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</si>
  <si>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</si>
  <si>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</si>
  <si>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</si>
  <si>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</si>
  <si>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</si>
  <si>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</si>
  <si>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</si>
  <si>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</si>
  <si>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</si>
  <si>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</si>
  <si>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</si>
  <si>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</si>
  <si>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</si>
  <si>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</si>
  <si>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</si>
  <si>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</si>
  <si>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</si>
  <si>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</si>
  <si>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</si>
  <si>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</si>
  <si>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</si>
  <si>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</si>
  <si>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</si>
  <si>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</si>
  <si>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</si>
  <si>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</si>
  <si>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</si>
  <si>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</si>
  <si>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</si>
  <si>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</si>
  <si>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</si>
  <si>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</si>
  <si>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</si>
  <si>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</si>
  <si>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</si>
  <si>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</si>
  <si>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</si>
  <si>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</si>
  <si>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</si>
  <si>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</si>
  <si>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</si>
  <si>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</si>
  <si>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</si>
  <si>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</si>
  <si>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</si>
  <si>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</si>
  <si>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</si>
  <si>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</si>
  <si>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</si>
  <si>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</si>
  <si>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</si>
  <si>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</si>
  <si>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</si>
  <si>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</si>
  <si>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</si>
  <si>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</si>
  <si>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</si>
  <si>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</si>
  <si>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</si>
  <si>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</si>
  <si>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</si>
  <si>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</si>
  <si>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</si>
  <si>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</si>
  <si>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</si>
  <si>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</si>
  <si>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</si>
  <si>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</si>
  <si>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</si>
  <si>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</si>
  <si>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</si>
  <si>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</si>
  <si>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</si>
  <si>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</si>
  <si>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</si>
  <si>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</si>
  <si>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</si>
  <si>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</si>
  <si>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</si>
  <si>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</si>
  <si>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</si>
  <si>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</si>
  <si>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</si>
  <si>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</si>
  <si>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</si>
  <si>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</si>
  <si>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</si>
  <si>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</si>
  <si>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</si>
  <si>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</si>
  <si>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</si>
  <si>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</si>
  <si>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</si>
  <si>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</si>
  <si>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</si>
  <si>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</si>
  <si>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</si>
  <si>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</si>
  <si>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</si>
  <si>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</si>
  <si>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</si>
  <si>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</si>
  <si>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</si>
  <si>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</si>
  <si>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</si>
  <si>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</si>
  <si>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</si>
  <si>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</si>
  <si>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</si>
  <si>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</si>
  <si>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</si>
  <si>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</si>
  <si>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</si>
  <si>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</si>
  <si>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</si>
  <si>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</si>
  <si>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</si>
  <si>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</si>
  <si>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</si>
  <si>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</si>
  <si>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</si>
  <si>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</si>
  <si>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</si>
  <si>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</si>
  <si>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</si>
  <si>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</si>
  <si>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</si>
  <si>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</si>
  <si>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</si>
  <si>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</si>
  <si>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</si>
  <si>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</si>
  <si>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</si>
  <si>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</si>
  <si>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</si>
  <si>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</si>
  <si>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</si>
  <si>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</si>
  <si>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</si>
  <si>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</si>
  <si>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</si>
  <si>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</si>
  <si>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</si>
  <si>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</si>
  <si>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</si>
  <si>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</si>
  <si>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</si>
  <si>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</si>
  <si>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</si>
  <si>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</si>
  <si>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</si>
  <si>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</si>
  <si>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</si>
  <si>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</si>
  <si>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</si>
  <si>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</si>
  <si>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</si>
  <si>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</si>
  <si>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</si>
  <si>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</si>
  <si>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</si>
  <si>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</si>
  <si>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</si>
  <si>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</si>
  <si>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</si>
  <si>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</si>
  <si>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</si>
  <si>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</si>
  <si>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</si>
  <si>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</si>
  <si>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</si>
  <si>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</si>
  <si>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</si>
  <si>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</si>
  <si>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</si>
  <si>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</si>
  <si>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</si>
  <si>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</si>
  <si>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</si>
  <si>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</si>
  <si>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</si>
  <si>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</si>
  <si>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</si>
  <si>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</si>
  <si>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</si>
  <si>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</si>
  <si>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</si>
  <si>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</si>
  <si>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</si>
  <si>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</si>
  <si>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</si>
  <si>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</si>
  <si>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</si>
  <si>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</si>
  <si>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</si>
  <si>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</si>
  <si>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</si>
  <si>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</si>
  <si>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</si>
  <si>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</si>
  <si>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</si>
  <si>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</si>
  <si>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</si>
  <si>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</si>
  <si>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</si>
  <si>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</si>
  <si>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</si>
  <si>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</si>
  <si>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</si>
  <si>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</si>
  <si>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</si>
  <si>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</si>
  <si>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</si>
  <si>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</si>
  <si>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</si>
  <si>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</si>
  <si>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</si>
  <si>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</si>
  <si>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</si>
  <si>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</si>
  <si>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</si>
  <si>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</si>
  <si>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</si>
  <si>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</si>
  <si>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</si>
  <si>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</si>
  <si>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</si>
  <si>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</si>
  <si>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</si>
  <si>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</si>
  <si>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</si>
  <si>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</si>
  <si>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</si>
  <si>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</si>
  <si>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</si>
  <si>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</si>
  <si>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</si>
  <si>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</si>
  <si>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</si>
  <si>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</si>
  <si>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</si>
  <si>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</si>
  <si>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</si>
  <si>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</si>
  <si>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</si>
  <si>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</si>
  <si>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</si>
  <si>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</si>
  <si>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</si>
  <si>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</si>
  <si>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</si>
  <si>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</si>
  <si>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</si>
  <si>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</si>
  <si>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</si>
  <si>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</si>
  <si>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</si>
  <si>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</si>
  <si>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</si>
  <si>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</si>
  <si>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</si>
  <si>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</si>
  <si>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</si>
  <si>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</si>
  <si>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</si>
  <si>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</si>
  <si>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</si>
  <si>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</si>
  <si>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</si>
  <si>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</si>
  <si>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</si>
  <si>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</si>
  <si>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</si>
  <si>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</si>
  <si>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</si>
  <si>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</si>
  <si>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</si>
  <si>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</si>
  <si>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</si>
  <si>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</si>
  <si>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</si>
  <si>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</si>
  <si>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</si>
  <si>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</si>
  <si>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</si>
  <si>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</si>
  <si>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</si>
  <si>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</si>
  <si>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</si>
  <si>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</si>
  <si>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</si>
  <si>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</si>
  <si>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</si>
  <si>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</si>
  <si>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</si>
  <si>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</si>
  <si>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</si>
  <si>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</si>
  <si>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</si>
  <si>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</si>
  <si>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</si>
  <si>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</si>
  <si>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</si>
  <si>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</si>
  <si>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</si>
  <si>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</si>
  <si>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</si>
  <si>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</si>
  <si>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</si>
  <si>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</si>
  <si>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</si>
  <si>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</si>
  <si>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</si>
  <si>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</si>
  <si>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</si>
  <si>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</si>
  <si>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</si>
  <si>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</si>
  <si>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</si>
  <si>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</si>
  <si>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</si>
  <si>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</si>
  <si>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</si>
  <si>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</si>
  <si>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</si>
  <si>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</si>
  <si>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</si>
  <si>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</si>
  <si>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</si>
  <si>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</si>
  <si>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</si>
  <si>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</si>
  <si>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</si>
  <si>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</si>
  <si>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</si>
  <si>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</si>
  <si>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</si>
  <si>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</si>
  <si>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</si>
  <si>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</si>
  <si>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</si>
  <si>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</si>
  <si>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</si>
  <si>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</si>
  <si>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</si>
  <si>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</si>
  <si>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</si>
  <si>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</si>
  <si>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</si>
  <si>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</si>
  <si>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</si>
  <si>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</si>
  <si>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</si>
  <si>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</si>
  <si>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</si>
  <si>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</si>
  <si>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</si>
  <si>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</si>
  <si>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</si>
  <si>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</si>
  <si>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</si>
  <si>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</si>
  <si>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</si>
  <si>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</si>
  <si>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</si>
  <si>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</si>
  <si>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</si>
  <si>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</si>
  <si>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</si>
  <si>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</si>
  <si>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</si>
  <si>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</si>
  <si>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</si>
  <si>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</si>
  <si>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</si>
  <si>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</si>
  <si>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</si>
  <si>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</si>
  <si>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</si>
  <si>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</si>
  <si>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</si>
  <si>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</si>
  <si>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</si>
  <si>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</si>
  <si>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</si>
  <si>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</si>
  <si>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</si>
  <si>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</si>
  <si>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</si>
  <si>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</si>
  <si>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</si>
  <si>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</si>
  <si>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</si>
  <si>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</si>
  <si>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</si>
  <si>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</si>
  <si>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</si>
  <si>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</si>
  <si>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</si>
  <si>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</si>
  <si>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</si>
  <si>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</si>
  <si>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</si>
  <si>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</si>
  <si>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</si>
  <si>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</si>
  <si>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</si>
  <si>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</si>
  <si>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</si>
  <si>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</si>
  <si>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</si>
  <si>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</si>
  <si>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</si>
  <si>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</si>
  <si>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</si>
  <si>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</si>
  <si>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</si>
  <si>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</si>
  <si>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</si>
  <si>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</si>
  <si>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</si>
  <si>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</si>
  <si>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</si>
  <si>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</si>
  <si>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</si>
  <si>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</si>
  <si>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</si>
  <si>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</si>
  <si>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</si>
  <si>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</si>
  <si>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</si>
  <si>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</si>
  <si>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</si>
  <si>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</si>
  <si>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</si>
  <si>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</si>
  <si>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</si>
  <si>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</si>
  <si>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</si>
  <si>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</si>
  <si>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</si>
  <si>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</si>
  <si>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</si>
  <si>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</si>
  <si>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</si>
  <si>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</si>
  <si>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</si>
  <si>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</si>
  <si>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</si>
  <si>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</si>
  <si>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</si>
  <si>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</si>
  <si>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</si>
  <si>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</si>
  <si>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</si>
  <si>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</si>
  <si>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</si>
  <si>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</si>
  <si>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</si>
  <si>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</si>
  <si>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</si>
  <si>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</si>
  <si>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</si>
  <si>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</si>
  <si>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</si>
  <si>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</si>
  <si>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</si>
  <si>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</si>
  <si>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</si>
  <si>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</si>
  <si>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</si>
  <si>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</si>
  <si>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</si>
  <si>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</si>
  <si>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</si>
  <si>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</si>
  <si>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</si>
  <si>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</si>
  <si>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</si>
  <si>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</si>
  <si>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</si>
  <si>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</si>
  <si>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</si>
  <si>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</si>
  <si>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</si>
  <si>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</si>
  <si>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</si>
  <si>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</si>
  <si>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</si>
  <si>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</si>
  <si>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</si>
  <si>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</si>
  <si>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</si>
  <si>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</si>
  <si>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</si>
  <si>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</si>
  <si>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</si>
  <si>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</si>
  <si>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</si>
  <si>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</si>
  <si>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</si>
  <si>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</si>
  <si>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</si>
  <si>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</si>
  <si>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</si>
  <si>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</si>
  <si>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</si>
  <si>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</si>
  <si>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</si>
  <si>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</si>
  <si>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</si>
  <si>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</si>
  <si>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</si>
  <si>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</si>
  <si>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</si>
  <si>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</si>
  <si>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</si>
  <si>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</si>
  <si>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</si>
  <si>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</si>
  <si>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</si>
  <si>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</si>
  <si>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</si>
  <si>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</si>
  <si>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</si>
  <si>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</si>
  <si>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</si>
  <si>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</si>
  <si>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</si>
  <si>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</si>
  <si>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</si>
  <si>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</si>
  <si>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</si>
  <si>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</si>
  <si>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</si>
  <si>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</si>
  <si>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</si>
  <si>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</si>
  <si>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</si>
  <si>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</si>
  <si>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</si>
  <si>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</si>
  <si>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</si>
  <si>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</si>
  <si>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</si>
  <si>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</si>
  <si>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</si>
  <si>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</si>
  <si>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</si>
  <si>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</si>
  <si>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</si>
  <si>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</si>
  <si>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</si>
  <si>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</si>
  <si>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</si>
  <si>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</si>
  <si>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</si>
  <si>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</si>
  <si>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</si>
  <si>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</si>
  <si>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</si>
  <si>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</si>
  <si>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</si>
  <si>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</si>
  <si>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</si>
  <si>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</si>
  <si>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</si>
  <si>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</si>
  <si>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</si>
  <si>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</si>
  <si>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</si>
  <si>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</si>
  <si>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</si>
  <si>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</si>
  <si>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</si>
  <si>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</si>
  <si>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</si>
  <si>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</si>
  <si>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</si>
  <si>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</si>
  <si>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</si>
  <si>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</si>
  <si>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</si>
  <si>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</si>
  <si>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</si>
  <si>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</si>
  <si>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</si>
  <si>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</si>
  <si>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</si>
  <si>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</si>
  <si>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</si>
  <si>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</si>
  <si>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</si>
  <si>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</si>
  <si>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</si>
  <si>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</si>
  <si>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</si>
  <si>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</si>
  <si>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</si>
  <si>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</si>
  <si>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</si>
  <si>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</si>
  <si>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</si>
  <si>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</si>
  <si>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</si>
  <si>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</si>
  <si>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</si>
  <si>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</si>
  <si>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</si>
  <si>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</si>
  <si>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</si>
  <si>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</si>
  <si>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</si>
  <si>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</si>
  <si>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</si>
  <si>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</si>
  <si>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</si>
  <si>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</si>
  <si>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</si>
  <si>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</si>
  <si>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</si>
  <si>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</si>
  <si>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</si>
  <si>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</si>
  <si>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</si>
  <si>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</si>
  <si>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</si>
  <si>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</si>
  <si>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</si>
  <si>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</si>
  <si>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</si>
  <si>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</si>
  <si>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</si>
  <si>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</si>
  <si>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</si>
  <si>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</si>
  <si>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</si>
  <si>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</si>
  <si>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</si>
  <si>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</si>
  <si>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</si>
  <si>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</si>
  <si>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</si>
  <si>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</si>
  <si>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</si>
  <si>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</si>
  <si>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</si>
  <si>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</si>
  <si>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</si>
  <si>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</si>
  <si>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</si>
  <si>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</si>
  <si>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</si>
  <si>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</si>
  <si>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</si>
  <si>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</si>
  <si>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</si>
  <si>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</si>
  <si>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</si>
  <si>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</si>
  <si>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</si>
  <si>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</si>
  <si>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</si>
  <si>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</si>
  <si>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</si>
  <si>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</si>
  <si>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</si>
  <si>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</si>
  <si>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</si>
  <si>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</si>
  <si>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</si>
  <si>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</si>
  <si>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</si>
  <si>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</si>
  <si>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</si>
  <si>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</si>
  <si>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</si>
  <si>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</si>
  <si>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</si>
  <si>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</si>
  <si>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</si>
  <si>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</si>
  <si>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</si>
  <si>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</si>
  <si>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</si>
  <si>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</si>
  <si>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</si>
  <si>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</si>
  <si>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</si>
  <si>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</si>
  <si>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</si>
  <si>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</si>
  <si>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</si>
  <si>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</si>
  <si>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</si>
  <si>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</si>
  <si>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</si>
  <si>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</si>
  <si>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</si>
  <si>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</si>
  <si>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</si>
  <si>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</si>
  <si>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</si>
  <si>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</si>
  <si>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</si>
  <si>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</si>
  <si>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</si>
  <si>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</si>
  <si>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</si>
  <si>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</si>
  <si>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</si>
  <si>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</si>
  <si>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</si>
  <si>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</si>
  <si>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</si>
  <si>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</si>
  <si>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</si>
  <si>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</si>
  <si>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</si>
  <si>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</si>
  <si>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</si>
  <si>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</si>
  <si>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</si>
  <si>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</si>
  <si>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</si>
  <si>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</si>
  <si>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</si>
  <si>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</si>
  <si>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</si>
  <si>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</si>
  <si>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</si>
  <si>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</si>
  <si>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</si>
  <si>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</si>
  <si>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</si>
  <si>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</si>
  <si>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</si>
  <si>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</si>
  <si>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</si>
  <si>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</si>
  <si>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</si>
  <si>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</si>
  <si>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</si>
  <si>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</si>
  <si>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</si>
  <si>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</si>
  <si>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</si>
  <si>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</si>
  <si>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</si>
  <si>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</si>
  <si>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</si>
  <si>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</si>
  <si>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</si>
  <si>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</si>
  <si>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</si>
  <si>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</si>
  <si>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</si>
  <si>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</si>
  <si>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</si>
  <si>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</si>
  <si>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</si>
  <si>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</si>
  <si>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</si>
  <si>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</si>
  <si>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</si>
  <si>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</si>
  <si>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</si>
  <si>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</si>
  <si>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</si>
  <si>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</si>
  <si>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</si>
  <si>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</si>
  <si>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</si>
  <si>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</si>
  <si>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</si>
  <si>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</si>
  <si>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</si>
  <si>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</si>
  <si>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</si>
  <si>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</si>
  <si>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</si>
  <si>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</si>
  <si>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</si>
  <si>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</si>
  <si>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</si>
  <si>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</si>
  <si>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</si>
  <si>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</si>
  <si>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</si>
  <si>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</si>
  <si>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</si>
  <si>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</si>
  <si>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</si>
  <si>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</si>
  <si>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</si>
  <si>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</si>
  <si>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</si>
  <si>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</si>
  <si>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</si>
  <si>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</si>
  <si>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</si>
  <si>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</si>
  <si>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</si>
  <si>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</si>
  <si>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</si>
  <si>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</si>
  <si>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</si>
  <si>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</si>
  <si>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</si>
  <si>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</si>
  <si>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</si>
  <si>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</si>
  <si>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</si>
  <si>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</si>
  <si>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</si>
  <si>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</si>
  <si>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</si>
  <si>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</si>
  <si>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</si>
  <si>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</si>
  <si>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</si>
  <si>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</si>
  <si>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</si>
  <si>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</si>
  <si>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</si>
  <si>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</si>
  <si>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</si>
  <si>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</si>
  <si>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</si>
  <si>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</si>
  <si>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</si>
  <si>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</si>
  <si>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</si>
  <si>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</si>
  <si>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</si>
  <si>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</si>
  <si>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</si>
  <si>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</si>
  <si>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</si>
  <si>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</si>
  <si>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</si>
  <si>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</si>
  <si>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</si>
  <si>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</si>
  <si>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</si>
  <si>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</si>
  <si>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</si>
  <si>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</si>
  <si>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</si>
  <si>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</si>
  <si>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</si>
  <si>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</si>
  <si>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</si>
  <si>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</si>
  <si>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</si>
  <si>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</si>
  <si>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</si>
  <si>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</si>
  <si>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</si>
  <si>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</si>
  <si>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</si>
  <si>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</si>
  <si>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</si>
  <si>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</si>
  <si>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</si>
  <si>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</si>
  <si>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</si>
  <si>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</si>
  <si>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</si>
  <si>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</si>
  <si>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</si>
  <si>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</si>
  <si>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</si>
  <si>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</si>
  <si>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</si>
  <si>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</si>
  <si>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</si>
  <si>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</si>
  <si>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</si>
  <si>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</si>
  <si>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</si>
  <si>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</si>
  <si>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</si>
  <si>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</si>
  <si>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</si>
  <si>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</si>
  <si>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</si>
  <si>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</si>
  <si>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</si>
  <si>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</si>
  <si>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</si>
  <si>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</si>
  <si>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</si>
  <si>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</si>
  <si>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</si>
  <si>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</si>
  <si>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</si>
  <si>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</si>
  <si>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</si>
  <si>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</si>
  <si>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</si>
  <si>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</si>
  <si>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</si>
  <si>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</si>
  <si>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</si>
  <si>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</si>
  <si>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</si>
  <si>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</si>
  <si>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</si>
  <si>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</si>
  <si>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</si>
  <si>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</si>
  <si>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</si>
  <si>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</si>
  <si>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</si>
  <si>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</si>
  <si>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</si>
  <si>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</si>
  <si>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</si>
  <si>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</si>
  <si>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</si>
  <si>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</si>
  <si>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</si>
  <si>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</si>
  <si>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</si>
  <si>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</si>
  <si>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</si>
  <si>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</si>
  <si>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</si>
  <si>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</si>
  <si>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</si>
  <si>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</si>
  <si>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</si>
  <si>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</si>
  <si>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</si>
  <si>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</si>
  <si>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</si>
  <si>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</si>
  <si>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</si>
  <si>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</si>
  <si>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</si>
  <si>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</si>
  <si>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</si>
  <si>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</si>
  <si>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</si>
  <si>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</si>
  <si>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</si>
  <si>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</si>
  <si>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</si>
  <si>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</si>
  <si>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</si>
  <si>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</si>
  <si>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</si>
  <si>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</si>
  <si>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</si>
  <si>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</si>
  <si>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</si>
  <si>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</si>
  <si>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</si>
  <si>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</si>
  <si>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</si>
  <si>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</si>
  <si>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</si>
  <si>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</si>
  <si>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</si>
  <si>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</si>
  <si>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</si>
  <si>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</si>
  <si>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</si>
  <si>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</si>
  <si>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</si>
  <si>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</si>
  <si>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</si>
  <si>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</si>
  <si>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</si>
  <si>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</si>
  <si>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</si>
  <si>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</si>
  <si>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</si>
  <si>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</si>
  <si>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</si>
  <si>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</si>
  <si>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</si>
  <si>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</si>
  <si>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</si>
  <si>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</si>
  <si>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</si>
  <si>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</si>
  <si>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</si>
  <si>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</si>
  <si>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</si>
  <si>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</si>
  <si>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</si>
  <si>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</si>
  <si>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</si>
  <si>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</si>
  <si>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</si>
  <si>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</si>
  <si>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</si>
  <si>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</si>
  <si>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</si>
  <si>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</si>
  <si>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</si>
  <si>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</si>
  <si>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</si>
  <si>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</si>
  <si>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</si>
  <si>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</si>
  <si>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</si>
  <si>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</si>
  <si>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</si>
  <si>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</si>
  <si>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</si>
  <si>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</si>
  <si>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</si>
  <si>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</si>
  <si>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</si>
  <si>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</si>
  <si>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</si>
  <si>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</si>
  <si>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</si>
  <si>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</si>
  <si>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</si>
  <si>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</si>
  <si>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</si>
  <si>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</si>
  <si>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</si>
  <si>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</si>
  <si>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</si>
  <si>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</si>
  <si>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</si>
  <si>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</si>
  <si>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</si>
  <si>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</si>
  <si>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</si>
  <si>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</si>
  <si>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</si>
  <si>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</si>
  <si>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</si>
  <si>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</si>
  <si>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</si>
  <si>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</si>
  <si>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</si>
  <si>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</si>
  <si>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</si>
  <si>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</si>
  <si>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</si>
  <si>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</si>
  <si>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</si>
  <si>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</si>
  <si>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</si>
  <si>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</si>
  <si>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</si>
  <si>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</si>
  <si>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</si>
  <si>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</si>
  <si>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</si>
  <si>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</si>
  <si>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</si>
  <si>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</si>
  <si>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</si>
  <si>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</si>
  <si>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</si>
  <si>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</si>
  <si>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</si>
  <si>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</si>
  <si>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</si>
  <si>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</si>
  <si>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</si>
  <si>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</si>
  <si>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</si>
  <si>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</si>
  <si>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</si>
  <si>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</si>
  <si>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</si>
  <si>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</si>
  <si>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</si>
  <si>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</si>
  <si>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</si>
  <si>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</si>
  <si>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</si>
  <si>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</si>
  <si>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</si>
  <si>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</si>
  <si>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</si>
  <si>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</si>
  <si>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</si>
  <si>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</si>
  <si>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</si>
  <si>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</si>
  <si>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</si>
  <si>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</si>
  <si>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</si>
  <si>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</si>
  <si>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</si>
  <si>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</si>
  <si>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</si>
  <si>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</si>
  <si>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</si>
  <si>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</si>
  <si>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</si>
  <si>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</si>
  <si>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</si>
  <si>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</si>
  <si>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</si>
  <si>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</si>
  <si>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</si>
  <si>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</si>
  <si>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</si>
  <si>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</si>
  <si>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</si>
  <si>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</si>
  <si>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</si>
  <si>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</si>
  <si>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</si>
  <si>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</si>
  <si>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</si>
  <si>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</si>
  <si>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</si>
  <si>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</si>
  <si>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</si>
  <si>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</si>
  <si>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</si>
  <si>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</si>
  <si>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</si>
  <si>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</si>
  <si>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</si>
  <si>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</si>
  <si>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</si>
  <si>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</si>
  <si>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</si>
  <si>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</si>
  <si>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</si>
  <si>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</si>
  <si>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</si>
  <si>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</si>
  <si>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</si>
  <si>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</si>
  <si>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</si>
  <si>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</si>
  <si>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</si>
  <si>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</si>
  <si>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</si>
  <si>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</si>
  <si>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</si>
  <si>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</si>
  <si>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</si>
  <si>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</si>
  <si>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</si>
  <si>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</si>
  <si>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</si>
  <si>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</si>
  <si>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</si>
  <si>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</si>
  <si>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</si>
  <si>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</si>
  <si>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</si>
  <si>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</si>
  <si>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</si>
  <si>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</si>
  <si>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</si>
  <si>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</si>
  <si>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</si>
  <si>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</si>
  <si>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</si>
  <si>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</si>
  <si>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</si>
  <si>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</si>
  <si>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</si>
  <si>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</si>
  <si>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</si>
  <si>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</si>
  <si>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</si>
  <si>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</si>
  <si>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</si>
  <si>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</si>
  <si>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</si>
  <si>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</si>
  <si>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</si>
  <si>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</si>
  <si>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</si>
  <si>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</si>
  <si>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</si>
  <si>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</si>
  <si>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</si>
  <si>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</si>
  <si>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</si>
  <si>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</si>
  <si>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</si>
  <si>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</si>
  <si>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</si>
  <si>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</si>
  <si>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</si>
  <si>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</si>
  <si>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</si>
  <si>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</si>
  <si>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</si>
  <si>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</si>
  <si>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</si>
  <si>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</si>
  <si>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</si>
  <si>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</si>
  <si>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</si>
  <si>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</si>
  <si>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</si>
  <si>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</si>
  <si>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</si>
  <si>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</si>
  <si>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</si>
  <si>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</si>
  <si>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</si>
  <si>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</si>
  <si>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</si>
  <si>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</si>
  <si>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</si>
  <si>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</si>
  <si>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</si>
  <si>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</si>
  <si>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</si>
  <si>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</si>
  <si>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</si>
  <si>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</si>
  <si>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</si>
  <si>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</si>
  <si>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</si>
  <si>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</si>
  <si>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</si>
  <si>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</si>
  <si>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</si>
  <si>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</si>
  <si>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</si>
  <si>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</si>
  <si>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</si>
  <si>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</si>
  <si>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</si>
  <si>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</si>
  <si>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</si>
  <si>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</si>
  <si>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</si>
  <si>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</si>
  <si>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</si>
  <si>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</si>
  <si>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</si>
  <si>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</si>
  <si>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</si>
  <si>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</si>
  <si>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</si>
  <si>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</si>
  <si>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</si>
  <si>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</si>
  <si>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</si>
  <si>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</si>
  <si>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</si>
  <si>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</si>
  <si>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</si>
  <si>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</si>
  <si>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</si>
  <si>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</si>
  <si>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</si>
  <si>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</si>
  <si>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</si>
  <si>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</si>
  <si>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</si>
  <si>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</si>
  <si>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</si>
  <si>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</si>
  <si>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</si>
  <si>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</si>
  <si>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</si>
  <si>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</si>
  <si>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</si>
  <si>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</si>
  <si>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</si>
  <si>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</si>
  <si>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</si>
  <si>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</si>
  <si>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</si>
  <si>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</si>
  <si>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</si>
  <si>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</si>
  <si>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</si>
  <si>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</si>
  <si>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</si>
  <si>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</si>
  <si>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</si>
  <si>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</si>
  <si>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</si>
  <si>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</si>
  <si>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</si>
  <si>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</si>
  <si>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</si>
  <si>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</si>
  <si>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</si>
  <si>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</si>
  <si>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</si>
  <si>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</si>
  <si>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</si>
  <si>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</si>
  <si>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</si>
  <si>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</si>
  <si>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</si>
  <si>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</si>
  <si>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</si>
  <si>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</si>
  <si>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</si>
  <si>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</si>
  <si>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</si>
  <si>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</si>
  <si>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</si>
  <si>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</si>
  <si>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</si>
  <si>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</si>
  <si>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</si>
  <si>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</si>
  <si>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</si>
  <si>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</si>
  <si>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</si>
  <si>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</si>
  <si>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</si>
  <si>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</si>
  <si>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</si>
  <si>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</si>
  <si>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</si>
  <si>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</si>
  <si>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</si>
  <si>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</si>
  <si>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</si>
  <si>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</si>
  <si>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</si>
  <si>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</si>
  <si>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</si>
  <si>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</si>
  <si>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</si>
  <si>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</si>
  <si>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</si>
  <si>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</si>
  <si>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</si>
  <si>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</si>
  <si>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</si>
  <si>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</si>
  <si>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</si>
  <si>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</si>
  <si>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</si>
  <si>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</si>
  <si>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</si>
  <si>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</si>
  <si>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</si>
  <si>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</si>
  <si>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</si>
  <si>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</si>
  <si>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</si>
  <si>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</si>
  <si>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</si>
  <si>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</si>
  <si>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</si>
  <si>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</si>
  <si>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</si>
  <si>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</si>
  <si>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</si>
  <si>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</si>
  <si>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</si>
  <si>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</si>
  <si>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</si>
  <si>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</si>
  <si>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</si>
  <si>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</si>
  <si>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</si>
  <si>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</si>
  <si>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</si>
  <si>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</si>
  <si>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</si>
  <si>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</si>
  <si>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</si>
  <si>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</si>
  <si>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</si>
  <si>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</si>
  <si>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</si>
  <si>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</si>
  <si>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</si>
  <si>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</si>
  <si>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</si>
  <si>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</si>
  <si>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</si>
  <si>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</si>
  <si>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</si>
  <si>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</si>
  <si>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</si>
  <si>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</si>
  <si>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</si>
  <si>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</si>
  <si>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</si>
  <si>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</si>
  <si>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</si>
  <si>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</si>
  <si>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</si>
  <si>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</si>
  <si>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</si>
  <si>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</si>
  <si>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</si>
  <si>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</si>
  <si>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</si>
  <si>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</si>
  <si>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</si>
  <si>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</si>
  <si>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</si>
  <si>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</si>
  <si>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</si>
  <si>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</si>
  <si>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</si>
  <si>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</si>
  <si>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</si>
  <si>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</si>
  <si>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</si>
  <si>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</si>
  <si>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</si>
  <si>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</si>
  <si>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</si>
  <si>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</si>
  <si>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</si>
  <si>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</si>
  <si>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</si>
  <si>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</si>
  <si>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</si>
  <si>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</si>
  <si>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</si>
  <si>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</si>
  <si>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</si>
  <si>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</si>
  <si>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</si>
  <si>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</si>
  <si>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</si>
  <si>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</si>
  <si>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</si>
  <si>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</si>
  <si>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</si>
  <si>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</si>
  <si>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</si>
  <si>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</si>
  <si>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</si>
  <si>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</si>
  <si>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</si>
  <si>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</si>
  <si>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</si>
  <si>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</si>
  <si>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</si>
  <si>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</si>
  <si>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</si>
  <si>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</si>
  <si>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</si>
  <si>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</si>
  <si>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</si>
  <si>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</si>
  <si>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</si>
  <si>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</si>
  <si>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</si>
  <si>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</si>
  <si>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</si>
  <si>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</si>
  <si>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</si>
  <si>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</si>
  <si>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</si>
  <si>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</si>
  <si>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</si>
  <si>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</si>
  <si>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</si>
  <si>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</si>
  <si>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</si>
  <si>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</si>
  <si>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</si>
  <si>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</si>
  <si>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</si>
  <si>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</si>
  <si>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</si>
  <si>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</si>
  <si>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</si>
  <si>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</si>
  <si>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</si>
  <si>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</si>
  <si>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</si>
  <si>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</si>
  <si>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</si>
  <si>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</si>
  <si>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</si>
  <si>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</si>
  <si>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</si>
  <si>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</si>
  <si>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</si>
  <si>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</si>
  <si>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</si>
  <si>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</si>
  <si>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</si>
  <si>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</si>
  <si>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</si>
  <si>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</si>
  <si>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</si>
  <si>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</si>
  <si>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</si>
  <si>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</si>
  <si>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</si>
  <si>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</si>
  <si>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</si>
  <si>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</si>
  <si>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</si>
  <si>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</si>
  <si>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</si>
  <si>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</si>
  <si>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</si>
  <si>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</si>
  <si>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</si>
  <si>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</si>
  <si>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</si>
  <si>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</si>
  <si>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</si>
  <si>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</si>
  <si>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</si>
  <si>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</si>
  <si>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</si>
  <si>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</si>
  <si>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</si>
  <si>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</si>
  <si>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</si>
  <si>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</si>
  <si>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</si>
  <si>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</si>
  <si>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</si>
  <si>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</si>
  <si>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</si>
  <si>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</si>
  <si>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</si>
  <si>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</si>
  <si>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</si>
  <si>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</si>
  <si>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</si>
  <si>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</si>
  <si>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</si>
  <si>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</si>
  <si>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</si>
  <si>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</si>
  <si>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</si>
  <si>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</si>
  <si>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</si>
  <si>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</si>
  <si>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</si>
  <si>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</si>
  <si>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</si>
  <si>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</si>
  <si>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</si>
  <si>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</si>
  <si>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</si>
  <si>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</si>
  <si>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</si>
  <si>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</si>
  <si>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</si>
  <si>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</si>
  <si>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</si>
  <si>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</si>
  <si>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</si>
  <si>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</si>
  <si>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</si>
  <si>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</si>
  <si>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</si>
  <si>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</si>
  <si>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</si>
  <si>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</si>
  <si>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</si>
  <si>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</si>
  <si>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</si>
  <si>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</si>
  <si>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</si>
  <si>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</si>
  <si>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</si>
  <si>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</si>
  <si>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</si>
  <si>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</si>
  <si>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</si>
  <si>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</si>
  <si>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</si>
  <si>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</si>
  <si>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</si>
  <si>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</si>
  <si>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</si>
  <si>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</si>
  <si>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</si>
  <si>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</si>
  <si>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</si>
  <si>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</si>
  <si>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</si>
  <si>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</si>
  <si>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</si>
  <si>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</si>
  <si>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</si>
  <si>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</si>
  <si>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</si>
  <si>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</si>
  <si>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</si>
  <si>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</si>
  <si>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</si>
  <si>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</si>
  <si>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</si>
  <si>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</si>
  <si>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</si>
  <si>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</si>
  <si>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</si>
  <si>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</si>
  <si>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</si>
  <si>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</si>
  <si>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</si>
  <si>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</si>
  <si>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</si>
  <si>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</si>
  <si>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</si>
  <si>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</si>
  <si>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</si>
  <si>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</si>
  <si>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</si>
  <si>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</si>
  <si>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</si>
  <si>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</si>
  <si>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</si>
  <si>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</si>
  <si>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</si>
  <si>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</si>
  <si>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</si>
  <si>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</si>
  <si>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</si>
  <si>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</si>
  <si>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</si>
  <si>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</si>
  <si>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</si>
  <si>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</si>
  <si>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</si>
  <si>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</si>
  <si>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</si>
  <si>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</si>
  <si>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</si>
  <si>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</si>
  <si>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</si>
  <si>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</si>
  <si>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</si>
  <si>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</si>
  <si>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</si>
  <si>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</si>
  <si>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</si>
  <si>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</si>
  <si>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</si>
  <si>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</si>
  <si>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</si>
  <si>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</si>
  <si>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</si>
  <si>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</si>
  <si>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</si>
  <si>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</si>
  <si>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</si>
  <si>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</si>
  <si>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</si>
  <si>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</si>
  <si>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</si>
  <si>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</si>
  <si>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</si>
  <si>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</si>
  <si>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</si>
  <si>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</si>
  <si>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</si>
  <si>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</si>
  <si>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</si>
  <si>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</si>
  <si>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</si>
  <si>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</si>
  <si>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</si>
  <si>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</si>
  <si>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</si>
  <si>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</si>
  <si>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</si>
  <si>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</si>
  <si>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</si>
  <si>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</si>
  <si>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</si>
  <si>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</si>
  <si>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</si>
  <si>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</si>
  <si>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</si>
  <si>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</si>
  <si>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</si>
  <si>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</si>
  <si>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</si>
  <si>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</si>
  <si>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</si>
  <si>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</si>
  <si>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</si>
  <si>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</si>
  <si>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</si>
  <si>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</si>
  <si>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</si>
  <si>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</si>
  <si>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</si>
  <si>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</si>
  <si>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</si>
  <si>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</si>
  <si>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</si>
  <si>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</si>
  <si>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</si>
  <si>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</si>
  <si>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</si>
  <si>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</si>
  <si>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</si>
  <si>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</si>
  <si>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</si>
  <si>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</si>
  <si>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</si>
  <si>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</si>
  <si>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</si>
  <si>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</si>
  <si>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</si>
  <si>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</si>
  <si>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</si>
  <si>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</si>
  <si>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</si>
  <si>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</si>
  <si>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</si>
  <si>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</si>
  <si>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</si>
  <si>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</si>
  <si>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</si>
  <si>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</si>
  <si>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</si>
  <si>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</si>
  <si>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</si>
  <si>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</si>
  <si>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</si>
  <si>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</si>
  <si>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</si>
  <si>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</si>
  <si>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</si>
  <si>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</si>
  <si>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</si>
  <si>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</si>
  <si>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</si>
  <si>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</si>
  <si>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</si>
  <si>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</si>
  <si>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</si>
  <si>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</si>
  <si>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</si>
  <si>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</si>
  <si>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</si>
  <si>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</si>
  <si>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</si>
  <si>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</si>
  <si>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划拨</t>
  </si>
  <si>
    <t>地上</t>
  </si>
  <si>
    <t>是</t>
  </si>
  <si>
    <t>成新度</t>
  </si>
  <si>
    <t>估价对象容积率</t>
  </si>
  <si>
    <t>与级别开发程度不一致</t>
  </si>
  <si>
    <t>通上水</t>
  </si>
  <si>
    <t>通下水</t>
  </si>
  <si>
    <t>通电</t>
  </si>
  <si>
    <t>通讯</t>
  </si>
  <si>
    <t>通路</t>
  </si>
  <si>
    <t>平整</t>
  </si>
  <si>
    <t>按公示增长率计算</t>
  </si>
  <si>
    <t>中心城区</t>
  </si>
  <si>
    <t>较好</t>
  </si>
  <si>
    <t>一般</t>
  </si>
  <si>
    <t>较差</t>
  </si>
  <si>
    <t>好</t>
  </si>
  <si>
    <t>仓储</t>
    <phoneticPr fontId="7" type="noConversion"/>
  </si>
  <si>
    <t>已包含在土地取得成本中</t>
  </si>
  <si>
    <t>未包含在土地购买价格中</t>
  </si>
  <si>
    <t>序号</t>
  </si>
  <si>
    <t>项目</t>
  </si>
  <si>
    <t>测算值</t>
  </si>
  <si>
    <r>
      <rPr>
        <sz val="10"/>
        <color rgb="FF000000"/>
        <rFont val="宋体"/>
        <family val="3"/>
        <charset val="134"/>
      </rPr>
      <t>说明</t>
    </r>
  </si>
  <si>
    <t>折旧及摊销成本（万元）</t>
  </si>
  <si>
    <t>运营费用（万元）</t>
  </si>
  <si>
    <t>2=2.1+2.2+2.3</t>
  </si>
  <si>
    <t>维修费（万元）</t>
  </si>
  <si>
    <t>保险费（万元）</t>
  </si>
  <si>
    <t>物业费（万元）</t>
  </si>
  <si>
    <r>
      <rPr>
        <sz val="10"/>
        <color rgb="FF000000"/>
        <rFont val="宋体"/>
        <family val="3"/>
        <charset val="134"/>
      </rPr>
      <t>该项目为公租房，根据不动产权利人提供的《物业服务合同》及介绍，物业费水平为</t>
    </r>
    <r>
      <rPr>
        <sz val="10"/>
        <color rgb="FF000000"/>
        <rFont val="Arial"/>
        <family val="2"/>
      </rPr>
      <t>4</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4×77947.76×12÷10000=374.15</t>
    </r>
    <r>
      <rPr>
        <sz val="10"/>
        <color rgb="FF000000"/>
        <rFont val="宋体"/>
        <family val="3"/>
        <charset val="134"/>
      </rPr>
      <t>万元。</t>
    </r>
    <phoneticPr fontId="273" type="noConversion"/>
  </si>
  <si>
    <t>管理成本（万元）</t>
  </si>
  <si>
    <t>3=3.1+3.2+3.3</t>
  </si>
  <si>
    <t>管理费（万元）</t>
  </si>
  <si>
    <t>利息（万元）</t>
  </si>
  <si>
    <t>利润（万元）</t>
  </si>
  <si>
    <t>年成本收益（万元）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</si>
  <si>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</si>
  <si>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</si>
  <si>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指运营管理机构人员、办公等的正常开支费用，参考同类项目测算，按年租金成本收益的 5%测算，即XX×12×77947.76×5%÷10000=233.84万元。</t>
    <phoneticPr fontId="273" type="noConversion"/>
  </si>
  <si>
    <t>基数为折旧摊销成本、没有其他费用和利息</t>
    <phoneticPr fontId="273" type="noConversion"/>
  </si>
  <si>
    <t>项目总建面</t>
    <phoneticPr fontId="134" type="noConversion"/>
  </si>
  <si>
    <r>
      <rPr>
        <sz val="10"/>
        <rFont val="宋体"/>
        <family val="3"/>
        <charset val="134"/>
      </rPr>
      <t>总建造成本为</t>
    </r>
    <r>
      <rPr>
        <sz val="10"/>
        <rFont val="Arial"/>
        <family val="2"/>
      </rPr>
      <t>10975.75</t>
    </r>
    <r>
      <rPr>
        <sz val="10"/>
        <rFont val="宋体"/>
        <family val="3"/>
        <charset val="134"/>
      </rPr>
      <t>万元。该项目为钢混结构，非生产用房经济耐用年限为</t>
    </r>
    <r>
      <rPr>
        <sz val="10"/>
        <rFont val="Arial"/>
        <family val="2"/>
      </rPr>
      <t xml:space="preserve">50 </t>
    </r>
    <r>
      <rPr>
        <sz val="10"/>
        <rFont val="宋体"/>
        <family val="3"/>
        <charset val="134"/>
      </rPr>
      <t>年，</t>
    </r>
    <r>
      <rPr>
        <sz val="10"/>
        <rFont val="Arial"/>
        <family val="2"/>
      </rPr>
      <t>2016</t>
    </r>
    <r>
      <rPr>
        <sz val="10"/>
        <rFont val="宋体"/>
        <family val="3"/>
        <charset val="134"/>
      </rPr>
      <t>年建成，根据项目剩余经济耐用年限，将购置成本按直线法折算至每年。</t>
    </r>
    <phoneticPr fontId="273" type="noConversion"/>
  </si>
  <si>
    <r>
      <t>5=4÷</t>
    </r>
    <r>
      <rPr>
        <sz val="10"/>
        <color rgb="FF000000"/>
        <rFont val="宋体"/>
        <family val="3"/>
        <charset val="134"/>
      </rPr>
      <t>建筑面积</t>
    </r>
    <r>
      <rPr>
        <sz val="10"/>
        <color rgb="FF000000"/>
        <rFont val="Arial"/>
        <family val="2"/>
      </rPr>
      <t>÷12</t>
    </r>
    <r>
      <rPr>
        <sz val="10"/>
        <color rgb="FF000000"/>
        <rFont val="宋体"/>
        <family val="3"/>
        <charset val="134"/>
      </rPr>
      <t>个月</t>
    </r>
    <phoneticPr fontId="134" type="noConversion"/>
  </si>
  <si>
    <t>建安</t>
    <phoneticPr fontId="134"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</si>
  <si>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维修费为</t>
    </r>
    <r>
      <rPr>
        <sz val="10"/>
        <color rgb="FF000000"/>
        <rFont val="Arial"/>
        <family val="2"/>
      </rPr>
      <t>0.5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宋体"/>
        <family val="3"/>
        <charset val="134"/>
      </rPr>
      <t>。</t>
    </r>
    <phoneticPr fontId="273" type="noConversion"/>
  </si>
  <si>
    <r>
      <rPr>
        <sz val="10"/>
        <color rgb="FF000000"/>
        <rFont val="宋体"/>
        <family val="3"/>
        <charset val="134"/>
      </rPr>
      <t>指房屋产权人为使自己的房产避免意外损失而向保险公司支付的费用</t>
    </r>
    <r>
      <rPr>
        <sz val="10"/>
        <color rgb="FF000000"/>
        <rFont val="宋体"/>
        <family val="3"/>
        <charset val="134"/>
      </rPr>
      <t>。</t>
    </r>
    <phoneticPr fontId="273" type="noConversion"/>
  </si>
  <si>
    <t>确认实际是否存在贷款，无贷不计息</t>
    <phoneticPr fontId="134" type="noConversion"/>
  </si>
  <si>
    <t>无贷不计息</t>
    <phoneticPr fontId="134" type="noConversion"/>
  </si>
  <si>
    <t>位置</t>
    <phoneticPr fontId="134" type="noConversion"/>
  </si>
  <si>
    <t>土地用途</t>
    <phoneticPr fontId="134" type="noConversion"/>
  </si>
  <si>
    <t>土地类型</t>
    <phoneticPr fontId="134" type="noConversion"/>
  </si>
  <si>
    <t>面积</t>
    <phoneticPr fontId="134" type="noConversion"/>
  </si>
  <si>
    <t>租金</t>
    <phoneticPr fontId="134" type="noConversion"/>
  </si>
  <si>
    <t>备注</t>
    <phoneticPr fontId="134" type="noConversion"/>
  </si>
  <si>
    <t>丙二类</t>
    <phoneticPr fontId="134" type="noConversion"/>
  </si>
  <si>
    <t>后沙峪</t>
    <phoneticPr fontId="134" type="noConversion"/>
  </si>
  <si>
    <t>仓库</t>
    <phoneticPr fontId="134" type="noConversion"/>
  </si>
  <si>
    <t>2000-40000</t>
    <phoneticPr fontId="134" type="noConversion"/>
  </si>
  <si>
    <t>仓库、工业</t>
    <phoneticPr fontId="134" type="noConversion"/>
  </si>
  <si>
    <t>国有</t>
    <phoneticPr fontId="134" type="noConversion"/>
  </si>
  <si>
    <t>https://bj.58.com/fangchan/82742185103965x.shtml?utm_source=market&amp;prd=x0NAXiR1wlSETnm4cICGeqFIkmFTYpQOs%2FD1vjH0i6w%3D&amp;houseId=3991157049252867&amp;urlParamsMap=3053230614D404344D306BF57F032E991EE4926AE895E610298291E46A460E916D20F94F99757863154E927CF1EE0D5A6374BE53D48460C5E44A365FD54CEC92572044C96712FC9E60BE97CD9AF43FE5AE8AB0BFEE5C8FB276DC035C06AD30B13E4AF83B85BA7CEC84FD180BE7AECA1430DE6EF9CD5772F27439677B6BF73F6897541D511C5216D1B1B3AF6A4CA70F27DF1FBF186D12CF7937D276796A678591719B487E47196AD6834191D086998F7C&amp;gpos=5&amp;legourl=%2F%2Flegoclick.58.com%2Fjump%3Ftarget%3DszqBpB3draOWUvYfuh78uvPCmy3frjcLPjcQrjNQnjnOPWR3sMPCIAd_TyEVrjnkn1KBPWnVP1DkniYYnj0LsH--uWbVuAPhryNOryEknHPbTHNYn1DknW03P1bOn19dTED1rHbQnHNLnjEOnWNzrjmLTHnQPjmkTHnQPHTkTHD_nHmKnikvrjDkTHDLPWDzrj93rHN3rH0KPT7AEdqEEdqHyNwjgSyr98pcfdqniRPNgYGmTHDKnEDKsHDKsEDQrH0OnHDdrjc3rH9YrHNYrj9zTHmK0A7zmyd1n1NvrWc_0A7zmyd1nWT1rWD_Uy-6UbGGrWDznjTkg1bOrHbOrHbKnED1PyuBn1NkradBuj-hsHEYP1mVmyPBnadbPj9QmWmOmvuhn1bKnHbLrHDQPH9zrHT3rH9QPWNLrTDQrH0OnHDdrjcOnjmkPHn3n1m3TEDKTEDKsEDKTE7jpLIKy7IMigFfuAuDHhRAEY6YEN7M5HYKnHTvsWDzna3QnHm8nWTzTHTKnTDKnikQP97exEDQnjT1PTDQnjTYnj0vTHuhuHTvujuBsH7huyDVPAnQPBdBn1-hsHu-rHR-nWmvnjIWPTDKnTDKTHTKnikvrjDksjm3rjcKnE78IyQ_TyRWuhc3nAmQmHu6ujT3PvE&amp;referinfo=false&amp;spm=&amp;positionType=legojingxuanhouse&amp;lgtid_shangyetie=6fe06d6b-1fea-4c16-b39f-6e95e26607c4&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18</t>
    <phoneticPr fontId="134" type="noConversion"/>
  </si>
  <si>
    <t>丙二类</t>
    <phoneticPr fontId="134" type="noConversion"/>
  </si>
  <si>
    <t>https://bj.58.com/fangchan/84919213339485x.shtml?utm_source=market&amp;prd=x0NAXiR1wlSETnm4cICGemeAtlHq4cAwBVmqYmz0tG0%3D&amp;houseId=4269816663399432&amp;urlParamsMap=3053230614D404344D306BF57F032E991EE4926AE895E610298291E46A460E916D20F94F99757863B1AEE64029817A265E349128539ED5439E8119BC4E11FD85AD3DCFA25B4F1888996B16AE5017B581249BB70E338D2582740FAF213745C14191F4F0186690D402D7DD417F64AE99E077F00718F16EB7FF541E677040DA19533E6A319CE1FE75A6F05AB0F54B1C721AF372766926CBA4C9CE3A44320FC47E44719B487E47196AD658C38A57B04963B0&amp;gpos=4&amp;legotopurl=%2F%2Flegoclick.58.com%2Fjump%3Ftarget%3DszqBpB3draOWUvYfuh78uvPCmy3frjEOnHbznHn1n1bYrjR3sMPCIAd_TyEVnj9Quj91mhcVnWubnBYYPjcksyckrH9Vmv7huyndPWNQnWFhTHDkn1cvPHn3PWcLnjTQrEDKPjcvrH9QPWmvn1nOrHE1n9DkTHDknTDQsjDvTHD_PW9QnTDQP1mQnW93rjnYPHc3THEKPH9VUA-1IZGbsXyR68i3h8y0_rilGkDQTHDKTiYQTiYKnHbLPWDLrHELP1TOnWn1rH0QnkDvTgK60h7V01ndPWCzsZK60h7V01ckn1CQsA-1Rh-krWDKnEDOPhm1ujRbniYzmhcQsHELuHmVmWPBriYzn1FhnAu-mWNknyDKnHbLPWDLrHELP1ckrH03rjEQPkDQrH0vnH0OPj0LnH9kPjEkPH0vTEDKTEDKsEDKTE7jpLIKy7IMigFfuAuDHhRAEY6YEN7M5HYKnHTvsWDzna3QnHm8nWTzTHTKnTDKnikQP97exEDQnjTKnHTknWbknTD3myN3rH6bmiY3uWb1sHE1uyNVrjEduaYQrHnOPyP6mhEOn1cKTHTKTEDkTHD_PW9QnakQrHE3n9DQTyOdUAkKuWK6P17-PHu6mvnQuhnQPT&amp;referinfo=false&amp;spm=&amp;positionType=legotophouse&amp;lgtid_shangyetie=8ae898da-8f93-43ee-845d-19395cabd932&amp;cocoTestType=coco_area_expand_test&amp;legoCocoTestType=coco_area_expand_test&amp;filterJson=eyJRVVlVIjpbeyJrZXkiOiIiLCJsYWJlbCI6IumhuuS5iSIsInZhbCI6InNodW55aSJ9XX0&amp;jx_abtest=ZWljX3N5ZGNfcGNfcmVjb21tZW5kX3Rlc3QscHRyX2ZhbmdfYnVkZ2V0X2JvdHRvbXwxLGNvY29fYXJlYV9leHBhbmRfdGVzdCx1c2VyX3BoYXNlX2w&amp;list_type=main&amp;PGTID=0d305770-0000-1269-5dd8-c19bd73ad94c&amp;ClickID=10</t>
    <phoneticPr fontId="134" type="noConversion"/>
  </si>
  <si>
    <t>层高</t>
    <phoneticPr fontId="134" type="noConversion"/>
  </si>
  <si>
    <t>南法信</t>
    <phoneticPr fontId="134" type="noConversion"/>
  </si>
  <si>
    <r>
      <t>1000</t>
    </r>
    <r>
      <rPr>
        <sz val="11"/>
        <color theme="1"/>
        <rFont val="宋体"/>
        <family val="3"/>
        <charset val="134"/>
        <scheme val="minor"/>
      </rPr>
      <t>-3000</t>
    </r>
    <phoneticPr fontId="134" type="noConversion"/>
  </si>
  <si>
    <t>【7图】丙二消防丨高标库丨可分租丨可生产丨高配置,北京顺义杨镇厂房/仓库/土地/车位出租-北京58同城</t>
  </si>
  <si>
    <t>杨镇</t>
    <phoneticPr fontId="134" type="noConversion"/>
  </si>
  <si>
    <t>国有</t>
    <phoneticPr fontId="134" type="noConversion"/>
  </si>
  <si>
    <r>
      <t>1</t>
    </r>
    <r>
      <rPr>
        <sz val="11"/>
        <color theme="1"/>
        <rFont val="宋体"/>
        <family val="3"/>
        <charset val="134"/>
        <scheme val="minor"/>
      </rPr>
      <t>000-60000</t>
    </r>
    <phoneticPr fontId="134" type="noConversion"/>
  </si>
  <si>
    <t>马坡</t>
    <phoneticPr fontId="134" type="noConversion"/>
  </si>
  <si>
    <r>
      <t>2</t>
    </r>
    <r>
      <rPr>
        <sz val="11"/>
        <color theme="1"/>
        <rFont val="宋体"/>
        <family val="3"/>
        <charset val="134"/>
        <scheme val="minor"/>
      </rPr>
      <t>000-20000</t>
    </r>
    <phoneticPr fontId="134" type="noConversion"/>
  </si>
  <si>
    <t>【9图】标准高台库2000平米起租丨价格低手续全丨可分租,北京顺义马坡厂房/仓库/土地/车位出租-北京58同城</t>
  </si>
  <si>
    <t>工业</t>
    <phoneticPr fontId="134" type="noConversion"/>
  </si>
  <si>
    <t>南彩镇</t>
    <phoneticPr fontId="134" type="noConversion"/>
  </si>
  <si>
    <r>
      <t>1</t>
    </r>
    <r>
      <rPr>
        <sz val="11"/>
        <color theme="1"/>
        <rFont val="宋体"/>
        <family val="3"/>
        <charset val="134"/>
        <scheme val="minor"/>
      </rPr>
      <t>000-13000</t>
    </r>
    <phoneticPr fontId="134" type="noConversion"/>
  </si>
  <si>
    <t>【8图】顺义营13000平高台库房出租 丙2设施可分租,北京顺义南彩厂房/仓库/土地/车位出租-北京58同城</t>
  </si>
  <si>
    <t>仓库</t>
    <phoneticPr fontId="134" type="noConversion"/>
  </si>
  <si>
    <t>比较法</t>
    <phoneticPr fontId="134" type="noConversion"/>
  </si>
  <si>
    <t>成本法</t>
    <phoneticPr fontId="134" type="noConversion"/>
  </si>
  <si>
    <t>方法</t>
    <phoneticPr fontId="134" type="noConversion"/>
  </si>
  <si>
    <t>单价</t>
    <phoneticPr fontId="134" type="noConversion"/>
  </si>
  <si>
    <t>权重</t>
    <phoneticPr fontId="134" type="noConversion"/>
  </si>
  <si>
    <t>单价</t>
    <phoneticPr fontId="134" type="noConversion"/>
  </si>
  <si>
    <t>仓储</t>
    <phoneticPr fontId="31" type="noConversion"/>
  </si>
  <si>
    <t>层高</t>
    <phoneticPr fontId="31" type="noConversion"/>
  </si>
  <si>
    <t>丙二类</t>
    <phoneticPr fontId="31" type="noConversion"/>
  </si>
  <si>
    <t>多层</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</si>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</sst>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name val="等线"/>
      <family val="3"/>
      <charset val="134"/>
    </font>
    <font>
      <sz val="11"/>
      <color rgb="FF000000"/>
      <name val="等线"/>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43" fontId="274" fillId="0" borderId="0" applyFont="0" applyFill="0" applyBorder="0" applyAlignment="0" applyProtection="0">
      <alignment vertical="center"/>
    </xf>
    <xf numFmtId="0" fontId="274" fillId="0" borderId="0"/>
    <xf numFmtId="0" fontId="275" fillId="0" borderId="0" applyNumberFormat="0" applyFill="0" applyBorder="0" applyAlignment="0" applyProtection="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63" fillId="0" borderId="1" xfId="1" applyFont="1" applyBorder="1" applyAlignment="1">
      <alignment horizontal="center" vertical="center" wrapText="1"/>
    </xf>
    <xf numFmtId="0" fontId="164" fillId="0" borderId="1" xfId="1" applyFont="1" applyBorder="1" applyAlignment="1">
      <alignment horizontal="center" vertical="center" wrapText="1"/>
    </xf>
    <xf numFmtId="179" fontId="164" fillId="0" borderId="1" xfId="1" applyNumberFormat="1" applyFont="1" applyBorder="1" applyAlignment="1">
      <alignment horizontal="center" vertical="center" wrapText="1"/>
    </xf>
    <xf numFmtId="0" fontId="53" fillId="0" borderId="1" xfId="1" applyFont="1" applyBorder="1" applyAlignment="1">
      <alignment horizontal="center" vertical="center" wrapText="1"/>
    </xf>
    <xf numFmtId="0" fontId="163" fillId="7" borderId="1" xfId="1" applyFont="1" applyFill="1" applyBorder="1" applyAlignment="1">
      <alignment horizontal="center" vertical="center" wrapText="1"/>
    </xf>
    <xf numFmtId="2" fontId="164" fillId="0" borderId="1" xfId="1" applyNumberFormat="1" applyFont="1" applyBorder="1" applyAlignment="1">
      <alignment horizontal="center" vertical="center" wrapText="1"/>
    </xf>
    <xf numFmtId="0" fontId="163" fillId="0" borderId="1" xfId="1" applyFont="1" applyFill="1" applyBorder="1" applyAlignment="1">
      <alignment horizontal="center" vertical="center" wrapText="1"/>
    </xf>
    <xf numFmtId="0" fontId="164" fillId="0" borderId="1" xfId="1" applyFont="1" applyFill="1" applyBorder="1" applyAlignment="1">
      <alignment horizontal="center" vertical="center" wrapText="1"/>
    </xf>
    <xf numFmtId="176" fontId="164" fillId="0" borderId="1" xfId="1" applyNumberFormat="1" applyFont="1" applyBorder="1" applyAlignment="1">
      <alignment horizontal="center" vertical="center" wrapText="1"/>
    </xf>
    <xf numFmtId="0" fontId="95" fillId="0" borderId="0" xfId="1">
      <alignment vertical="center"/>
    </xf>
    <xf numFmtId="0" fontId="95" fillId="0" borderId="1" xfId="19" applyBorder="1"/>
    <xf numFmtId="2" fontId="95" fillId="0" borderId="0" xfId="1" applyNumberFormat="1">
      <alignment vertical="center"/>
    </xf>
    <xf numFmtId="179" fontId="95" fillId="0" borderId="0" xfId="1" applyNumberFormat="1">
      <alignment vertical="center"/>
    </xf>
    <xf numFmtId="10" fontId="272" fillId="0" borderId="0" xfId="1" applyNumberFormat="1" applyFont="1">
      <alignment vertical="center"/>
    </xf>
    <xf numFmtId="10" fontId="95" fillId="0" borderId="0" xfId="1" applyNumberFormat="1">
      <alignment vertical="center"/>
    </xf>
    <xf numFmtId="0" fontId="272" fillId="0" borderId="0" xfId="1" applyFont="1" applyAlignment="1">
      <alignment vertical="center" wrapText="1"/>
    </xf>
    <xf numFmtId="0" fontId="95" fillId="0" borderId="0" xfId="19"/>
    <xf numFmtId="9" fontId="95" fillId="0" borderId="0" xfId="1" applyNumberFormat="1">
      <alignment vertical="center"/>
    </xf>
    <xf numFmtId="0" fontId="95" fillId="0" borderId="0" xfId="0" applyFont="1" applyAlignment="1">
      <alignment horizontal="center" vertical="center"/>
    </xf>
    <xf numFmtId="0" fontId="95" fillId="0" borderId="0" xfId="0" applyFont="1">
      <alignment vertical="center"/>
    </xf>
    <xf numFmtId="0" fontId="0" fillId="0" borderId="0" xfId="0" applyAlignment="1">
      <alignment horizontal="center" vertical="center"/>
    </xf>
    <xf numFmtId="0" fontId="275" fillId="0" borderId="0" xfId="22">
      <alignment vertical="center"/>
    </xf>
    <xf numFmtId="0" fontId="95" fillId="5" borderId="0" xfId="0" applyFont="1" applyFill="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cellXfs>
  <cellStyles count="23">
    <cellStyle name="百分比" xfId="17" builtinId="5"/>
    <cellStyle name="百分比 2" xfId="14"/>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超链接" xfId="22" builtinId="8"/>
    <cellStyle name="千位分隔 2" xfId="2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10571</xdr:colOff>
      <xdr:row>25</xdr:row>
      <xdr:rowOff>99060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80160"/>
          <a:ext cx="5870351" cy="339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293621</xdr:colOff>
      <xdr:row>11</xdr:row>
      <xdr:rowOff>148320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3951220" cy="2160000"/>
        </a:xfrm>
        <a:prstGeom prst="rect">
          <a:avLst/>
        </a:prstGeom>
      </xdr:spPr>
    </xdr:pic>
    <xdr:clientData/>
  </xdr:twoCellAnchor>
  <xdr:twoCellAnchor editAs="oneCell">
    <xdr:from>
      <xdr:col>0</xdr:col>
      <xdr:colOff>0</xdr:colOff>
      <xdr:row>12</xdr:row>
      <xdr:rowOff>7620</xdr:rowOff>
    </xdr:from>
    <xdr:to>
      <xdr:col>14</xdr:col>
      <xdr:colOff>220464</xdr:colOff>
      <xdr:row>31</xdr:row>
      <xdr:rowOff>132900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2180"/>
          <a:ext cx="8754864"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253;&#21578;&#20204;/&#20445;&#38556;&#24615;&#20303;&#25151;/&#20844;&#31199;&#25151;/2025-1-0609&#21271;&#20140;&#24066;&#23494;&#20113;&#21306;&#31185;&#25216;&#36335;&#30002;16&#21495;&#38498;/F02&#19987;&#23478;&#24847;&#35265;&#20462;&#25913;/&#27979;&#31639;&#8212;&#8212;&#23494;&#20113;&#65288;&#19987;&#23478;&#24847;&#3526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源表"/>
      <sheetName val="Sheet3"/>
      <sheetName val="Sheet4"/>
      <sheetName val="房源整理"/>
      <sheetName val="Sheet1"/>
      <sheetName val="标准房"/>
      <sheetName val="6.23更新房源表按照实测面积"/>
      <sheetName val="新标准房"/>
      <sheetName val="面积"/>
      <sheetName val="表"/>
      <sheetName val="Sheet2"/>
      <sheetName val="测算表"/>
      <sheetName val="成本分析"/>
      <sheetName val="案例汇总"/>
      <sheetName val="案例汇总 -月"/>
      <sheetName val="汇总"/>
      <sheetName val="中指"/>
      <sheetName val="城研"/>
      <sheetName val="市场"/>
      <sheetName val="城研数据"/>
      <sheetName val="城研整理"/>
      <sheetName val="贝壳数据"/>
      <sheetName val="中指数据"/>
      <sheetName val="中指整理"/>
      <sheetName val="房源信息表-西山印"/>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TargetMode="External"/><Relationship Id="rId2" Type="http://schemas.openxmlformats.org/officeDocument/2006/relationships/hyperlink" Target="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TargetMode="External"/><Relationship Id="rId1" Type="http://schemas.openxmlformats.org/officeDocument/2006/relationships/hyperlink" Target="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估价对象为房地产，为所有。根据《国有土地使用证》[]，估价对象（分摊）出让国有建设用地使用权面积为6666.7平方米，建筑面积为16683.08平方米。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估价对象为房地产,属开发建设的，该项目尚在开发建设中。根据《国有土地使用证》[]，估价对象（分摊）出让国有建设用地使用权面积为6666.7平方米，规划建筑面积为16683.08平方米。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2025年10月22日（评估专业人员实地查勘之日）</v>
      </c>
    </row>
    <row r="13" spans="1:2" s="1203" customFormat="1">
      <c r="A13" s="1201" t="s">
        <v>529</v>
      </c>
      <c r="B13" s="1202" t="str">
        <f>'预评函-1'!A18</f>
        <v>本次估价的“房地产价值”是指在正常市场情况下，在价值时点2025年10月22日，估价对象规划用途为，土地取得方式为划拨，假定未设立法定优先受偿款下的房地产市场价值。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16683.080000000002</v>
      </c>
    </row>
    <row r="44" spans="1:2" s="1203" customFormat="1" ht="31.2">
      <c r="A44" s="1201" t="s">
        <v>575</v>
      </c>
      <c r="B44" s="1202" t="str">
        <f>'预评函-3'!C2</f>
        <v>(分摊)土地面积</v>
      </c>
    </row>
    <row r="45" spans="1:2" s="1203" customFormat="1">
      <c r="A45" s="1201" t="s">
        <v>547</v>
      </c>
      <c r="B45" s="1202">
        <f>'预评函-3'!C4</f>
        <v>6666.7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45952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1.1499999999999999</v>
      </c>
      <c r="D5" s="3025">
        <f>IF(ISERROR(ROUND(POWER(1+E5,A5-C5)*(POWER(1+E5,C5)-1)/(POWER(1+E5,A5)-1),3)),0,ROUND(POWER(1+E5,A5-C5)*(POWER(1+E5,C5)-1)/(POWER(1+E5,A5)-1),4))</f>
        <v>5.57E-2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11.16</v>
      </c>
      <c r="D6" s="3025">
        <f>IF(ISERROR(ROUND(POWER(1+E6,A6-C6)*(POWER(1+E6,C6)-1)/(POWER(1+E6,A6)-1),3)),0,ROUND(POWER(1+E6,A6-C6)*(POWER(1+E6,C6)-1)/(POWER(1+E6,A6)-1),4))</f>
        <v>0.41249999999999998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8" t="str">
        <f>IF(B10="北京市","北京市",C10)&amp;F10&amp;IF(结果表!G1="在建","出让国有建设用地使用权及在建建筑物",IF(结果表!G1="土地","出让国有建设用地使用权",))&amp;B9&amp;"预评估"</f>
        <v>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f>D3</f>
        <v>45952</v>
      </c>
      <c r="C3" s="2374" t="s">
        <v>2171</v>
      </c>
      <c r="D3" s="2373">
        <v>45952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1" t="s">
        <v>2177</v>
      </c>
      <c r="E8" s="2391"/>
      <c r="F8" s="2392"/>
      <c r="G8" s="2663"/>
      <c r="H8" s="2663"/>
      <c r="I8" s="2663"/>
      <c r="J8" s="2439"/>
      <c r="K8" s="2614"/>
      <c r="L8" s="2613"/>
      <c r="M8" s="2613"/>
      <c r="N8" s="2439"/>
      <c r="O8" s="2450"/>
      <c r="P8" s="2439"/>
      <c r="Q8" s="2439"/>
      <c r="R8" s="2439"/>
    </row>
    <row r="9" spans="1:30" ht="13.8" thickBot="1">
      <c r="A9" s="2393" t="s">
        <v>2178</v>
      </c>
      <c r="B9" s="2394"/>
      <c r="C9" s="2395"/>
      <c r="D9" s="3532"/>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3416</v>
      </c>
      <c r="B13" s="2407" t="s">
        <v>2190</v>
      </c>
      <c r="C13" s="856"/>
      <c r="D13" s="856"/>
      <c r="E13" s="856"/>
      <c r="F13" s="856"/>
      <c r="G13" s="856">
        <v>64194</v>
      </c>
      <c r="H13" s="856"/>
      <c r="I13" s="856"/>
      <c r="J13" s="3062"/>
      <c r="K13" s="2613"/>
      <c r="L13" s="2613"/>
      <c r="M13" s="2439"/>
      <c r="N13" s="2450"/>
      <c r="O13" s="2439"/>
      <c r="P13" s="2439"/>
      <c r="Q13" s="2439"/>
      <c r="AD13" s="1745"/>
    </row>
    <row r="14" spans="1:30">
      <c r="A14" s="1081"/>
      <c r="B14" s="2407" t="s">
        <v>2191</v>
      </c>
      <c r="C14" s="2408"/>
      <c r="D14" s="2408"/>
      <c r="E14" s="2408"/>
      <c r="F14" s="2408"/>
      <c r="G14" s="2408">
        <v>50</v>
      </c>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50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16683.080000000002</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6666.7</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264</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6666.7</v>
      </c>
      <c r="B3" s="11">
        <f>IF(C3="否",G5-AT5,G5)</f>
        <v>16683.080000000002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16683.080000000002</v>
      </c>
      <c r="H5" s="13">
        <f t="shared" ref="H5:AT5" si="0">SUM(H13:H656)</f>
        <v>16683.080000000002</v>
      </c>
      <c r="I5" s="13">
        <f t="shared" si="0"/>
        <v>16683.080000000002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16683.080000000002</v>
      </c>
      <c r="BA5" s="15">
        <f t="shared" si="1"/>
        <v>16683.080000000002</v>
      </c>
      <c r="BB5" s="15">
        <f t="shared" si="1"/>
        <v>16683.080000000002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6666.7</v>
      </c>
      <c r="F6" s="13" t="s">
        <v>0</v>
      </c>
      <c r="G6" s="13" t="s">
        <v>1</v>
      </c>
      <c r="H6" s="17">
        <f>SUMIF(I$12:AB$12,"总值",I6:AB6)</f>
        <v>6666.7</v>
      </c>
      <c r="I6" s="13">
        <f t="shared" ref="I6:AB6" si="2">ROUND($A$3*I5/$B$3,2)</f>
        <v>6666.7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6666.7</v>
      </c>
      <c r="AZ6" s="13" t="s">
        <v>2</v>
      </c>
      <c r="BA6" s="13">
        <f>ROUND($AY$6*BA5/$AZ$5,2)</f>
        <v>6666.7</v>
      </c>
      <c r="BB6" s="13">
        <f>ROUND($AY$6*BB5/$AZ$5,2)</f>
        <v>6666.7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3418</v>
      </c>
      <c r="E13" s="13">
        <f>IF($C$3="是",ROUND($A$3*G13/$B$3,2),ROUND($A$3*(G13-AT13)/$B$3,2))</f>
        <v>6666.7</v>
      </c>
      <c r="F13" s="29"/>
      <c r="G13" s="30">
        <f>H13+AC13+AT13</f>
        <v>16683.080000000002</v>
      </c>
      <c r="H13" s="17">
        <f>SUMIF(I$12:AB$12,"总值",I13:AB13)</f>
        <v>16683.080000000002</v>
      </c>
      <c r="I13" s="1626">
        <v>16683.080000000002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6666.7</v>
      </c>
      <c r="AZ13" s="13">
        <f>BA13+BL13</f>
        <v>16683.080000000002</v>
      </c>
      <c r="BA13" s="13">
        <f>SUM(BB13:BK13)</f>
        <v>16683.080000000002</v>
      </c>
      <c r="BB13" s="13">
        <f>IF($D13="是",I13-J13,0)</f>
        <v>16683.080000000002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6666.7</v>
      </c>
      <c r="E3" s="43">
        <f>'数据-基础表'!AZ5</f>
        <v>16683.080000000002</v>
      </c>
      <c r="F3" s="2659"/>
      <c r="G3" s="1145"/>
      <c r="H3" s="1026" t="s">
        <v>1106</v>
      </c>
      <c r="I3" s="855">
        <f>ROUND('数据-基础表'!B3/'数据-基础表'!A3,2)</f>
        <v>2.5</v>
      </c>
      <c r="J3" s="2659"/>
      <c r="K3" s="2659"/>
      <c r="L3" s="2659"/>
      <c r="M3" s="2659"/>
      <c r="N3" s="2661"/>
      <c r="O3" s="2659"/>
      <c r="P3" s="2659"/>
    </row>
    <row r="4" spans="1:16" ht="14.4">
      <c r="A4" s="3561"/>
      <c r="B4" s="3562"/>
      <c r="C4" s="3563"/>
      <c r="D4" s="1641" t="s">
        <v>1107</v>
      </c>
      <c r="E4" s="1642" t="s">
        <v>1108</v>
      </c>
      <c r="F4" s="2659"/>
      <c r="G4" s="2652" t="s">
        <v>1133</v>
      </c>
      <c r="H4" s="1026" t="s">
        <v>1113</v>
      </c>
      <c r="I4" s="855">
        <f>ROUND(SUMIF('数据-基础表'!I9:AS9,"地上",'数据-基础表'!I5:AS5)/'数据-基础表'!A3,2)</f>
        <v>2.5</v>
      </c>
      <c r="J4" s="2659"/>
      <c r="K4" s="2659"/>
      <c r="L4" s="2659"/>
      <c r="M4" s="2659"/>
      <c r="N4" s="2661"/>
      <c r="O4" s="2659"/>
      <c r="P4" s="2659"/>
    </row>
    <row r="5" spans="1:16" ht="14.4">
      <c r="A5" s="44" t="s">
        <v>1109</v>
      </c>
      <c r="B5" s="3564" t="s">
        <v>1110</v>
      </c>
      <c r="C5" s="3564"/>
      <c r="D5" s="45">
        <f>ROUND($D$3*E5/$E$3,2)</f>
        <v>0</v>
      </c>
      <c r="E5" s="46">
        <f>SUMIF('数据-基础表'!$11:$11,"住宅",'数据-基础表'!$5:$5)</f>
        <v>0</v>
      </c>
      <c r="F5" s="2659"/>
      <c r="G5" s="1145"/>
      <c r="H5" s="1026" t="s">
        <v>1106</v>
      </c>
      <c r="I5" s="855">
        <f>ROUND(E31/D31,2)</f>
        <v>2.5</v>
      </c>
      <c r="J5" s="2659"/>
      <c r="K5" s="2659"/>
      <c r="L5" s="2659"/>
      <c r="M5" s="2659"/>
      <c r="N5" s="2659"/>
      <c r="O5" s="2659"/>
      <c r="P5" s="2659"/>
    </row>
    <row r="6" spans="1:16" ht="15" thickBot="1">
      <c r="A6" s="1644"/>
      <c r="B6" s="3564" t="s">
        <v>1111</v>
      </c>
      <c r="C6" s="3564"/>
      <c r="D6" s="45">
        <f>ROUND($D$3*E6/$E$3,2)</f>
        <v>6666.7</v>
      </c>
      <c r="E6" s="46">
        <f>E3-E5</f>
        <v>16683.080000000002</v>
      </c>
      <c r="F6" s="2659"/>
      <c r="G6" s="2653" t="s">
        <v>1112</v>
      </c>
      <c r="H6" s="1146" t="s">
        <v>1113</v>
      </c>
      <c r="I6" s="2654">
        <f>ROUND(F31/D31,2)</f>
        <v>2.5</v>
      </c>
      <c r="J6" s="2659"/>
      <c r="K6" s="2659"/>
      <c r="L6" s="2659"/>
      <c r="M6" s="2659"/>
      <c r="N6" s="2659"/>
      <c r="O6" s="2659"/>
      <c r="P6" s="2659"/>
    </row>
    <row r="7" spans="1:16" ht="15" thickBot="1">
      <c r="A7" s="3556"/>
      <c r="B7" s="3557"/>
      <c r="C7" s="355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6666.7</v>
      </c>
      <c r="E8" s="48">
        <f>SUMIF('数据-基础表'!BB10:BK10,"地上",'数据-基础表'!BB5:BK5)</f>
        <v>16683.080000000002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6666.7</v>
      </c>
      <c r="E16" s="50">
        <f>SUM(E8:E15)</f>
        <v>16683.080000000002</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3434</v>
      </c>
      <c r="D19" s="45">
        <f>ROUND($D$3*E19/$E$3,2)</f>
        <v>6666.7</v>
      </c>
      <c r="E19" s="53">
        <f t="shared" ref="E19:E26" si="1">SUM(F19:G19)</f>
        <v>16683.080000000002</v>
      </c>
      <c r="F19" s="2795">
        <f>'数据-基础表'!I13</f>
        <v>16683.080000000002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6666.7</v>
      </c>
      <c r="S19" s="1027">
        <f t="shared" si="5"/>
        <v>16683.080000000002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6666.7</v>
      </c>
      <c r="E27" s="1141">
        <f>IF(SUM(E19:E26)='数据-基础表'!BA5,SUM(E19:E26),IF(F27="地上面积有误","面积有误","地下面积有误"))</f>
        <v>16683.080000000002</v>
      </c>
      <c r="F27" s="1140">
        <f>IF(SUM(F19:F26)=E8,SUM(F19:F26),"地上面积有误")</f>
        <v>16683.080000000002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6666.7</v>
      </c>
      <c r="S27" s="1026">
        <f>IF(SUM(S19:S26)=$E$3,SUM(S19:S26),SUM(S19:S26)&amp;"误差"&amp;ROUND(SUM(S19:S26)-E3,2))</f>
        <v>16683.080000000002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6666.7</v>
      </c>
      <c r="E31" s="676">
        <f>E27+E30</f>
        <v>16683.080000000002</v>
      </c>
      <c r="F31" s="677">
        <f>F27+F30</f>
        <v>16683.080000000002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16683.080000000002</v>
      </c>
      <c r="L6" s="733">
        <v>3000</v>
      </c>
      <c r="M6" s="67">
        <f t="shared" ref="M6:M14" si="0">ROUND(K6*L6/10000,0)</f>
        <v>5005</v>
      </c>
      <c r="N6" s="731">
        <f>ROUND(1-(2025-N18)/60,2)</f>
        <v>0.85</v>
      </c>
      <c r="O6" s="67" t="str">
        <f>IF($N$5="成新度","——",ROUND(M6*N6,0))</f>
        <v>——</v>
      </c>
      <c r="P6" s="68" t="str">
        <f>IF($N$5="成新度","——",M6-O6)</f>
        <v>——</v>
      </c>
      <c r="Q6" s="734">
        <v>0.1</v>
      </c>
      <c r="R6" s="69">
        <f ca="1">SUMIF('数据-汇总表'!C$19:C$33,A6,'数据-汇总表'!R$19:R$27)</f>
        <v>6666.7</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v>365</v>
      </c>
      <c r="AJ6" s="77"/>
      <c r="AK6" s="78">
        <v>2E-3</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16683.080000000002</v>
      </c>
      <c r="L16" s="93">
        <f>ROUND(M16*10000/SUM(K6:K14),0)</f>
        <v>3000</v>
      </c>
      <c r="M16" s="93">
        <f>SUM(M6:M14)</f>
        <v>5005</v>
      </c>
      <c r="N16" s="94">
        <f>ROUND(SUMPRODUCT(M6:M14,N6:N14)/M16,3)</f>
        <v>0.85</v>
      </c>
      <c r="O16" s="93">
        <f>SUM(O6:O14)</f>
        <v>0</v>
      </c>
      <c r="P16" s="93">
        <f>SUM(P6:P14)</f>
        <v>0</v>
      </c>
      <c r="Q16" s="95">
        <f>ROUND(SUMPRODUCT(Q6:Q13,K6:K13)/SUMPRODUCT((Q6:Q13&gt;0)*(K6:K13)),2)</f>
        <v>0.1</v>
      </c>
      <c r="R16" s="1034">
        <f ca="1">SUM(R6:R13)</f>
        <v>6666.7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315</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315</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3.0599999999999999E-2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45952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t="e">
        <f>IF(E10="",0,ROUND(B1*(E10*365/G10)/10000,0))</f>
        <v>#DIV/0!</v>
      </c>
      <c r="C10" s="2512" t="s">
        <v>3353</v>
      </c>
      <c r="D10" s="2512" t="s">
        <v>3354</v>
      </c>
      <c r="E10" s="3441">
        <v>0.56000000000000005</v>
      </c>
      <c r="F10" s="3445" t="s">
        <v>3355</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E76" sqref="E76:H7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3.2">
      <c r="A3" s="3605" t="s">
        <v>1264</v>
      </c>
      <c r="B3" s="3606"/>
      <c r="C3" s="3606"/>
      <c r="D3" s="3606"/>
      <c r="E3" s="3606"/>
      <c r="F3" s="3606"/>
      <c r="G3" s="3606"/>
      <c r="H3" s="3606"/>
      <c r="I3" s="3606"/>
    </row>
    <row r="4" spans="1:12" ht="14.4">
      <c r="A4" s="1754" t="s">
        <v>1265</v>
      </c>
      <c r="B4" s="1755" t="s">
        <v>1266</v>
      </c>
      <c r="C4" s="1756"/>
      <c r="D4" s="1756"/>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1" t="s">
        <v>1268</v>
      </c>
      <c r="B5" s="3568">
        <v>25</v>
      </c>
      <c r="C5" s="3584"/>
      <c r="D5" s="3604"/>
      <c r="E5" s="131" t="s">
        <v>1269</v>
      </c>
      <c r="F5" s="1757"/>
      <c r="G5" s="1757"/>
      <c r="H5" s="1757"/>
      <c r="I5" s="1373"/>
    </row>
    <row r="6" spans="1:12" ht="13.2">
      <c r="A6" s="3581"/>
      <c r="B6" s="3568"/>
      <c r="C6" s="3585"/>
      <c r="D6" s="3604"/>
      <c r="E6" s="131" t="s">
        <v>1270</v>
      </c>
      <c r="F6" s="1757"/>
      <c r="G6" s="1757"/>
      <c r="H6" s="1757"/>
      <c r="I6" s="1373"/>
    </row>
    <row r="7" spans="1:12" ht="13.2">
      <c r="A7" s="3581"/>
      <c r="B7" s="3568"/>
      <c r="C7" s="3586"/>
      <c r="D7" s="3604"/>
      <c r="E7" s="131" t="s">
        <v>1271</v>
      </c>
      <c r="F7" s="1757"/>
      <c r="G7" s="1757"/>
      <c r="H7" s="1757"/>
      <c r="I7" s="1373"/>
    </row>
    <row r="8" spans="1:12" ht="13.2">
      <c r="A8" s="3581" t="s">
        <v>1272</v>
      </c>
      <c r="B8" s="3568">
        <v>15</v>
      </c>
      <c r="C8" s="3584"/>
      <c r="D8" s="3604"/>
      <c r="E8" s="131" t="s">
        <v>1273</v>
      </c>
      <c r="F8" s="1757"/>
      <c r="G8" s="1757"/>
      <c r="H8" s="1757"/>
      <c r="I8" s="1373"/>
    </row>
    <row r="9" spans="1:12" ht="13.2">
      <c r="A9" s="3581"/>
      <c r="B9" s="3568"/>
      <c r="C9" s="3586"/>
      <c r="D9" s="3604"/>
      <c r="E9" s="131" t="s">
        <v>1274</v>
      </c>
      <c r="F9" s="1757"/>
      <c r="G9" s="1757"/>
      <c r="H9" s="1757"/>
      <c r="I9" s="1373"/>
    </row>
    <row r="10" spans="1:12" ht="13.2">
      <c r="A10" s="3581" t="s">
        <v>1275</v>
      </c>
      <c r="B10" s="3568">
        <v>15</v>
      </c>
      <c r="C10" s="3584"/>
      <c r="D10" s="3604"/>
      <c r="E10" s="131" t="s">
        <v>1276</v>
      </c>
      <c r="F10" s="1757"/>
      <c r="G10" s="1757"/>
      <c r="H10" s="1757"/>
      <c r="I10" s="1373"/>
    </row>
    <row r="11" spans="1:12" ht="13.2">
      <c r="A11" s="3581"/>
      <c r="B11" s="3568"/>
      <c r="C11" s="3586"/>
      <c r="D11" s="3604"/>
      <c r="E11" s="131" t="s">
        <v>1277</v>
      </c>
      <c r="F11" s="1757"/>
      <c r="G11" s="1757"/>
      <c r="H11" s="1757"/>
      <c r="I11" s="1373"/>
    </row>
    <row r="12" spans="1:12" ht="13.2">
      <c r="A12" s="3581" t="s">
        <v>1278</v>
      </c>
      <c r="B12" s="3568">
        <v>15</v>
      </c>
      <c r="C12" s="3584"/>
      <c r="D12" s="3604"/>
      <c r="E12" s="131" t="s">
        <v>1279</v>
      </c>
      <c r="F12" s="1757"/>
      <c r="G12" s="1757"/>
      <c r="H12" s="1757"/>
      <c r="I12" s="1373"/>
    </row>
    <row r="13" spans="1:12" ht="13.2">
      <c r="A13" s="3581"/>
      <c r="B13" s="3568"/>
      <c r="C13" s="3586"/>
      <c r="D13" s="3604"/>
      <c r="E13" s="131" t="s">
        <v>1280</v>
      </c>
      <c r="F13" s="1757"/>
      <c r="G13" s="1757"/>
      <c r="H13" s="1757"/>
      <c r="I13" s="1373"/>
    </row>
    <row r="14" spans="1:12" ht="13.2">
      <c r="A14" s="3581" t="s">
        <v>1281</v>
      </c>
      <c r="B14" s="3568">
        <v>30</v>
      </c>
      <c r="C14" s="3584"/>
      <c r="D14" s="3604"/>
      <c r="E14" s="131" t="s">
        <v>1282</v>
      </c>
      <c r="F14" s="1757"/>
      <c r="G14" s="1757"/>
      <c r="H14" s="1757"/>
      <c r="I14" s="1373"/>
    </row>
    <row r="15" spans="1:12" ht="13.2">
      <c r="A15" s="3581"/>
      <c r="B15" s="3568"/>
      <c r="C15" s="3585"/>
      <c r="D15" s="3604"/>
      <c r="E15" s="131" t="s">
        <v>1283</v>
      </c>
      <c r="F15" s="1757"/>
      <c r="G15" s="1757"/>
      <c r="H15" s="1757"/>
      <c r="I15" s="1373"/>
    </row>
    <row r="16" spans="1:12" ht="13.2">
      <c r="A16" s="3581"/>
      <c r="B16" s="3568"/>
      <c r="C16" s="3586"/>
      <c r="D16" s="3604"/>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91" t="s">
        <v>2131</v>
      </c>
      <c r="F18" s="3592"/>
      <c r="G18" s="3592"/>
      <c r="H18" s="3592"/>
      <c r="I18" s="3592"/>
      <c r="K18" s="302" t="s">
        <v>1289</v>
      </c>
      <c r="L18" s="302">
        <f>IF(C1="",'数据-汇总表'!E3,SUMIF(项目类型,C1,'数据-汇总表'!E17:E26)+SUMIF(项目类型,C1,'数据-汇总表'!I17:I26))</f>
        <v>16683.080000000002</v>
      </c>
      <c r="M18" s="302">
        <f>IF(C1="",'数据-汇总表'!E3,SUMIF(项目类型,C1,'数据-汇总表'!E17:E26))</f>
        <v>16683.080000000002</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6666.7</v>
      </c>
      <c r="M19" s="302">
        <f>IF(C1="",'数据-汇总表'!D3,SUMIF(项目类型,C1,'数据-汇总表'!D17:D26))</f>
        <v>6666.7</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75" t="s">
        <v>1299</v>
      </c>
      <c r="B24" s="1762" t="s">
        <v>1291</v>
      </c>
      <c r="C24" s="136">
        <f>IF(B30=0,0,D30)</f>
        <v>0</v>
      </c>
      <c r="D24" s="1769"/>
      <c r="E24" s="129"/>
      <c r="F24" s="129"/>
      <c r="G24" s="129"/>
      <c r="H24" s="129"/>
      <c r="I24" s="129"/>
    </row>
    <row r="25" spans="1:36" ht="14.4">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5" t="s">
        <v>1312</v>
      </c>
      <c r="B36" s="1787" t="s">
        <v>1313</v>
      </c>
      <c r="C36" s="145"/>
      <c r="D36" s="1788"/>
      <c r="E36" s="1789"/>
      <c r="F36" s="1790"/>
      <c r="G36" s="129"/>
      <c r="H36" s="129"/>
      <c r="I36" s="129"/>
    </row>
    <row r="37" spans="1:15" ht="15" thickBot="1">
      <c r="A37" s="3596"/>
      <c r="B37" s="1674" t="s">
        <v>1314</v>
      </c>
      <c r="C37" s="147"/>
      <c r="D37" s="1139"/>
      <c r="E37" s="1139"/>
      <c r="F37" s="1790"/>
      <c r="G37" s="129"/>
      <c r="H37" s="129"/>
      <c r="I37" s="129"/>
    </row>
    <row r="38" spans="1:15" ht="15" thickBot="1">
      <c r="A38" s="359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45952</v>
      </c>
      <c r="N47" s="3652"/>
      <c r="O47" s="3652"/>
    </row>
    <row r="48" spans="1:15" ht="26.4">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399999999999999"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5.5000000000000007E-2</v>
      </c>
      <c r="G52" s="2555"/>
      <c r="H52" s="2544"/>
      <c r="I52" s="1807"/>
      <c r="J52" s="2523">
        <v>1</v>
      </c>
      <c r="K52" s="3632" t="s">
        <v>1355</v>
      </c>
      <c r="L52" s="3632"/>
      <c r="M52" s="2525" t="b">
        <f>D48</f>
        <v>0</v>
      </c>
      <c r="N52" s="2523" t="str">
        <f>E48</f>
        <v>销售额×税（费）率</v>
      </c>
      <c r="O52" s="2526">
        <f>F48</f>
        <v>5.5000000000000007E-2</v>
      </c>
    </row>
    <row r="53" spans="1:35" ht="12" customHeight="1">
      <c r="A53" s="2335" t="s">
        <v>1356</v>
      </c>
      <c r="B53" s="3593" t="s">
        <v>2291</v>
      </c>
      <c r="C53" s="3594"/>
      <c r="D53" s="1087" t="e">
        <f ca="1">ROUND(D45*'数据-取费表'!B41/(1+'数据-取费表'!C42),0)</f>
        <v>#REF!</v>
      </c>
      <c r="E53" s="2334" t="s">
        <v>1354</v>
      </c>
      <c r="F53" s="2554">
        <f>'数据-取费表'!B41</f>
        <v>5.5000000000000007E-2</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5.5000000000000007E-2</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t="e">
        <f ca="1">D59</f>
        <v>#REF!</v>
      </c>
      <c r="N55" s="2040" t="str">
        <f>E59</f>
        <v>差额计税</v>
      </c>
      <c r="O55" s="2529">
        <f>F59</f>
        <v>0.01</v>
      </c>
    </row>
    <row r="56" spans="1:35" ht="25.2">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3.2">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5.2">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6" thickBot="1">
      <c r="A59" s="3635" t="s">
        <v>1371</v>
      </c>
      <c r="B59" s="3636"/>
      <c r="C59" s="363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8"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3.2">
      <c r="A62" s="3598" t="s">
        <v>1375</v>
      </c>
      <c r="B62" s="359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f>C4</f>
        <v>0</v>
      </c>
      <c r="D101" s="2586">
        <f>D4</f>
        <v>0</v>
      </c>
      <c r="E101" s="3654" t="s">
        <v>1431</v>
      </c>
      <c r="F101" s="3611"/>
      <c r="G101" s="1827" t="s">
        <v>1432</v>
      </c>
      <c r="H101" s="2595" t="e">
        <f ca="1">H118</f>
        <v>#REF!</v>
      </c>
      <c r="I101" s="129"/>
    </row>
    <row r="102" spans="1:35" ht="18.75" customHeight="1">
      <c r="A102" s="3613" t="s">
        <v>1433</v>
      </c>
      <c r="B102" s="2584" t="s">
        <v>1432</v>
      </c>
      <c r="C102" s="2585" t="e">
        <f ca="1">IF(D32="楼面单价",ROUND(C19,0),C19)</f>
        <v>#REF!</v>
      </c>
      <c r="D102" s="2586" t="e">
        <f ca="1">IF(D32="楼面单价",ROUND(D19,0),D19)</f>
        <v>#REF!</v>
      </c>
      <c r="E102" s="3654"/>
      <c r="F102" s="3611"/>
      <c r="G102" s="1827" t="s">
        <v>1434</v>
      </c>
      <c r="H102" s="2555" t="e">
        <f ca="1">I118</f>
        <v>#REF!</v>
      </c>
      <c r="I102" s="129"/>
    </row>
    <row r="103" spans="1:35" ht="42.75" customHeight="1">
      <c r="A103" s="3613"/>
      <c r="B103" s="2584" t="s">
        <v>1434</v>
      </c>
      <c r="C103" s="2587" t="e">
        <f ca="1">C20</f>
        <v>#REF!</v>
      </c>
      <c r="D103" s="2588" t="e">
        <f ca="1">D20</f>
        <v>#REF!</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16683.080000000002</v>
      </c>
      <c r="C118" s="2329">
        <f>M19</f>
        <v>6666.7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62" sqref="M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334</v>
      </c>
      <c r="D10" s="845">
        <f ca="1">IF(B1="",'数据-汇总表'!E6,IF(INDIRECT("'数据-取费表'!c"&amp;$G$1)="住宅",INDIRECT("'数据-取费表'!s"&amp;$G$1),INDIRECT("'数据-取费表'!k"&amp;$G$1)+INDIRECT("'数据-取费表'!s"&amp;$G$1)))</f>
        <v>16683.080000000002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526</v>
      </c>
      <c r="D19" s="849">
        <f ca="1">D9+D10</f>
        <v>16683.080000000002</v>
      </c>
      <c r="E19" s="211">
        <f>'数据-取费表'!B31</f>
        <v>315</v>
      </c>
      <c r="F19" s="231"/>
      <c r="G19" s="1856"/>
    </row>
    <row r="20" spans="1:7" s="214" customFormat="1" ht="13.5" customHeight="1">
      <c r="A20" s="255" t="s">
        <v>1493</v>
      </c>
      <c r="B20" s="210" t="s">
        <v>1494</v>
      </c>
      <c r="C20" s="232">
        <f ca="1">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54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5689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5005</v>
      </c>
      <c r="D34" s="217"/>
      <c r="E34" s="220"/>
      <c r="F34" s="257">
        <f ca="1">IF('数据-取费表'!B24=0,1,IF(B1="",'数据-取费表'!N16,INDIRECT("'数据-取费表'!n"&amp;$G$1)))</f>
        <v>1</v>
      </c>
      <c r="G34" s="219" t="s">
        <v>1526</v>
      </c>
    </row>
    <row r="35" spans="1:7" ht="13.5" customHeight="1">
      <c r="A35" s="780" t="s">
        <v>351</v>
      </c>
      <c r="B35" s="215" t="s">
        <v>1527</v>
      </c>
      <c r="C35" s="220">
        <f ca="1">ROUND(C34*F35,0)</f>
        <v>250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334</v>
      </c>
      <c r="D37" s="217">
        <f ca="1">D19</f>
        <v>16683.080000000002</v>
      </c>
      <c r="E37" s="249">
        <f>'数据-取费表'!B35</f>
        <v>200</v>
      </c>
      <c r="F37" s="259"/>
      <c r="G37" s="261" t="s">
        <v>1532</v>
      </c>
    </row>
    <row r="38" spans="1:7" ht="13.5" customHeight="1">
      <c r="A38" s="780" t="s">
        <v>354</v>
      </c>
      <c r="B38" s="215" t="s">
        <v>1533</v>
      </c>
      <c r="C38" s="220">
        <f ca="1">ROUND(C34*F38,0)</f>
        <v>100</v>
      </c>
      <c r="D38" s="220"/>
      <c r="E38" s="220"/>
      <c r="F38" s="259">
        <f>'数据-取费表'!B36</f>
        <v>0.02</v>
      </c>
      <c r="G38" s="219" t="s">
        <v>1528</v>
      </c>
    </row>
    <row r="39" spans="1:7" s="214" customFormat="1" ht="13.5" customHeight="1">
      <c r="A39" s="255" t="s">
        <v>1534</v>
      </c>
      <c r="B39" s="210" t="s">
        <v>1535</v>
      </c>
      <c r="C39" s="232">
        <f ca="1">ROUND(C33*F20,0)</f>
        <v>114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61" t="s">
        <v>1544</v>
      </c>
    </row>
    <row r="43" spans="1:7" ht="13.5" customHeight="1">
      <c r="A43" s="780" t="s">
        <v>347</v>
      </c>
      <c r="B43" s="215" t="s">
        <v>1545</v>
      </c>
      <c r="C43" s="238">
        <f ca="1">ROUND(IF('数据-取费表'!B22&lt;=1,C39*F22*'数据-取费表'!B21/2,C39*(POWER((1+F22),'数据-取费表'!B21/2)-1)),0)</f>
        <v>3</v>
      </c>
      <c r="D43" s="238"/>
      <c r="E43" s="238"/>
      <c r="F43" s="239"/>
      <c r="G43" s="3662"/>
    </row>
    <row r="44" spans="1:7" ht="13.5" customHeight="1">
      <c r="A44" s="780" t="s">
        <v>348</v>
      </c>
      <c r="B44" s="215" t="s">
        <v>1546</v>
      </c>
      <c r="C44" s="238">
        <f ca="1">ROUND(IF('数据-取费表'!B22&lt;=1,C40*F22*'数据-取费表'!B21/2,C40*(POWER((1+F22),'数据-取费表'!B21/2)-1)),4)</f>
        <v>5.0000000000000001E-4</v>
      </c>
      <c r="D44" s="238"/>
      <c r="E44" s="238"/>
      <c r="F44" s="239"/>
      <c r="G44" s="3663"/>
    </row>
    <row r="45" spans="1:7" s="214" customFormat="1" ht="13.5" customHeight="1">
      <c r="A45" s="255" t="s">
        <v>1547</v>
      </c>
      <c r="B45" s="244" t="s">
        <v>1513</v>
      </c>
      <c r="C45" s="245">
        <f ca="1">C46</f>
        <v>580</v>
      </c>
      <c r="D45" s="235">
        <f ca="1">C47</f>
        <v>2E-3</v>
      </c>
      <c r="E45" s="236" t="s">
        <v>1539</v>
      </c>
      <c r="F45" s="246">
        <f ca="1">F27</f>
        <v>0.1</v>
      </c>
      <c r="G45" s="247" t="s">
        <v>1548</v>
      </c>
    </row>
    <row r="46" spans="1:7" s="214" customFormat="1" ht="13.5" customHeight="1">
      <c r="A46" s="780" t="s">
        <v>346</v>
      </c>
      <c r="B46" s="248" t="s">
        <v>1549</v>
      </c>
      <c r="C46" s="249">
        <f ca="1">ROUND((C33+C39)*F27,0)</f>
        <v>580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7044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5987</v>
      </c>
      <c r="D51" s="232"/>
      <c r="E51" s="232"/>
      <c r="F51" s="264"/>
      <c r="G51" s="234" t="s">
        <v>1560</v>
      </c>
    </row>
    <row r="52" spans="1:7" s="208" customFormat="1" ht="16.8" thickBot="1">
      <c r="A52" s="265" t="s">
        <v>1561</v>
      </c>
      <c r="B52" s="266"/>
      <c r="C52" s="267">
        <f ca="1">C31+C51</f>
        <v>6652</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110" zoomScaleNormal="110" workbookViewId="0">
      <selection activeCell="C12" sqref="C12"/>
    </sheetView>
  </sheetViews>
  <sheetFormatPr defaultColWidth="22.88671875" defaultRowHeight="14.4"/>
  <cols>
    <col min="1" max="1" width="8" style="3828" customWidth="1"/>
    <col min="2" max="2" width="18.44140625" style="3828" customWidth="1"/>
    <col min="3" max="3" width="15.44140625" style="3828" customWidth="1"/>
    <col min="4" max="4" width="55" style="3828" customWidth="1"/>
    <col min="5" max="5" width="22.109375" style="3828" customWidth="1"/>
    <col min="6" max="6" width="16.109375" style="3828" customWidth="1"/>
    <col min="7" max="7" width="11" style="3828" customWidth="1"/>
    <col min="8" max="16384" width="22.88671875" style="3828"/>
  </cols>
  <sheetData>
    <row r="1" spans="1:10">
      <c r="A1" s="3819" t="s">
        <v>3437</v>
      </c>
      <c r="B1" s="3819" t="s">
        <v>3438</v>
      </c>
      <c r="C1" s="3819" t="s">
        <v>3439</v>
      </c>
      <c r="D1" s="3820" t="s">
        <v>3440</v>
      </c>
      <c r="F1" s="3828" t="s">
        <v>3461</v>
      </c>
      <c r="H1" s="3829" t="s">
        <v>3458</v>
      </c>
      <c r="I1" s="3829"/>
    </row>
    <row r="2" spans="1:10" ht="38.4">
      <c r="A2" s="3820">
        <v>1</v>
      </c>
      <c r="B2" s="3819" t="s">
        <v>3441</v>
      </c>
      <c r="C2" s="3821">
        <f>ROUND(E2/G2,2)</f>
        <v>126.39</v>
      </c>
      <c r="D2" s="3822" t="s">
        <v>3459</v>
      </c>
      <c r="E2" s="3830">
        <f>(基准地价修正!C33-基准地价修正!C34+F2)*基准地价修正!D33/10000</f>
        <v>6319.5507040000002</v>
      </c>
      <c r="F2" s="3831">
        <v>2000</v>
      </c>
      <c r="G2" s="3828">
        <v>50</v>
      </c>
      <c r="H2" s="3829"/>
      <c r="I2" s="3829">
        <v>16683.080000000002</v>
      </c>
    </row>
    <row r="3" spans="1:10">
      <c r="A3" s="3820">
        <v>2</v>
      </c>
      <c r="B3" s="3819" t="s">
        <v>3442</v>
      </c>
      <c r="C3" s="3821">
        <f>C4+C5+C6</f>
        <v>16.329550703999999</v>
      </c>
      <c r="D3" s="3820" t="s">
        <v>3443</v>
      </c>
      <c r="H3" s="3829"/>
      <c r="I3" s="3829"/>
      <c r="J3" s="3828">
        <f>I1-I2</f>
        <v>-16683.080000000002</v>
      </c>
    </row>
    <row r="4" spans="1:10" ht="26.4">
      <c r="A4" s="3820">
        <v>2.1</v>
      </c>
      <c r="B4" s="3823" t="s">
        <v>3444</v>
      </c>
      <c r="C4" s="3821">
        <f>F4</f>
        <v>10.01</v>
      </c>
      <c r="D4" s="3820" t="s">
        <v>3462</v>
      </c>
      <c r="E4" s="3828">
        <f>'数据-基础表'!I13</f>
        <v>16683.080000000002</v>
      </c>
      <c r="F4" s="3828">
        <f>ROUND(E4*0.5*12/10000,2)</f>
        <v>10.01</v>
      </c>
      <c r="I4" s="3828">
        <f>I2*20000</f>
        <v>333661600.00000006</v>
      </c>
    </row>
    <row r="5" spans="1:10" ht="24">
      <c r="A5" s="3820">
        <v>2.2000000000000002</v>
      </c>
      <c r="B5" s="3825" t="s">
        <v>3445</v>
      </c>
      <c r="C5" s="3824">
        <f>E2*F5</f>
        <v>6.3195507040000001</v>
      </c>
      <c r="D5" s="3819" t="s">
        <v>3463</v>
      </c>
      <c r="E5" s="3830"/>
      <c r="F5" s="3832">
        <v>1E-3</v>
      </c>
    </row>
    <row r="6" spans="1:10" ht="38.4">
      <c r="A6" s="3820">
        <v>2.2999999999999998</v>
      </c>
      <c r="B6" s="3825" t="s">
        <v>3446</v>
      </c>
      <c r="C6" s="3820">
        <f>ROUND(E6*F6*12/10000,2)</f>
        <v>0</v>
      </c>
      <c r="D6" s="3820" t="s">
        <v>3447</v>
      </c>
      <c r="E6" s="3828">
        <f>E4</f>
        <v>16683.080000000002</v>
      </c>
      <c r="F6" s="3828">
        <v>0</v>
      </c>
    </row>
    <row r="7" spans="1:10">
      <c r="A7" s="3820">
        <v>3</v>
      </c>
      <c r="B7" s="3825" t="s">
        <v>3448</v>
      </c>
      <c r="C7" s="3820">
        <f>C8+C9+C10</f>
        <v>17.79</v>
      </c>
      <c r="D7" s="3820" t="s">
        <v>3449</v>
      </c>
    </row>
    <row r="8" spans="1:10">
      <c r="A8" s="3820">
        <v>3.1</v>
      </c>
      <c r="B8" s="3825" t="s">
        <v>3450</v>
      </c>
      <c r="C8" s="3820">
        <f>E8*F8</f>
        <v>3.2</v>
      </c>
      <c r="D8" s="3820"/>
      <c r="E8" s="3828">
        <v>320</v>
      </c>
      <c r="F8" s="3836">
        <v>0.01</v>
      </c>
      <c r="G8" s="3828" t="s">
        <v>3456</v>
      </c>
    </row>
    <row r="9" spans="1:10" ht="57.6">
      <c r="A9" s="3820">
        <v>3.2</v>
      </c>
      <c r="B9" s="3825" t="s">
        <v>3451</v>
      </c>
      <c r="C9" s="3826">
        <v>0</v>
      </c>
      <c r="D9" s="3819" t="s">
        <v>3465</v>
      </c>
      <c r="F9" s="3833">
        <v>2.9899999999999999E-2</v>
      </c>
      <c r="G9" s="3834" t="s">
        <v>3464</v>
      </c>
      <c r="H9" s="3828">
        <f>ROUND(C2*0.7*2.99%,2)</f>
        <v>2.65</v>
      </c>
    </row>
    <row r="10" spans="1:10" ht="28.8">
      <c r="A10" s="3820">
        <v>3.3</v>
      </c>
      <c r="B10" s="3825" t="s">
        <v>3452</v>
      </c>
      <c r="C10" s="3827">
        <f>ROUND((C2+C3+C8+C9)*0.1,2)</f>
        <v>14.59</v>
      </c>
      <c r="D10" s="3820"/>
      <c r="E10" s="3834" t="s">
        <v>3457</v>
      </c>
      <c r="F10" s="3828">
        <f>(C2+C3+C7)</f>
        <v>160.50955070399999</v>
      </c>
    </row>
    <row r="11" spans="1:10" ht="20.25" customHeight="1">
      <c r="A11" s="3820">
        <v>4</v>
      </c>
      <c r="B11" s="3819" t="s">
        <v>3453</v>
      </c>
      <c r="C11" s="3821">
        <f>C2+C3+C7</f>
        <v>160.50955070399999</v>
      </c>
      <c r="D11" s="3820" t="s">
        <v>3454</v>
      </c>
    </row>
    <row r="12" spans="1:10" ht="26.4">
      <c r="A12" s="3820">
        <v>5</v>
      </c>
      <c r="B12" s="3819" t="s">
        <v>3455</v>
      </c>
      <c r="C12" s="3824">
        <f>ROUND(C11*10000/I2/365,2)</f>
        <v>0.26</v>
      </c>
      <c r="D12" s="3820" t="s">
        <v>3460</v>
      </c>
    </row>
    <row r="16" spans="1:10">
      <c r="H16" s="3835"/>
    </row>
  </sheetData>
  <phoneticPr fontId="134"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
  <sheetViews>
    <sheetView tabSelected="1" workbookViewId="0">
      <selection activeCell="E5" sqref="E5"/>
    </sheetView>
  </sheetViews>
  <sheetFormatPr defaultRowHeight="14.4"/>
  <cols>
    <col min="5" max="5" width="11.77734375" customWidth="1"/>
  </cols>
  <sheetData>
    <row r="1" spans="2:5">
      <c r="B1" s="3838" t="s">
        <v>3498</v>
      </c>
      <c r="C1" s="3838" t="s">
        <v>3499</v>
      </c>
      <c r="D1" s="3838" t="s">
        <v>3500</v>
      </c>
      <c r="E1" s="3838" t="s">
        <v>3501</v>
      </c>
    </row>
    <row r="2" spans="2:5">
      <c r="B2" s="3838" t="s">
        <v>3496</v>
      </c>
      <c r="C2">
        <f>'比较法-仓储'!C36</f>
        <v>0.63</v>
      </c>
      <c r="D2">
        <v>0.8</v>
      </c>
      <c r="E2" s="3843">
        <f>ROUND(C2*D2+C3*D3,2)</f>
        <v>0.56000000000000005</v>
      </c>
    </row>
    <row r="3" spans="2:5">
      <c r="B3" s="3838" t="s">
        <v>3497</v>
      </c>
      <c r="C3">
        <f>成本分析!C12</f>
        <v>0.26</v>
      </c>
      <c r="D3">
        <f>1-D2</f>
        <v>0.19999999999999996</v>
      </c>
      <c r="E3" s="3843"/>
    </row>
  </sheetData>
  <mergeCells count="1">
    <mergeCell ref="E2:E3"/>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31" zoomScale="85" zoomScaleNormal="70" zoomScaleSheetLayoutView="85" workbookViewId="0">
      <selection activeCell="D93" sqref="D93"/>
    </sheetView>
  </sheetViews>
  <sheetFormatPr defaultColWidth="9" defaultRowHeight="13.8"/>
  <cols>
    <col min="1" max="1" width="10.44140625" style="357" customWidth="1"/>
    <col min="2" max="2" width="15.77734375" style="357" customWidth="1"/>
    <col min="3" max="3" width="17.6640625" style="357" customWidth="1"/>
    <col min="4" max="4" width="12.21875" style="357" customWidth="1"/>
    <col min="5" max="5" width="16.109375" style="357" customWidth="1"/>
    <col min="6" max="6" width="12.21875" style="357" customWidth="1"/>
    <col min="7" max="7" width="16.109375" style="357" customWidth="1"/>
    <col min="8" max="8" width="12.21875" style="357" customWidth="1"/>
    <col min="9" max="9" width="16.1093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0.63</v>
      </c>
      <c r="C3" s="354" t="s">
        <v>1768</v>
      </c>
      <c r="D3" s="353">
        <f>SUMIF('数据-汇总表'!$C19:$C33,D1,'数据-汇总表'!$E19:$E33)</f>
        <v>16683.080000000002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tr">
        <f>Sheet4!A4</f>
        <v>杨镇</v>
      </c>
      <c r="F5" s="3735"/>
      <c r="G5" s="3727" t="str">
        <f>Sheet4!A5</f>
        <v>马坡</v>
      </c>
      <c r="H5" s="3728"/>
      <c r="I5" s="3727" t="str">
        <f>Sheet4!A6</f>
        <v>南彩镇</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45952</v>
      </c>
      <c r="D7" s="365">
        <v>100</v>
      </c>
      <c r="E7" s="3844">
        <f>C7</f>
        <v>45952</v>
      </c>
      <c r="F7" s="367">
        <f>SUMIF(46:46,YEAR(E7)&amp;"-"&amp;MONTH(E7),47:47)</f>
        <v>100</v>
      </c>
      <c r="G7" s="3845">
        <f>C7</f>
        <v>45952</v>
      </c>
      <c r="H7" s="365">
        <f>SUMIF(46:46,YEAR(G7)&amp;"-"&amp;MONTH(G7),47:47)</f>
        <v>100</v>
      </c>
      <c r="I7" s="3844">
        <f>C7</f>
        <v>45952</v>
      </c>
      <c r="J7" s="365">
        <f>SUMIF(46:46,YEAR(I7)&amp;"-"&amp;MONTH(I7),47:47)</f>
        <v>100</v>
      </c>
      <c r="K7" s="560"/>
      <c r="L7" s="2717"/>
      <c r="M7" s="2718"/>
      <c r="N7" s="2718"/>
      <c r="O7" s="2718"/>
      <c r="P7" s="3729" t="s">
        <v>1680</v>
      </c>
      <c r="Q7" s="3731"/>
      <c r="R7" s="701" t="s">
        <v>14</v>
      </c>
      <c r="S7" s="702">
        <f t="shared" ref="S7:S14" si="0">F7</f>
        <v>100</v>
      </c>
      <c r="T7" s="701" t="s">
        <v>14</v>
      </c>
      <c r="U7" s="702">
        <f t="shared" ref="U7:U14" si="1">H7</f>
        <v>100</v>
      </c>
      <c r="V7" s="701" t="s">
        <v>14</v>
      </c>
      <c r="W7" s="702">
        <f t="shared" ref="W7:W14" si="2">J7</f>
        <v>100</v>
      </c>
      <c r="X7" s="703"/>
      <c r="Y7" s="3729" t="s">
        <v>1680</v>
      </c>
      <c r="Z7" s="3730"/>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ht="14.4">
      <c r="A9" s="369" t="s">
        <v>1684</v>
      </c>
      <c r="B9" s="63" t="s">
        <v>1685</v>
      </c>
      <c r="C9" s="3846" t="s">
        <v>3502</v>
      </c>
      <c r="D9" s="126">
        <v>100</v>
      </c>
      <c r="E9" s="373" t="s">
        <v>3331</v>
      </c>
      <c r="F9" s="372">
        <f>SUMIF(51:51,E9,52:52)-SUMIF(51:51,C9,52:52)+100</f>
        <v>100</v>
      </c>
      <c r="G9" s="373" t="s">
        <v>3331</v>
      </c>
      <c r="H9" s="126">
        <f>SUMIF(51:51,G9,52:52)-SUMIF(51:51,C9,52:52)+100</f>
        <v>100</v>
      </c>
      <c r="I9" s="373" t="s">
        <v>3331</v>
      </c>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69">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98</v>
      </c>
      <c r="G14" s="395"/>
      <c r="H14" s="392">
        <f>SUMIF(61:61,G15,62:62)-SUMIF(61:61,C15,62:62)+100</f>
        <v>98</v>
      </c>
      <c r="I14" s="393"/>
      <c r="J14" s="392">
        <f>SUMIF(61:61,I15,62:62)-SUMIF(61:61,C15,62:62)+100</f>
        <v>98</v>
      </c>
      <c r="K14" s="563">
        <v>2</v>
      </c>
      <c r="L14" s="2722"/>
      <c r="M14" s="2716"/>
      <c r="N14" s="2716"/>
      <c r="O14" s="2774"/>
      <c r="P14" s="3695" t="s">
        <v>1691</v>
      </c>
      <c r="Q14" s="1352" t="str">
        <f t="shared" si="6"/>
        <v>交通便捷度</v>
      </c>
      <c r="R14" s="705" t="s">
        <v>14</v>
      </c>
      <c r="S14" s="706">
        <f t="shared" si="0"/>
        <v>98</v>
      </c>
      <c r="T14" s="705" t="s">
        <v>14</v>
      </c>
      <c r="U14" s="706">
        <f t="shared" si="1"/>
        <v>98</v>
      </c>
      <c r="V14" s="705" t="s">
        <v>14</v>
      </c>
      <c r="W14" s="706">
        <f t="shared" si="2"/>
        <v>98</v>
      </c>
      <c r="X14" s="1355"/>
      <c r="Y14" s="3695" t="s">
        <v>1691</v>
      </c>
      <c r="Z14" s="1356" t="str">
        <f t="shared" si="7"/>
        <v>交通便捷度</v>
      </c>
      <c r="AA14" s="1353">
        <f t="shared" si="3"/>
        <v>1.0204081632653061</v>
      </c>
      <c r="AB14" s="1353">
        <f t="shared" si="4"/>
        <v>1.0204081632653061</v>
      </c>
      <c r="AC14" s="1353">
        <f t="shared" si="5"/>
        <v>1.0204081632653061</v>
      </c>
    </row>
    <row r="15" spans="1:29" ht="15">
      <c r="A15" s="379"/>
      <c r="B15" s="397"/>
      <c r="C15" s="398" t="s">
        <v>3430</v>
      </c>
      <c r="D15" s="399"/>
      <c r="E15" s="398" t="s">
        <v>3431</v>
      </c>
      <c r="F15" s="400"/>
      <c r="G15" s="398" t="s">
        <v>3431</v>
      </c>
      <c r="H15" s="401"/>
      <c r="I15" s="398" t="s">
        <v>3431</v>
      </c>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98</v>
      </c>
      <c r="G16" s="410"/>
      <c r="H16" s="406">
        <f>SUMIF(63:63,G17,64:64)-SUMIF(63:63,C17,64:64)+100</f>
        <v>98</v>
      </c>
      <c r="I16" s="408"/>
      <c r="J16" s="406">
        <f>SUMIF(63:63,I17,64:64)-SUMIF(63:63,C17,64:64)+100</f>
        <v>98</v>
      </c>
      <c r="K16" s="563">
        <v>2</v>
      </c>
      <c r="L16" s="2722"/>
      <c r="M16" s="2716"/>
      <c r="N16" s="2716"/>
      <c r="O16" s="2774"/>
      <c r="P16" s="3696"/>
      <c r="Q16" s="1352" t="str">
        <f>B16</f>
        <v>公共配套设施</v>
      </c>
      <c r="R16" s="705" t="s">
        <v>14</v>
      </c>
      <c r="S16" s="706">
        <f>F16</f>
        <v>98</v>
      </c>
      <c r="T16" s="705" t="s">
        <v>14</v>
      </c>
      <c r="U16" s="706">
        <f>H16</f>
        <v>98</v>
      </c>
      <c r="V16" s="705" t="s">
        <v>14</v>
      </c>
      <c r="W16" s="706">
        <f>J16</f>
        <v>98</v>
      </c>
      <c r="X16" s="1355"/>
      <c r="Y16" s="3696"/>
      <c r="Z16" s="1356" t="str">
        <f>Q16</f>
        <v>公共配套设施</v>
      </c>
      <c r="AA16" s="1353">
        <f t="shared" si="3"/>
        <v>1.0204081632653061</v>
      </c>
      <c r="AB16" s="1353">
        <f t="shared" si="4"/>
        <v>1.0204081632653061</v>
      </c>
      <c r="AC16" s="1353">
        <f t="shared" si="5"/>
        <v>1.0204081632653061</v>
      </c>
    </row>
    <row r="17" spans="1:29" ht="15">
      <c r="A17" s="379"/>
      <c r="B17" s="407"/>
      <c r="C17" s="1901" t="s">
        <v>3430</v>
      </c>
      <c r="D17" s="399"/>
      <c r="E17" s="398" t="s">
        <v>3431</v>
      </c>
      <c r="F17" s="400"/>
      <c r="G17" s="398" t="s">
        <v>3431</v>
      </c>
      <c r="H17" s="399"/>
      <c r="I17" s="398" t="s">
        <v>3431</v>
      </c>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0</v>
      </c>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t="s">
        <v>3506</v>
      </c>
      <c r="D19" s="401"/>
      <c r="E19" s="1901" t="s">
        <v>3506</v>
      </c>
      <c r="F19" s="404"/>
      <c r="G19" s="1901" t="s">
        <v>3506</v>
      </c>
      <c r="H19" s="399"/>
      <c r="I19" s="398" t="s">
        <v>3506</v>
      </c>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0.85</v>
      </c>
      <c r="D27" s="127">
        <v>100</v>
      </c>
      <c r="E27" s="426">
        <v>0.8</v>
      </c>
      <c r="F27" s="412">
        <f>LOOKUP(E27,80:80,81:81)-LOOKUP(C27,80:80,81:81)+100</f>
        <v>100</v>
      </c>
      <c r="G27" s="427">
        <v>0.8</v>
      </c>
      <c r="H27" s="386">
        <f>LOOKUP(G27,80:80,81:81)-LOOKUP(C27,80:80,81:81)+100</f>
        <v>100</v>
      </c>
      <c r="I27" s="427">
        <v>0.8</v>
      </c>
      <c r="J27" s="386">
        <f>LOOKUP(I27,80:80,81:81)-LOOKUP(C27,80:80,81:81)+100</f>
        <v>100</v>
      </c>
      <c r="K27" s="561">
        <v>1</v>
      </c>
      <c r="L27" s="2721"/>
      <c r="M27" s="2723"/>
      <c r="N27" s="2723"/>
      <c r="O27" s="2775"/>
      <c r="P27" s="3700"/>
      <c r="Q27" s="707" t="str">
        <f t="shared" si="11"/>
        <v>成新率</v>
      </c>
      <c r="R27" s="708" t="s">
        <v>14</v>
      </c>
      <c r="S27" s="709">
        <f t="shared" si="12"/>
        <v>100</v>
      </c>
      <c r="T27" s="708" t="s">
        <v>14</v>
      </c>
      <c r="U27" s="709">
        <f t="shared" si="13"/>
        <v>100</v>
      </c>
      <c r="V27" s="708" t="s">
        <v>14</v>
      </c>
      <c r="W27" s="709">
        <f t="shared" si="14"/>
        <v>100</v>
      </c>
      <c r="X27" s="710"/>
      <c r="Y27" s="3700"/>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f>'数据-汇总表'!E6</f>
        <v>16683.080000000002</v>
      </c>
      <c r="D30" s="386">
        <v>100</v>
      </c>
      <c r="E30" s="420">
        <v>1000</v>
      </c>
      <c r="F30" s="412">
        <f>LOOKUP(E30,87:87,88:88)-LOOKUP(C30,87:87,88:88)+100</f>
        <v>102</v>
      </c>
      <c r="G30" s="420">
        <v>2000</v>
      </c>
      <c r="H30" s="386">
        <f>LOOKUP(G30,87:87,88:88)-LOOKUP(C30,87:87,88:88)+100</f>
        <v>102</v>
      </c>
      <c r="I30" s="420">
        <v>1000</v>
      </c>
      <c r="J30" s="386">
        <f>LOOKUP(I30,87:87,88:88)-LOOKUP(C30,87:87,88:88)+100</f>
        <v>102</v>
      </c>
      <c r="K30" s="562"/>
      <c r="L30" s="2722"/>
      <c r="M30" s="2716"/>
      <c r="N30" s="2716"/>
      <c r="O30" s="2774"/>
      <c r="P30" s="3700"/>
      <c r="Q30" s="1352" t="str">
        <f t="shared" si="11"/>
        <v>建筑面积</v>
      </c>
      <c r="R30" s="705" t="s">
        <v>14</v>
      </c>
      <c r="S30" s="706">
        <f t="shared" si="12"/>
        <v>102</v>
      </c>
      <c r="T30" s="705" t="s">
        <v>14</v>
      </c>
      <c r="U30" s="706">
        <f t="shared" si="13"/>
        <v>102</v>
      </c>
      <c r="V30" s="705" t="s">
        <v>14</v>
      </c>
      <c r="W30" s="706">
        <f t="shared" si="14"/>
        <v>102</v>
      </c>
      <c r="X30" s="1355"/>
      <c r="Y30" s="3700"/>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3847" t="s">
        <v>3503</v>
      </c>
      <c r="C32" s="383">
        <v>4.5</v>
      </c>
      <c r="D32" s="386">
        <v>100</v>
      </c>
      <c r="E32" s="420">
        <f>Sheet4!G3</f>
        <v>10</v>
      </c>
      <c r="F32" s="412">
        <f>SUMIF(91:91,E32,92:92)-SUMIF(91:91,C32,92:92)+100</f>
        <v>110</v>
      </c>
      <c r="G32" s="420">
        <f>Sheet4!G5</f>
        <v>10</v>
      </c>
      <c r="H32" s="386">
        <f>SUMIF(91:91,G32,92:92)-SUMIF(91:91,C32,92:92)+100</f>
        <v>110</v>
      </c>
      <c r="I32" s="420">
        <f>Sheet4!G6</f>
        <v>9.5</v>
      </c>
      <c r="J32" s="386">
        <f>SUMIF(91:91,I32,92:92)-SUMIF(91:91,C32,92:92)+100</f>
        <v>110</v>
      </c>
      <c r="K32" s="562"/>
      <c r="L32" s="2722"/>
      <c r="M32" s="2716"/>
      <c r="N32" s="2716"/>
      <c r="O32" s="2774"/>
      <c r="P32" s="3700" t="s">
        <v>1696</v>
      </c>
      <c r="Q32" s="1352" t="str">
        <f t="shared" si="11"/>
        <v>层高</v>
      </c>
      <c r="R32" s="705" t="s">
        <v>14</v>
      </c>
      <c r="S32" s="706">
        <f t="shared" si="12"/>
        <v>110</v>
      </c>
      <c r="T32" s="705" t="s">
        <v>14</v>
      </c>
      <c r="U32" s="706">
        <f t="shared" si="13"/>
        <v>110</v>
      </c>
      <c r="V32" s="705" t="s">
        <v>14</v>
      </c>
      <c r="W32" s="706">
        <f t="shared" si="14"/>
        <v>110</v>
      </c>
      <c r="X32" s="1355"/>
      <c r="Y32" s="3700" t="s">
        <v>1696</v>
      </c>
      <c r="Z32" s="1356" t="str">
        <f t="shared" si="15"/>
        <v>层高</v>
      </c>
      <c r="AA32" s="1353">
        <f t="shared" si="3"/>
        <v>0.90909090909090906</v>
      </c>
      <c r="AB32" s="1353">
        <f t="shared" si="4"/>
        <v>0.90909090909090906</v>
      </c>
      <c r="AC32" s="1353">
        <f t="shared" si="5"/>
        <v>0.90909090909090906</v>
      </c>
    </row>
    <row r="33" spans="1:30" ht="15">
      <c r="A33" s="423"/>
      <c r="B33" s="1893">
        <v>111</v>
      </c>
      <c r="C33" s="3850" t="s">
        <v>3504</v>
      </c>
      <c r="D33" s="386">
        <v>100</v>
      </c>
      <c r="E33" s="420" t="str">
        <f>C33</f>
        <v>丙二类</v>
      </c>
      <c r="F33" s="412">
        <f>SUMIF(93:93,E33,94:94)-SUMIF(93:93,C33,94:94)+100</f>
        <v>100</v>
      </c>
      <c r="G33" s="420" t="str">
        <f>C33</f>
        <v>丙二类</v>
      </c>
      <c r="H33" s="386">
        <f>SUMIF(93:93,G33,94:94)-SUMIF(93:93,C33,94:94)+100</f>
        <v>100</v>
      </c>
      <c r="I33" s="420" t="str">
        <f>C33</f>
        <v>丙二类</v>
      </c>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6" thickBot="1">
      <c r="A34" s="429"/>
      <c r="B34" s="1895">
        <v>111</v>
      </c>
      <c r="C34" s="3851" t="s">
        <v>3505</v>
      </c>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4.4">
      <c r="A35" s="430" t="s">
        <v>1708</v>
      </c>
      <c r="B35" s="431"/>
      <c r="C35" s="1154" t="s">
        <v>0</v>
      </c>
      <c r="D35" s="1155"/>
      <c r="E35" s="1156">
        <f>Sheet4!E4</f>
        <v>0.6</v>
      </c>
      <c r="F35" s="1157"/>
      <c r="G35" s="1158">
        <f>Sheet4!E5</f>
        <v>0.8</v>
      </c>
      <c r="H35" s="1159"/>
      <c r="I35" s="1156">
        <f>Sheet4!E6</f>
        <v>0.6</v>
      </c>
      <c r="J35" s="1159"/>
      <c r="K35" s="714"/>
      <c r="L35" s="2724"/>
      <c r="M35" s="2725"/>
      <c r="N35" s="2716"/>
      <c r="O35" s="2725"/>
      <c r="P35" s="3693" t="str">
        <f>A35</f>
        <v>成交单价（元/平方米）</v>
      </c>
      <c r="Q35" s="3693"/>
      <c r="R35" s="3694">
        <f>E35</f>
        <v>0.6</v>
      </c>
      <c r="S35" s="3694"/>
      <c r="T35" s="3694">
        <f>G35</f>
        <v>0.8</v>
      </c>
      <c r="U35" s="3694"/>
      <c r="V35" s="3694">
        <f>I35</f>
        <v>0.6</v>
      </c>
      <c r="W35" s="3694"/>
      <c r="X35" s="690"/>
      <c r="Y35" s="712"/>
      <c r="Z35" s="690"/>
      <c r="AA35" s="690"/>
      <c r="AB35" s="690"/>
      <c r="AC35" s="690"/>
    </row>
    <row r="36" spans="1:30" ht="15" thickBot="1">
      <c r="A36" s="437" t="s">
        <v>1793</v>
      </c>
      <c r="B36" s="438"/>
      <c r="C36" s="1160">
        <f>R37</f>
        <v>0.63</v>
      </c>
      <c r="D36" s="2317" t="s">
        <v>2138</v>
      </c>
      <c r="E36" s="1161">
        <f>R36</f>
        <v>0.6</v>
      </c>
      <c r="F36" s="2318"/>
      <c r="G36" s="1160">
        <f>T36</f>
        <v>0.7</v>
      </c>
      <c r="H36" s="2318"/>
      <c r="I36" s="1161">
        <f>V36</f>
        <v>0.6</v>
      </c>
      <c r="J36" s="2318"/>
      <c r="K36" s="2320">
        <f>F36+H36+J36</f>
        <v>0</v>
      </c>
      <c r="L36" s="2724"/>
      <c r="M36" s="2725"/>
      <c r="N36" s="2716"/>
      <c r="O36" s="2725"/>
      <c r="P36" s="3693" t="str">
        <f>A36</f>
        <v>比较价值（元/平方米）</v>
      </c>
      <c r="Q36" s="3693"/>
      <c r="R36" s="3694">
        <f>IF(F1="售价",ROUND(PRODUCT(R35,AA7:AA34),0),ROUND(PRODUCT(R35,AA7:AA34),1))</f>
        <v>0.6</v>
      </c>
      <c r="S36" s="3694"/>
      <c r="T36" s="3694">
        <f>IF(F1="售价",ROUND(PRODUCT(T35,AB7:AB34),0),ROUND(PRODUCT(T35,AB7:AB34),1))</f>
        <v>0.7</v>
      </c>
      <c r="U36" s="3694"/>
      <c r="V36" s="3694">
        <f>IF(F1="售价",ROUND(PRODUCT(V35,AC7:AC34),0),ROUND(PRODUCT(V35,AC7:AC34),1))</f>
        <v>0.6</v>
      </c>
      <c r="W36" s="3694"/>
      <c r="X36" s="690"/>
      <c r="Y36" s="690"/>
      <c r="Z36" s="690"/>
      <c r="AA36" s="690"/>
      <c r="AB36" s="690"/>
      <c r="AC36" s="690"/>
    </row>
    <row r="37" spans="1:30" ht="15" thickBot="1">
      <c r="A37" s="441" t="s">
        <v>1794</v>
      </c>
      <c r="B37" s="442"/>
      <c r="C37" s="1163">
        <f>R37</f>
        <v>0.63</v>
      </c>
      <c r="D37" s="1163"/>
      <c r="E37" s="1163"/>
      <c r="F37" s="1163"/>
      <c r="G37" s="1163"/>
      <c r="H37" s="1163"/>
      <c r="I37" s="1163"/>
      <c r="J37" s="1163"/>
      <c r="K37" s="715"/>
      <c r="L37" s="2724"/>
      <c r="M37" s="2725"/>
      <c r="N37" s="2725"/>
      <c r="O37" s="2725"/>
      <c r="P37" s="3690" t="str">
        <f>A37</f>
        <v>估价对象XX用房的比较价值（楼面单价，元/平方米）</v>
      </c>
      <c r="Q37" s="3691"/>
      <c r="R37" s="3752">
        <f>IF(F1="售价",ROUND(IF(D36="简单平均",AVERAGE(R36:W36),R36*F36+T36*H36+V36*J36),0),ROUND(IF(D36="简单平均",AVERAGE(R36:V36),R36*F36+T36*H36+V36*J36),2))</f>
        <v>0.63</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0</v>
      </c>
      <c r="F40" s="449" t="str">
        <f>IF(OR(E40&gt;=0.3,E40&lt;=-0.3),"超过30%","")</f>
        <v/>
      </c>
      <c r="G40" s="448">
        <f>IF(G35&lt;G36,G36/G35-1,G35/G36-1)</f>
        <v>0.14285714285714302</v>
      </c>
      <c r="H40" s="449" t="str">
        <f>IF(OR(G40&gt;=0.3,G40&lt;=-0.3),"超过30%","")</f>
        <v/>
      </c>
      <c r="I40" s="448">
        <f>IF(I35&lt;I36,I36/I35-1,I35/I36-1)</f>
        <v>0</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0.16666666666666674</v>
      </c>
      <c r="F41" s="449" t="str">
        <f>IF(OR(E41&gt;=0.2,E41&lt;=-0.2),"超过20%","")</f>
        <v/>
      </c>
      <c r="G41" s="448">
        <f>IF(G36&lt;I36,I36/G36-1,G36/I36-1)</f>
        <v>0.16666666666666674</v>
      </c>
      <c r="H41" s="449" t="str">
        <f>IF(OR(G41&gt;=0.2,G41&lt;=-0.2),"超过20%","")</f>
        <v/>
      </c>
      <c r="I41" s="448">
        <f>IF(I36&lt;E36,E36/I36-1,I36/E36-1)</f>
        <v>0</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0.33333333333333348</v>
      </c>
      <c r="F42" s="449" t="str">
        <f>IF(OR(E42&gt;=0.3,E42&lt;=-0.3),"超过30%","")</f>
        <v>超过30%</v>
      </c>
      <c r="G42" s="448">
        <f>IF(G35&lt;I35,I35/G35-1,G35/I35-1)</f>
        <v>0.33333333333333348</v>
      </c>
      <c r="H42" s="449" t="str">
        <f>IF(OR(G42&gt;=0.3,G42&lt;=-0.3),"超过30%","")</f>
        <v>超过30%</v>
      </c>
      <c r="I42" s="448">
        <f>IF(I35&lt;E35,E35/I35-1,I35/E35-1)</f>
        <v>0</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t="str">
        <f>C9</f>
        <v>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98</v>
      </c>
      <c r="E64" s="493">
        <f>D64-$K16</f>
        <v>96</v>
      </c>
      <c r="F64" s="493">
        <f>E64-$K16</f>
        <v>94</v>
      </c>
      <c r="G64" s="493">
        <f>F64-$K16</f>
        <v>92</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0(含)-10000</v>
      </c>
      <c r="D86" s="527" t="str">
        <f t="shared" si="21"/>
        <v>10000(含)-20000</v>
      </c>
      <c r="E86" s="527" t="str">
        <f t="shared" si="21"/>
        <v>20000(含)-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10000</v>
      </c>
      <c r="E87" s="544">
        <v>20000</v>
      </c>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v>96</v>
      </c>
      <c r="F88" s="485">
        <v>97</v>
      </c>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t="str">
        <f>B32</f>
        <v>层高</v>
      </c>
      <c r="C91" s="498">
        <f>C32</f>
        <v>4.5</v>
      </c>
      <c r="D91" s="498">
        <f>E32</f>
        <v>10</v>
      </c>
      <c r="E91" s="498"/>
      <c r="F91" s="498">
        <f>I32</f>
        <v>9.5</v>
      </c>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v>100</v>
      </c>
      <c r="D92" s="485">
        <v>110</v>
      </c>
      <c r="E92" s="485"/>
      <c r="F92" s="485">
        <f>D92</f>
        <v>110</v>
      </c>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66" priority="18" stopIfTrue="1" operator="containsText" text="超过">
      <formula>NOT(ISERROR(SEARCH("超过",F40)))</formula>
    </cfRule>
  </conditionalFormatting>
  <conditionalFormatting sqref="J42">
    <cfRule type="containsText" dxfId="165" priority="17" stopIfTrue="1" operator="containsText" text="超过">
      <formula>NOT(ISERROR(SEARCH("超过",J42)))</formula>
    </cfRule>
  </conditionalFormatting>
  <conditionalFormatting sqref="H42">
    <cfRule type="containsText" dxfId="164" priority="16" stopIfTrue="1" operator="containsText" text="超过">
      <formula>NOT(ISERROR(SEARCH("超过",H42)))</formula>
    </cfRule>
  </conditionalFormatting>
  <conditionalFormatting sqref="F42">
    <cfRule type="containsText" dxfId="163" priority="15" stopIfTrue="1" operator="containsText" text="超过">
      <formula>NOT(ISERROR(SEARCH("超过",F42)))</formula>
    </cfRule>
  </conditionalFormatting>
  <conditionalFormatting sqref="F41 H41 J41">
    <cfRule type="containsText" dxfId="162" priority="14" stopIfTrue="1" operator="containsText" text="超过">
      <formula>NOT(ISERROR(SEARCH("超过",F41)))</formula>
    </cfRule>
  </conditionalFormatting>
  <conditionalFormatting sqref="E40">
    <cfRule type="expression" dxfId="161" priority="13" stopIfTrue="1">
      <formula>$F$40="超过30%"</formula>
    </cfRule>
  </conditionalFormatting>
  <conditionalFormatting sqref="G42">
    <cfRule type="expression" dxfId="160" priority="12" stopIfTrue="1">
      <formula>$H$54+$H$42="超过30%"</formula>
    </cfRule>
  </conditionalFormatting>
  <conditionalFormatting sqref="E41">
    <cfRule type="expression" dxfId="159" priority="11" stopIfTrue="1">
      <formula>$F$41="超过20%"</formula>
    </cfRule>
  </conditionalFormatting>
  <conditionalFormatting sqref="E42">
    <cfRule type="expression" dxfId="158" priority="10" stopIfTrue="1">
      <formula>$F$42="超过30%"</formula>
    </cfRule>
  </conditionalFormatting>
  <conditionalFormatting sqref="G40">
    <cfRule type="expression" dxfId="157" priority="9" stopIfTrue="1">
      <formula>$H$52+$H$40="超过30%"</formula>
    </cfRule>
  </conditionalFormatting>
  <conditionalFormatting sqref="G41">
    <cfRule type="expression" dxfId="156" priority="8" stopIfTrue="1">
      <formula>$H$53+$H$41="超过20%"</formula>
    </cfRule>
  </conditionalFormatting>
  <conditionalFormatting sqref="I40">
    <cfRule type="expression" dxfId="155" priority="7" stopIfTrue="1">
      <formula>$J$40="超过30%"</formula>
    </cfRule>
  </conditionalFormatting>
  <conditionalFormatting sqref="I41">
    <cfRule type="expression" dxfId="154" priority="6" stopIfTrue="1">
      <formula>$J$41="超过20%"</formula>
    </cfRule>
  </conditionalFormatting>
  <conditionalFormatting sqref="I42">
    <cfRule type="expression" dxfId="153" priority="5" stopIfTrue="1">
      <formula>$J$42="超过30%"</formula>
    </cfRule>
  </conditionalFormatting>
  <conditionalFormatting sqref="F36">
    <cfRule type="expression" dxfId="152" priority="4">
      <formula>$D$36="简单平均"</formula>
    </cfRule>
  </conditionalFormatting>
  <conditionalFormatting sqref="H36">
    <cfRule type="expression" dxfId="151" priority="3">
      <formula>$D$36="简单平均"</formula>
    </cfRule>
  </conditionalFormatting>
  <conditionalFormatting sqref="J36">
    <cfRule type="expression" dxfId="150" priority="2">
      <formula>$D$36="简单平均"</formula>
    </cfRule>
  </conditionalFormatting>
  <conditionalFormatting sqref="F7:F34 H7:H34 J7:J34">
    <cfRule type="cellIs" dxfId="1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F33" sqref="F33"/>
    </sheetView>
  </sheetViews>
  <sheetFormatPr defaultRowHeight="14.4"/>
  <cols>
    <col min="1" max="1" width="10.21875" style="3839" customWidth="1"/>
    <col min="2" max="2" width="14.109375" style="3839" customWidth="1"/>
    <col min="3" max="3" width="13.88671875" style="3839" customWidth="1"/>
    <col min="4" max="4" width="11.6640625" style="3839" customWidth="1"/>
    <col min="5" max="7" width="8.88671875" style="3839"/>
  </cols>
  <sheetData>
    <row r="1" spans="1:9">
      <c r="A1" s="3837" t="s">
        <v>3466</v>
      </c>
      <c r="B1" s="3837" t="s">
        <v>3467</v>
      </c>
      <c r="C1" s="3837" t="s">
        <v>3468</v>
      </c>
      <c r="D1" s="3837" t="s">
        <v>3469</v>
      </c>
      <c r="E1" s="3837" t="s">
        <v>3470</v>
      </c>
      <c r="F1" s="3837" t="s">
        <v>3471</v>
      </c>
      <c r="G1" s="3837" t="s">
        <v>3481</v>
      </c>
    </row>
    <row r="2" spans="1:9">
      <c r="A2" s="3848" t="s">
        <v>3473</v>
      </c>
      <c r="B2" s="3848" t="s">
        <v>3476</v>
      </c>
      <c r="C2" s="3848" t="s">
        <v>3477</v>
      </c>
      <c r="D2" s="3848" t="s">
        <v>3475</v>
      </c>
      <c r="E2" s="3849">
        <v>0.5</v>
      </c>
      <c r="F2" s="3848" t="s">
        <v>3472</v>
      </c>
      <c r="G2" s="3849">
        <v>9</v>
      </c>
      <c r="H2" s="3837" t="s">
        <v>3478</v>
      </c>
    </row>
    <row r="3" spans="1:9">
      <c r="A3" s="3848" t="s">
        <v>3482</v>
      </c>
      <c r="B3" s="3848" t="s">
        <v>3474</v>
      </c>
      <c r="C3" s="3848" t="s">
        <v>3477</v>
      </c>
      <c r="D3" s="3848" t="s">
        <v>3483</v>
      </c>
      <c r="E3" s="3849">
        <v>1</v>
      </c>
      <c r="F3" s="3848" t="s">
        <v>3479</v>
      </c>
      <c r="G3" s="3849">
        <v>10</v>
      </c>
      <c r="H3" s="3838" t="s">
        <v>3480</v>
      </c>
    </row>
    <row r="4" spans="1:9">
      <c r="A4" s="3841" t="s">
        <v>3485</v>
      </c>
      <c r="B4" s="3841" t="s">
        <v>3474</v>
      </c>
      <c r="C4" s="3841" t="s">
        <v>3486</v>
      </c>
      <c r="D4" s="3841" t="s">
        <v>3487</v>
      </c>
      <c r="E4" s="3842">
        <v>0.6</v>
      </c>
      <c r="F4" s="3841" t="s">
        <v>3479</v>
      </c>
      <c r="G4" s="3842">
        <v>10</v>
      </c>
      <c r="I4" s="3840" t="s">
        <v>3484</v>
      </c>
    </row>
    <row r="5" spans="1:9">
      <c r="A5" s="3841" t="s">
        <v>3488</v>
      </c>
      <c r="B5" s="3841" t="s">
        <v>3491</v>
      </c>
      <c r="C5" s="3841" t="s">
        <v>3477</v>
      </c>
      <c r="D5" s="3841" t="s">
        <v>3489</v>
      </c>
      <c r="E5" s="3842">
        <v>0.8</v>
      </c>
      <c r="F5" s="3841" t="s">
        <v>3479</v>
      </c>
      <c r="G5" s="3842">
        <v>10</v>
      </c>
      <c r="I5" s="3840" t="s">
        <v>3490</v>
      </c>
    </row>
    <row r="6" spans="1:9">
      <c r="A6" s="3841" t="s">
        <v>3492</v>
      </c>
      <c r="B6" s="3841" t="s">
        <v>3495</v>
      </c>
      <c r="C6" s="3842"/>
      <c r="D6" s="3841" t="s">
        <v>3493</v>
      </c>
      <c r="E6" s="3842">
        <v>0.6</v>
      </c>
      <c r="F6" s="3841" t="s">
        <v>3479</v>
      </c>
      <c r="G6" s="3842">
        <v>9.5</v>
      </c>
      <c r="I6" s="3840" t="s">
        <v>3494</v>
      </c>
    </row>
  </sheetData>
  <phoneticPr fontId="134" type="noConversion"/>
  <hyperlinks>
    <hyperlink ref="I4" r:id="rId1" display="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hyperlink ref="I5" r:id="rId2" display="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hyperlink ref="I6" r:id="rId3" display="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6" sqref="B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10975.749299999999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39491211.240000002</v>
      </c>
      <c r="D5" s="211" t="s">
        <v>1469</v>
      </c>
      <c r="E5" s="212" t="s">
        <v>1470</v>
      </c>
      <c r="F5" s="212" t="s">
        <v>1471</v>
      </c>
      <c r="G5" s="213"/>
    </row>
    <row r="6" spans="1:8" s="214" customFormat="1" ht="13.5" customHeight="1">
      <c r="A6" s="778" t="s">
        <v>1472</v>
      </c>
      <c r="B6" s="215" t="s">
        <v>1473</v>
      </c>
      <c r="C6" s="216">
        <f>基准地价修正!C33*基准地价修正!D33</f>
        <v>35084517.240000002</v>
      </c>
      <c r="D6" s="217"/>
      <c r="E6" s="218"/>
      <c r="F6" s="218"/>
      <c r="G6" s="219"/>
    </row>
    <row r="7" spans="1:8" s="214" customFormat="1" ht="13.5" customHeight="1">
      <c r="A7" s="778" t="s">
        <v>1474</v>
      </c>
      <c r="B7" s="215" t="s">
        <v>1475</v>
      </c>
      <c r="C7" s="220">
        <f>ROUND(C6*F7,0)</f>
        <v>1070078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3336616</v>
      </c>
      <c r="D8" s="222"/>
      <c r="E8" s="220"/>
      <c r="F8" s="221"/>
      <c r="G8" s="1856" t="s">
        <v>3436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3336616</v>
      </c>
      <c r="D10" s="845">
        <f ca="1">IF(B1="",'数据-汇总表'!E6,IF(INDIRECT("'数据-取费表'!c"&amp;$G$1)="住宅",INDIRECT("'数据-取费表'!s"&amp;$G$1),INDIRECT("'数据-取费表'!k"&amp;$G$1)+INDIRECT("'数据-取费表'!s"&amp;$G$1)))</f>
        <v>16683.080000000002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16683.080000000002</v>
      </c>
      <c r="E19" s="211">
        <f>'数据-取费表'!B31</f>
        <v>315</v>
      </c>
      <c r="F19" s="231"/>
      <c r="G19" s="1856" t="s">
        <v>3435</v>
      </c>
    </row>
    <row r="20" spans="1:7" s="214" customFormat="1" ht="13.5" customHeight="1">
      <c r="A20" s="255" t="s">
        <v>1574</v>
      </c>
      <c r="B20" s="210" t="s">
        <v>1575</v>
      </c>
      <c r="C20" s="232">
        <f ca="1">ROUND((C5+C19)*F20,0)</f>
        <v>789824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1844501</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1826443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18058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4028104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4028104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49890434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56889303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50049240</v>
      </c>
      <c r="D34" s="217"/>
      <c r="E34" s="220"/>
      <c r="F34" s="257"/>
      <c r="G34" s="219"/>
    </row>
    <row r="35" spans="1:7" ht="13.5" customHeight="1">
      <c r="A35" s="780" t="s">
        <v>351</v>
      </c>
      <c r="B35" s="215" t="s">
        <v>1527</v>
      </c>
      <c r="C35" s="220">
        <f ca="1">ROUND(C34*F35,0)</f>
        <v>2502462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3336616</v>
      </c>
      <c r="D37" s="217">
        <f ca="1">D19</f>
        <v>16683.080000000002</v>
      </c>
      <c r="E37" s="249">
        <f>'数据-取费表'!B35</f>
        <v>200</v>
      </c>
      <c r="F37" s="259"/>
      <c r="G37" s="261"/>
    </row>
    <row r="38" spans="1:7" ht="13.5" customHeight="1">
      <c r="A38" s="780" t="s">
        <v>354</v>
      </c>
      <c r="B38" s="215" t="s">
        <v>1533</v>
      </c>
      <c r="C38" s="220">
        <f ca="1">ROUND(C34*F38,0)</f>
        <v>1000985</v>
      </c>
      <c r="D38" s="220"/>
      <c r="E38" s="220"/>
      <c r="F38" s="259">
        <f>'数据-取费表'!B36</f>
        <v>0.02</v>
      </c>
      <c r="G38" s="219" t="s">
        <v>1528</v>
      </c>
    </row>
    <row r="39" spans="1:7" s="214" customFormat="1" ht="13.5" customHeight="1">
      <c r="A39" s="255" t="s">
        <v>1534</v>
      </c>
      <c r="B39" s="210" t="s">
        <v>1535</v>
      </c>
      <c r="C39" s="232">
        <f ca="1">ROUND(C33*F20,0)</f>
        <v>1137786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1326692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1300678</v>
      </c>
      <c r="D42" s="238"/>
      <c r="E42" s="238"/>
      <c r="F42" s="239"/>
      <c r="G42" s="3661" t="s">
        <v>1591</v>
      </c>
    </row>
    <row r="43" spans="1:7" ht="13.5" customHeight="1">
      <c r="A43" s="780" t="s">
        <v>347</v>
      </c>
      <c r="B43" s="215" t="s">
        <v>1545</v>
      </c>
      <c r="C43" s="238">
        <f ca="1">ROUND(IF('数据-取费表'!B22&lt;=1,C39*F22*'数据-取费表'!B20/2,C39*(POWER((1+F22),'数据-取费表'!B20/2)-1)),0)</f>
        <v>26014</v>
      </c>
      <c r="D43" s="238"/>
      <c r="E43" s="238"/>
      <c r="F43" s="239"/>
      <c r="G43" s="3662"/>
    </row>
    <row r="44" spans="1:7" ht="13.5" customHeight="1">
      <c r="A44" s="780" t="s">
        <v>348</v>
      </c>
      <c r="B44" s="215" t="s">
        <v>1546</v>
      </c>
      <c r="C44" s="238">
        <f ca="1">ROUND(IF('数据-取费表'!B22&lt;=1,C40*F22*'数据-取费表'!B20/2,C40*(POWER((1+F22),'数据-取费表'!B20/2)-1)),4)</f>
        <v>5.0000000000000001E-4</v>
      </c>
      <c r="D44" s="238"/>
      <c r="E44" s="238"/>
      <c r="F44" s="239"/>
      <c r="G44" s="3663"/>
    </row>
    <row r="45" spans="1:7" s="214" customFormat="1" ht="13.5" customHeight="1">
      <c r="A45" s="255" t="s">
        <v>1547</v>
      </c>
      <c r="B45" s="244" t="s">
        <v>1513</v>
      </c>
      <c r="C45" s="245">
        <f ca="1">C46</f>
        <v>5802709</v>
      </c>
      <c r="D45" s="235">
        <f ca="1">C47</f>
        <v>2E-3</v>
      </c>
      <c r="E45" s="236" t="s">
        <v>1539</v>
      </c>
      <c r="F45" s="246">
        <f ca="1">F27</f>
        <v>0.1</v>
      </c>
      <c r="G45" s="247" t="s">
        <v>1548</v>
      </c>
    </row>
    <row r="46" spans="1:7" s="214" customFormat="1" ht="13.5" customHeight="1">
      <c r="A46" s="780" t="s">
        <v>346</v>
      </c>
      <c r="B46" s="248" t="s">
        <v>1549</v>
      </c>
      <c r="C46" s="249">
        <f ca="1">ROUND((C33+C39)*F27,0)</f>
        <v>5802709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70431834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59867059</v>
      </c>
      <c r="D51" s="232"/>
      <c r="E51" s="232"/>
      <c r="F51" s="264"/>
      <c r="G51" s="234" t="s">
        <v>1560</v>
      </c>
    </row>
    <row r="52" spans="1:7" s="208" customFormat="1" ht="16.8" thickBot="1">
      <c r="A52" s="265" t="s">
        <v>1561</v>
      </c>
      <c r="B52" s="266"/>
      <c r="C52" s="267">
        <f ca="1">C31+C51</f>
        <v>109757493</v>
      </c>
      <c r="D52" s="266"/>
      <c r="E52" s="266"/>
      <c r="F52" s="266"/>
      <c r="G52" s="268"/>
    </row>
    <row r="55" spans="1:7" ht="15">
      <c r="B55" s="270" t="s">
        <v>1562</v>
      </c>
      <c r="C55" s="271"/>
    </row>
    <row r="56" spans="1:7">
      <c r="B56" s="273" t="s">
        <v>802</v>
      </c>
      <c r="C56" s="275">
        <f ca="1">1-C57</f>
        <v>0.45499999999999996</v>
      </c>
    </row>
    <row r="57" spans="1:7">
      <c r="B57" s="273" t="s">
        <v>803</v>
      </c>
      <c r="C57" s="274">
        <f ca="1">ROUND(C51/C52,3)</f>
        <v>0.54500000000000004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2" sqref="D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16683.080000000002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3508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4223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2103</v>
      </c>
      <c r="C3" s="1999" t="s">
        <v>1941</v>
      </c>
      <c r="D3" s="2000" t="s">
        <v>1942</v>
      </c>
      <c r="E3" s="3420" t="s">
        <v>2483</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3329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2813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1655</v>
      </c>
      <c r="D5" s="1339">
        <f>ROUND(C6*C17+C20,0)</f>
        <v>1655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2481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2385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1730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f>ROUND(IF(F21="与级别开发程度一致",0,(G21-E21)/C21),0)</f>
        <v>-75</v>
      </c>
      <c r="D20" s="3341" t="s">
        <v>1998</v>
      </c>
      <c r="E20" s="3342"/>
      <c r="F20" s="3783" t="s">
        <v>1995</v>
      </c>
      <c r="G20" s="3784"/>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7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25</v>
      </c>
      <c r="I21" s="2165">
        <f>SUMPRODUCT((七通一平=I20)*(修正!B1:M1=G2)*(修正!B8:M16))</f>
        <v>40</v>
      </c>
      <c r="J21" s="2166">
        <f>SUMPRODUCT((七通一平=J20)*(修正!B1:M1=G2)*(修正!B8:M16))</f>
        <v>60</v>
      </c>
      <c r="K21" s="2165">
        <f>SUMPRODUCT((七通一平=K20)*(修正!B1:M1=G2)*(修正!B8:M16))</f>
        <v>15</v>
      </c>
      <c r="L21" s="2165">
        <f>SUMPRODUCT((七通一平=L20)*(修正!B1:M1=G2)*(修正!B8:M16))</f>
        <v>70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45952</v>
      </c>
      <c r="H23" s="3343" t="s">
        <v>3428</v>
      </c>
      <c r="I23" s="3344" t="str">
        <f>IF(H23="季度增幅（自定义）",SUMIF(N25:N28,E2,O25:O28),"")</f>
        <v/>
      </c>
      <c r="J23" s="3446" t="s">
        <v>3429</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0.74780000000000002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0.74780000000000002</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3508</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2103</v>
      </c>
      <c r="D33" s="2098">
        <f>'数据-基础表'!I13</f>
        <v>16683.080000000002</v>
      </c>
      <c r="E33" s="773">
        <f>ROUND(C33*D33/10000,0)</f>
        <v>3508</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315</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3.0599999999999999E-2</v>
      </c>
      <c r="M36" s="3358">
        <f ca="1">ROUND($L$36*(1+M31),3)</f>
        <v>3.7999999999999999E-2</v>
      </c>
      <c r="N36" s="3358">
        <f ca="1">ROUND($L$36*(1+N31),3)</f>
        <v>3.6999999999999998E-2</v>
      </c>
      <c r="O36" s="3358">
        <f ca="1">ROUND($L$36*(1+O31),3)</f>
        <v>3.5000000000000003E-2</v>
      </c>
      <c r="P36" s="3358">
        <f ca="1">ROUND($L$36*(1+P31),3)</f>
        <v>3.4000000000000002E-2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f>ROUND(D5*C22*C23*C24*C28*F37,0)</f>
        <v>1687</v>
      </c>
      <c r="D37" s="2098"/>
      <c r="E37" s="171">
        <f>ROUND(C37*D37/10000,0)</f>
        <v>0</v>
      </c>
      <c r="F37" s="171">
        <f>SUMIF(修正!A59:A70,G2,修正!B59:B70)</f>
        <v>0.6</v>
      </c>
      <c r="G37" s="171">
        <f>ROUND(IF(E2="工业",C37*$M$42,C37*$M$41),0)</f>
        <v>253</v>
      </c>
      <c r="H37" s="171">
        <f>D37</f>
        <v>0</v>
      </c>
      <c r="I37" s="171">
        <f>ROUND(G37*H37/10000,0)</f>
        <v>0</v>
      </c>
      <c r="J37" s="3012"/>
      <c r="K37" s="3359" t="s">
        <v>3264</v>
      </c>
      <c r="L37" s="3357">
        <f ca="1">L36+K38</f>
        <v>3.56E-2</v>
      </c>
      <c r="M37" s="3358">
        <f ca="1">ROUND($L$37*(1+M31),3)</f>
        <v>4.4999999999999998E-2</v>
      </c>
      <c r="N37" s="3358">
        <f t="shared" ref="N37:Q37" ca="1" si="3">ROUND($L$37*(1+N31),3)</f>
        <v>4.2999999999999997E-2</v>
      </c>
      <c r="O37" s="3358">
        <f t="shared" ca="1" si="3"/>
        <v>4.1000000000000002E-2</v>
      </c>
      <c r="P37" s="3358">
        <f t="shared" ca="1" si="3"/>
        <v>3.9E-2</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844</v>
      </c>
      <c r="D38" s="2098"/>
      <c r="E38" s="171">
        <f t="shared" ref="E38:E42" si="4">ROUND(C38*D38/10000,0)</f>
        <v>0</v>
      </c>
      <c r="F38" s="171">
        <f>SUMIF(修正!A59:A70,G2,修正!C59:C70)</f>
        <v>0.3</v>
      </c>
      <c r="G38" s="171">
        <f>ROUND(IF(E2="工业",C38*$M$42,C38*$M$41),0)</f>
        <v>127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3257</v>
      </c>
      <c r="C39" s="175">
        <f>ROUND(D5*C22*C23*C24*C28*F39,0)</f>
        <v>703</v>
      </c>
      <c r="D39" s="2098"/>
      <c r="E39" s="171">
        <f t="shared" si="4"/>
        <v>0</v>
      </c>
      <c r="F39" s="171">
        <f>SUMIF(修正!A59:A70,G2,修正!D59:D70)</f>
        <v>0.25</v>
      </c>
      <c r="G39" s="171">
        <f>ROUND(IF(E2="工业",C39*$M$42,C39*$M$41),0)</f>
        <v>105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703</v>
      </c>
      <c r="D40" s="2098"/>
      <c r="E40" s="171">
        <f t="shared" si="4"/>
        <v>0</v>
      </c>
      <c r="F40" s="175">
        <f>SUMIF(修正!A59:A70,G2,修正!E59:E70)</f>
        <v>0.25</v>
      </c>
      <c r="G40" s="171">
        <f>ROUND(IF(E2="工业",C40*$M$42,C40*$M$41),0)</f>
        <v>105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1.0397000000000001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3430</v>
      </c>
      <c r="D83" s="1065">
        <f t="shared" ref="D83:D90" si="22">SUMIF($J$82:$N$82,C83,J83:N83)</f>
        <v>1.6899999999999998E-2</v>
      </c>
      <c r="E83" s="744">
        <f>ROUND(SUM(D83:D90),4)</f>
        <v>3.9699999999999999E-2</v>
      </c>
      <c r="F83" s="1814">
        <f>IF(E2="工业",SUMIF(L1:L12,G2,N1:N12),"——")</f>
        <v>0.13</v>
      </c>
      <c r="G83" s="1063">
        <v>1.6899999999999998E-2</v>
      </c>
      <c r="H83" s="1066">
        <f t="shared" ref="G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3431</v>
      </c>
      <c r="D84" s="1065">
        <f t="shared" si="22"/>
        <v>0</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48">
      <c r="A85" s="3369" t="s">
        <v>3268</v>
      </c>
      <c r="B85" s="2134">
        <f>估价对象房地状况!G17</f>
        <v>0</v>
      </c>
      <c r="C85" s="2044" t="s">
        <v>3430</v>
      </c>
      <c r="D85" s="1065">
        <f t="shared" si="22"/>
        <v>6.4999999999999997E-3</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3.8">
      <c r="A86" s="2130" t="s">
        <v>2067</v>
      </c>
      <c r="B86" s="2134">
        <f>估价对象房地状况!G22</f>
        <v>0</v>
      </c>
      <c r="C86" s="2044" t="s">
        <v>3432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2059</v>
      </c>
      <c r="B87" s="1326" t="str">
        <f>估价对象房地状况!G19</f>
        <v>估价对象所在区域公共配套设施齐备情况</v>
      </c>
      <c r="C87" s="2044" t="s">
        <v>3431</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6.4">
      <c r="A88" s="2130" t="s">
        <v>2060</v>
      </c>
      <c r="B88" s="1326" t="str">
        <f>估价对象房地状况!G20</f>
        <v>估价对象所在区域基础设施水平</v>
      </c>
      <c r="C88" s="2044" t="s">
        <v>3433</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36">
      <c r="A89" s="2130" t="s">
        <v>2057</v>
      </c>
      <c r="B89" s="2136" t="s">
        <v>2071</v>
      </c>
      <c r="C89" s="2044" t="s">
        <v>3430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40.200000000000003" thickBot="1">
      <c r="A90" s="2138" t="s">
        <v>2072</v>
      </c>
      <c r="B90" s="2143" t="str">
        <f>估价对象房地状况!G18</f>
        <v>该园区内是否有污染型企业，绿化情况，卫生条件，整体环境状况判断</v>
      </c>
      <c r="C90" s="2044" t="s">
        <v>3431</v>
      </c>
      <c r="D90" s="1065">
        <f t="shared" si="22"/>
        <v>0</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2.5</v>
      </c>
      <c r="C116" s="3400" t="s">
        <v>3311</v>
      </c>
      <c r="D116" s="3401">
        <f>SUMPRODUCT((A118:A122=F116)*(B117:M117=H116)*B118:M122)</f>
        <v>0.61619999999999997</v>
      </c>
      <c r="E116" s="2000" t="s">
        <v>3312</v>
      </c>
      <c r="F116" s="3402" t="str">
        <f>E2</f>
        <v>工业</v>
      </c>
      <c r="G116" s="2000" t="s">
        <v>3313</v>
      </c>
      <c r="H116" s="3402" t="str">
        <f>G2</f>
        <v>七级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3327</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3328</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3329</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sqref="A1:D12"/>
    </sheetView>
  </sheetViews>
  <sheetFormatPr defaultRowHeight="14.4"/>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8" sqref="F38"/>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-364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16683.080000000002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16683.080000000002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334</v>
      </c>
      <c r="D20" s="846">
        <f ca="1">IF(C1="",'数据-汇总表'!E6,IF(INDIRECT("'数据-取费表'!c"&amp;$K$1)="住宅",INDIRECT("'数据-取费表'!s"&amp;$K$1),INDIRECT("'数据-取费表'!k"&amp;$K$1)+INDIRECT("'数据-取费表'!s"&amp;$K$1)))</f>
        <v>16683.080000000002</v>
      </c>
      <c r="E20" s="21">
        <f>'数据-取费表'!B28</f>
        <v>200</v>
      </c>
      <c r="F20" s="804"/>
      <c r="G20" s="12"/>
      <c r="H20" s="809"/>
      <c r="I20" s="809"/>
      <c r="J20" s="809"/>
      <c r="K20" s="810"/>
    </row>
    <row r="21" spans="1:33" s="803" customFormat="1" ht="13.5" customHeight="1">
      <c r="A21" s="790" t="s">
        <v>357</v>
      </c>
      <c r="B21" s="813" t="s">
        <v>1628</v>
      </c>
      <c r="C21" s="814">
        <f ca="1">C16+C17+C18</f>
        <v>334</v>
      </c>
      <c r="D21" s="815"/>
      <c r="E21" s="281"/>
      <c r="F21" s="281"/>
      <c r="G21" s="131" t="s">
        <v>1629</v>
      </c>
      <c r="H21" s="807"/>
      <c r="I21" s="807"/>
      <c r="J21" s="807"/>
      <c r="K21" s="808"/>
    </row>
    <row r="22" spans="1:33" s="803" customFormat="1" ht="13.5" customHeight="1">
      <c r="A22" s="790" t="s">
        <v>1601</v>
      </c>
      <c r="B22" s="813" t="s">
        <v>1630</v>
      </c>
      <c r="C22" s="814">
        <f ca="1">ROUND(C21*F22,0)</f>
        <v>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估价对象为房地产，为所有。根据《国有土地使用证》[]，估价对象（分摊）出让国有建设用地使用权面积为6666.7平方米，建筑面积为16683.08平方米。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估价对象为房地产,属开发建设的，该项目尚在开发建设中。根据《国有土地使用证》[]，估价对象（分摊）出让国有建设用地使用权面积为6666.7平方米，规划建筑面积为16683.08平方米。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2025年10月22日（评估专业人员实地查勘之日）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8" sqref="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3356</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2"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2"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16683.080000000002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 thickBot="1">
      <c r="A7" s="362" t="s">
        <v>1679</v>
      </c>
      <c r="B7" s="363"/>
      <c r="C7" s="364">
        <f>'数据-取费表'!B2</f>
        <v>45952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16683.080000000002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45952</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 thickBot="1">
      <c r="A7" s="362" t="s">
        <v>1679</v>
      </c>
      <c r="B7" s="363"/>
      <c r="C7" s="364">
        <f>'数据-取费表'!B2</f>
        <v>45952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16683.080000000002</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16683.080000000002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16683.080000000002</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6666.7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3508</v>
      </c>
      <c r="C2" s="2145" t="s">
        <v>2074</v>
      </c>
      <c r="D2" s="2145" t="s">
        <v>2075</v>
      </c>
      <c r="E2" s="2612">
        <f ca="1">SUMIF(E6:E13,"&lt;&gt;#ref!",E6:E13)</f>
        <v>16683.080000000002</v>
      </c>
      <c r="F2" s="2793"/>
      <c r="G2" s="2793"/>
      <c r="H2" s="2793"/>
      <c r="I2" s="2793"/>
      <c r="J2" s="2793"/>
      <c r="K2" s="2793"/>
      <c r="L2" s="2793"/>
      <c r="M2" s="2793"/>
      <c r="N2" s="2793"/>
      <c r="O2" s="2793"/>
      <c r="P2" s="2793"/>
    </row>
    <row r="3" spans="1:16" ht="15.6">
      <c r="A3" s="2145" t="s">
        <v>2076</v>
      </c>
      <c r="B3" s="2602">
        <f ca="1">ROUND(B2*10000/E2,0)</f>
        <v>2103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3508</v>
      </c>
      <c r="C6" s="2145" t="s">
        <v>2074</v>
      </c>
      <c r="D6" s="2793"/>
      <c r="E6" s="2612">
        <f ca="1">SUMIF(INDIRECT("'"&amp;A6&amp;"'"&amp;"!C:C"),"建筑面积",INDIRECT("'"&amp;A6&amp;"'"&amp;"!D:D"))</f>
        <v>16683.080000000002</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3406</v>
      </c>
      <c r="D26" s="3470"/>
      <c r="E26" s="3471">
        <v>0.43</v>
      </c>
      <c r="F26" s="3106"/>
      <c r="G26" s="3106"/>
    </row>
    <row r="27" spans="1:13" ht="19.5" customHeight="1" thickBot="1">
      <c r="A27" s="3798"/>
      <c r="B27" s="3790"/>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4.4">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24">
      <c r="A87" s="3118">
        <v>13</v>
      </c>
      <c r="B87" s="3788"/>
      <c r="C87" s="3092" t="s">
        <v>2676</v>
      </c>
      <c r="D87" s="3092" t="s">
        <v>2677</v>
      </c>
      <c r="E87" s="3118">
        <v>0.1</v>
      </c>
      <c r="F87" s="3118">
        <v>15</v>
      </c>
    </row>
    <row r="88" spans="1:6" ht="24">
      <c r="A88" s="3118">
        <v>14</v>
      </c>
      <c r="B88" s="3788"/>
      <c r="C88" s="3092" t="s">
        <v>2678</v>
      </c>
      <c r="D88" s="3092" t="s">
        <v>2679</v>
      </c>
      <c r="E88" s="3118">
        <v>0.1</v>
      </c>
      <c r="F88" s="3118">
        <v>15</v>
      </c>
    </row>
    <row r="89" spans="1:6" ht="24">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4.4">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4.4">
      <c r="A94" s="3118">
        <v>20</v>
      </c>
      <c r="B94" s="3788"/>
      <c r="C94" s="3092" t="s">
        <v>2691</v>
      </c>
      <c r="D94" s="3092" t="s">
        <v>2692</v>
      </c>
      <c r="E94" s="3118">
        <v>0.15</v>
      </c>
      <c r="F94" s="3118">
        <v>20</v>
      </c>
    </row>
    <row r="95" spans="1:6" ht="24">
      <c r="A95" s="3118">
        <v>21</v>
      </c>
      <c r="B95" s="3788"/>
      <c r="C95" s="3092" t="s">
        <v>2693</v>
      </c>
      <c r="D95" s="3092" t="s">
        <v>2694</v>
      </c>
      <c r="E95" s="3118">
        <v>0.15</v>
      </c>
      <c r="F95" s="3118">
        <v>20</v>
      </c>
    </row>
    <row r="96" spans="1:6" ht="24">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24">
      <c r="A98" s="3118">
        <v>24</v>
      </c>
      <c r="B98" s="3788"/>
      <c r="C98" s="3092" t="s">
        <v>2699</v>
      </c>
      <c r="D98" s="3092" t="s">
        <v>2700</v>
      </c>
      <c r="E98" s="3118">
        <v>0.1</v>
      </c>
      <c r="F98" s="3118">
        <v>15</v>
      </c>
    </row>
    <row r="99" spans="1:6" ht="24">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24">
      <c r="A102" s="3118">
        <v>28</v>
      </c>
      <c r="B102" s="3788"/>
      <c r="C102" s="3092" t="s">
        <v>2707</v>
      </c>
      <c r="D102" s="3092" t="s">
        <v>2708</v>
      </c>
      <c r="E102" s="3118">
        <v>0.1</v>
      </c>
      <c r="F102" s="3118">
        <v>15</v>
      </c>
    </row>
    <row r="103" spans="1:6" ht="24">
      <c r="A103" s="3118">
        <v>29</v>
      </c>
      <c r="B103" s="3788"/>
      <c r="C103" s="3092" t="s">
        <v>2709</v>
      </c>
      <c r="D103" s="3092" t="s">
        <v>2710</v>
      </c>
      <c r="E103" s="3118">
        <v>0.1</v>
      </c>
      <c r="F103" s="3118">
        <v>15</v>
      </c>
    </row>
    <row r="104" spans="1:6" ht="24">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36">
      <c r="A109" s="3118">
        <v>35</v>
      </c>
      <c r="B109" s="3786" t="s">
        <v>2721</v>
      </c>
      <c r="C109" s="3118" t="s">
        <v>2722</v>
      </c>
      <c r="D109" s="3092" t="s">
        <v>2723</v>
      </c>
      <c r="E109" s="3118">
        <v>0.15</v>
      </c>
      <c r="F109" s="3118">
        <v>20</v>
      </c>
    </row>
    <row r="110" spans="1:6" ht="24">
      <c r="A110" s="3118">
        <v>36</v>
      </c>
      <c r="B110" s="3788"/>
      <c r="C110" s="3118" t="s">
        <v>2724</v>
      </c>
      <c r="D110" s="3092" t="s">
        <v>2725</v>
      </c>
      <c r="E110" s="3118">
        <v>0.15</v>
      </c>
      <c r="F110" s="3118">
        <v>20</v>
      </c>
    </row>
    <row r="111" spans="1:6" ht="24">
      <c r="A111" s="3118">
        <v>37</v>
      </c>
      <c r="B111" s="3788"/>
      <c r="C111" s="3118" t="s">
        <v>2726</v>
      </c>
      <c r="D111" s="3092" t="s">
        <v>2727</v>
      </c>
      <c r="E111" s="3118">
        <v>0.15</v>
      </c>
      <c r="F111" s="3118">
        <v>20</v>
      </c>
    </row>
    <row r="112" spans="1:6" ht="24">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24">
      <c r="A115" s="3118">
        <v>41</v>
      </c>
      <c r="B115" s="3785" t="s">
        <v>2734</v>
      </c>
      <c r="C115" s="3118" t="s">
        <v>2735</v>
      </c>
      <c r="D115" s="3092" t="s">
        <v>2736</v>
      </c>
      <c r="E115" s="3118">
        <v>0.1</v>
      </c>
      <c r="F115" s="3118">
        <v>15</v>
      </c>
    </row>
    <row r="116" spans="1:6" ht="24">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24">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24">
      <c r="A122" s="3118">
        <v>48</v>
      </c>
      <c r="B122" s="3786" t="s">
        <v>2751</v>
      </c>
      <c r="C122" s="3118" t="s">
        <v>2752</v>
      </c>
      <c r="D122" s="3092" t="s">
        <v>2753</v>
      </c>
      <c r="E122" s="3118">
        <v>0.1</v>
      </c>
      <c r="F122" s="3118">
        <v>15</v>
      </c>
    </row>
    <row r="123" spans="1:6" ht="24">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85" t="s">
        <v>2769</v>
      </c>
      <c r="C129" s="3118" t="s">
        <v>2770</v>
      </c>
      <c r="D129" s="3092" t="s">
        <v>2771</v>
      </c>
      <c r="E129" s="3118">
        <v>0.1</v>
      </c>
      <c r="F129" s="3118">
        <v>15</v>
      </c>
    </row>
    <row r="130" spans="1:6" ht="24">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24">
      <c r="A133" s="3118">
        <v>59</v>
      </c>
      <c r="B133" s="3785"/>
      <c r="C133" s="3118" t="s">
        <v>2779</v>
      </c>
      <c r="D133" s="3092" t="s">
        <v>2780</v>
      </c>
      <c r="E133" s="3118">
        <v>0.1</v>
      </c>
      <c r="F133" s="3118">
        <v>15</v>
      </c>
    </row>
    <row r="134" spans="1:6" ht="24">
      <c r="A134" s="3118">
        <v>60</v>
      </c>
      <c r="B134" s="3786" t="s">
        <v>2781</v>
      </c>
      <c r="C134" s="3118" t="s">
        <v>2782</v>
      </c>
      <c r="D134" s="3092" t="s">
        <v>2783</v>
      </c>
      <c r="E134" s="3118">
        <v>0.1</v>
      </c>
      <c r="F134" s="3118">
        <v>15</v>
      </c>
    </row>
    <row r="135" spans="1:6" ht="24">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85" t="s">
        <v>2789</v>
      </c>
      <c r="C137" s="3118" t="s">
        <v>2790</v>
      </c>
      <c r="D137" s="3092" t="s">
        <v>2791</v>
      </c>
      <c r="E137" s="3118">
        <v>0.1</v>
      </c>
      <c r="F137" s="3118">
        <v>15</v>
      </c>
    </row>
    <row r="138" spans="1:6" ht="24">
      <c r="A138" s="3118">
        <v>64</v>
      </c>
      <c r="B138" s="3785"/>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32688</v>
      </c>
      <c r="C2" s="2" t="s">
        <v>106</v>
      </c>
      <c r="D2" s="199"/>
      <c r="E2" s="199"/>
      <c r="F2" s="199"/>
      <c r="G2" s="199"/>
    </row>
    <row r="3" spans="1:7" s="200" customFormat="1" ht="18" customHeight="1" thickBot="1">
      <c r="A3" s="203" t="s">
        <v>58</v>
      </c>
      <c r="B3" s="204">
        <f ca="1">ROUND(B2*10000/'数据-汇总表'!E3,0)</f>
        <v>19594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334</v>
      </c>
      <c r="D10" s="845">
        <f>'数据-汇总表'!E6</f>
        <v>16683.080000000002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526</v>
      </c>
      <c r="D19" s="849">
        <f>'数据-汇总表'!E3</f>
        <v>16683.080000000002</v>
      </c>
      <c r="E19" s="211">
        <f>'数据-取费表'!B31</f>
        <v>315</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987</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2156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5689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5005</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334</v>
      </c>
      <c r="D37" s="217">
        <f>'数据-汇总表'!E3</f>
        <v>16683.080000000002</v>
      </c>
      <c r="E37" s="249">
        <f>'数据-取费表'!B35</f>
        <v>200</v>
      </c>
      <c r="F37" s="259"/>
      <c r="G37" s="261" t="s">
        <v>92</v>
      </c>
    </row>
    <row r="38" spans="1:7" ht="13.5" customHeight="1">
      <c r="A38" s="780" t="s">
        <v>354</v>
      </c>
      <c r="B38" s="215" t="s">
        <v>36</v>
      </c>
      <c r="C38" s="220">
        <f>ROUND(C34*F38,0)</f>
        <v>100</v>
      </c>
      <c r="D38" s="220"/>
      <c r="E38" s="220"/>
      <c r="F38" s="259">
        <f>'数据-取费表'!B36</f>
        <v>0.02</v>
      </c>
      <c r="G38" s="219" t="s">
        <v>90</v>
      </c>
    </row>
    <row r="39" spans="1:7" s="214" customFormat="1" ht="13.5" customHeight="1">
      <c r="A39" s="777" t="s">
        <v>338</v>
      </c>
      <c r="B39" s="210" t="s">
        <v>77</v>
      </c>
      <c r="C39" s="232">
        <f>ROUND(C33*F20,0)</f>
        <v>114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61" t="s">
        <v>94</v>
      </c>
    </row>
    <row r="43" spans="1:7" ht="13.5" customHeight="1">
      <c r="A43" s="780" t="s">
        <v>347</v>
      </c>
      <c r="B43" s="215" t="s">
        <v>426</v>
      </c>
      <c r="C43" s="238">
        <f ca="1">ROUND(IF('数据-取费表'!B22&lt;=1,C39*F22*'数据-取费表'!B21/2,C39*(POWER((1+F22),'数据-取费表'!B21/2)-1)),0)</f>
        <v>3</v>
      </c>
      <c r="D43" s="238"/>
      <c r="E43" s="238"/>
      <c r="F43" s="239"/>
      <c r="G43" s="3662"/>
    </row>
    <row r="44" spans="1:7" ht="13.5" customHeight="1">
      <c r="A44" s="780" t="s">
        <v>348</v>
      </c>
      <c r="B44" s="215" t="s">
        <v>428</v>
      </c>
      <c r="C44" s="238">
        <f ca="1">ROUND(IF('数据-取费表'!B22&lt;=1,C40*F22*'数据-取费表'!B21/2,C40*(POWER((1+F22),'数据-取费表'!B21/2)-1)),4)</f>
        <v>5.0000000000000001E-4</v>
      </c>
      <c r="D44" s="238"/>
      <c r="E44" s="238"/>
      <c r="F44" s="239"/>
      <c r="G44" s="3663"/>
    </row>
    <row r="45" spans="1:7" s="214" customFormat="1" ht="13.5" customHeight="1">
      <c r="A45" s="777" t="s">
        <v>341</v>
      </c>
      <c r="B45" s="244" t="s">
        <v>85</v>
      </c>
      <c r="C45" s="245">
        <f>C46</f>
        <v>580</v>
      </c>
      <c r="D45" s="235">
        <f>C47</f>
        <v>2E-3</v>
      </c>
      <c r="E45" s="236" t="s">
        <v>102</v>
      </c>
      <c r="F45" s="246"/>
      <c r="G45" s="247" t="s">
        <v>434</v>
      </c>
    </row>
    <row r="46" spans="1:7" s="214" customFormat="1" ht="13.5" customHeight="1">
      <c r="A46" s="780" t="s">
        <v>349</v>
      </c>
      <c r="B46" s="248" t="s">
        <v>427</v>
      </c>
      <c r="C46" s="249">
        <f>ROUND((C33+C39)*F27,0)</f>
        <v>580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7043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5987</v>
      </c>
      <c r="D51" s="232"/>
      <c r="E51" s="232"/>
      <c r="F51" s="264"/>
      <c r="G51" s="234" t="s">
        <v>37</v>
      </c>
    </row>
    <row r="52" spans="1:7" s="208" customFormat="1" ht="16.8" thickBot="1">
      <c r="A52" s="265" t="s">
        <v>38</v>
      </c>
      <c r="B52" s="266"/>
      <c r="C52" s="267">
        <f ca="1">C31+C51</f>
        <v>32688</v>
      </c>
      <c r="D52" s="266"/>
      <c r="E52" s="266"/>
      <c r="F52" s="266"/>
      <c r="G52" s="268"/>
    </row>
    <row r="55" spans="1:7" ht="15">
      <c r="B55" s="270" t="s">
        <v>39</v>
      </c>
      <c r="C55" s="271"/>
    </row>
    <row r="56" spans="1:7">
      <c r="B56" s="273" t="s">
        <v>40</v>
      </c>
      <c r="C56" s="274">
        <f ca="1">ROUND(C51/C52,3)</f>
        <v>0.183</v>
      </c>
    </row>
    <row r="57" spans="1:7">
      <c r="B57" s="273" t="s">
        <v>41</v>
      </c>
      <c r="C57" s="275">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9" t="s">
        <v>3181</v>
      </c>
      <c r="B1" s="379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45952</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3378</v>
      </c>
    </row>
    <row r="27" spans="1:44" s="3009" customFormat="1">
      <c r="I27" s="3208" t="s">
        <v>2825</v>
      </c>
    </row>
    <row r="28" spans="1:44" s="3009" customFormat="1"/>
    <row r="29" spans="1:44" s="3209" customFormat="1" ht="13.2">
      <c r="B29" s="3210" t="s">
        <v>3376</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6">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16683.080000000002</v>
      </c>
      <c r="C4" s="854">
        <f>项目基本情况!C18</f>
        <v>6666.7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6">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6">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6">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6">
      <c r="A12" s="3491" t="str">
        <f>结果表!A126</f>
        <v/>
      </c>
      <c r="B12" s="3491"/>
      <c r="C12" s="3491"/>
      <c r="D12" s="3491" t="str">
        <f>结果表!D126</f>
        <v>——</v>
      </c>
      <c r="E12" s="3491"/>
      <c r="F12" s="3491"/>
      <c r="G12" s="3491"/>
      <c r="H12" s="3491"/>
      <c r="I12" s="3491"/>
    </row>
    <row r="13" spans="1:9" ht="15.6" thickBot="1">
      <c r="A13" s="3489" t="s">
        <v>927</v>
      </c>
      <c r="B13" s="3489"/>
      <c r="C13" s="3489"/>
      <c r="D13" s="3489" t="e">
        <f>结果表!D127</f>
        <v>#VALUE!</v>
      </c>
      <c r="E13" s="3489"/>
      <c r="F13" s="3489"/>
      <c r="G13" s="3489"/>
      <c r="H13" s="3489"/>
      <c r="I13" s="3489"/>
    </row>
    <row r="14" spans="1:9" ht="14.4" thickTop="1">
      <c r="A14" s="3490" t="s">
        <v>932</v>
      </c>
      <c r="B14" s="3490"/>
      <c r="C14" s="3490"/>
      <c r="D14" s="3490"/>
      <c r="E14" s="3490"/>
      <c r="F14" s="3490"/>
      <c r="G14" s="3490"/>
      <c r="H14" s="3490"/>
      <c r="I14" s="349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45952</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4" t="s">
        <v>949</v>
      </c>
      <c r="B1" s="3504"/>
      <c r="C1" s="3504"/>
      <c r="D1" s="3504"/>
    </row>
    <row r="2" spans="1:4" ht="17.399999999999999">
      <c r="A2" s="3505" t="s">
        <v>933</v>
      </c>
      <c r="B2" s="3505"/>
      <c r="C2" s="3505"/>
      <c r="D2" s="350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5" t="s">
        <v>939</v>
      </c>
      <c r="B6" s="3505"/>
      <c r="C6" s="3505"/>
      <c r="D6" s="350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6"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成本分析</vt:lpstr>
      <vt:lpstr>结果</vt:lpstr>
      <vt:lpstr>比较法-仓储</vt:lpstr>
      <vt:lpstr>Sheet4</vt:lpstr>
      <vt:lpstr>成本法 (元)</vt:lpstr>
      <vt:lpstr>基准地价修正</vt:lpstr>
      <vt:lpstr>Sheet2</vt:lpstr>
      <vt:lpstr>Sheet1</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2025-10-24T08:20:22Z</dcterms:modified>
</cp:coreProperties>
</file>