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咨询报告\2025-1-0796北京市顺义区南法信段1号院\"/>
    </mc:Choice>
  </mc:AlternateContent>
  <bookViews>
    <workbookView xWindow="276" yWindow="12" windowWidth="14388" windowHeight="12228" tabRatio="899" firstSheet="13"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分析" sheetId="82" r:id="rId20"/>
    <sheet name="结果" sheetId="84" r:id="rId21"/>
    <sheet name="比较法-仓储" sheetId="36" r:id="rId22"/>
    <sheet name="Sheet4" sheetId="83" r:id="rId23"/>
    <sheet name="成本法 (元)" sheetId="69" r:id="rId24"/>
    <sheet name="基准地价修正" sheetId="43" r:id="rId25"/>
    <sheet name="Sheet2" sheetId="81" r:id="rId26"/>
    <sheet name="Sheet1" sheetId="80" r:id="rId27"/>
    <sheet name="假设开发法" sheetId="12" state="hidden" r:id="rId28"/>
    <sheet name="收益法" sheetId="15" state="hidden" r:id="rId29"/>
    <sheet name="收益法 (元)" sheetId="67" r:id="rId30"/>
    <sheet name="收益法-酒店模型" sheetId="77" state="hidden" r:id="rId31"/>
    <sheet name="收益法（汇总）" sheetId="70"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r:id="rId48"/>
    <sheet name="区片价" sheetId="44" r:id="rId49"/>
    <sheet name="存贷款利率" sheetId="73" r:id="rId50"/>
  </sheets>
  <externalReferences>
    <externalReference r:id="rId51"/>
    <externalReference r:id="rId52"/>
    <externalReference r:id="rId53"/>
    <externalReference r:id="rId54"/>
  </externalReferences>
  <definedNames>
    <definedName name="_xlnm._FilterDatabase" localSheetId="34" hidden="1">'比较法-办公'!$A$1:$L$50</definedName>
    <definedName name="_xlnm._FilterDatabase" localSheetId="21"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21">'比较法-仓储'!$A$1:$K$42,'比较法-仓储'!$A$45:$M$96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4">基准地价修正!$A$1:$J$44,基准地价修正!$A$47:$H$101,基准地价修正!$R$1:$V$16</definedName>
    <definedName name="_xlnm.Print_Area" localSheetId="27">假设开发法!$A$1:$K$32</definedName>
    <definedName name="_xlnm.Print_Area" localSheetId="17">结果表!$A$1:$I$127</definedName>
    <definedName name="_xlnm.Print_Area" localSheetId="28">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 localSheetId="19">#REF!</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别">#REF!</definedName>
    <definedName name="产权性质">#REF!</definedName>
    <definedName name="产业集聚程度">定义!$N$1:$N$6</definedName>
    <definedName name="朝向">#REF!</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成本分析">#REF!</definedName>
    <definedName name="成本分析1">#REF!</definedName>
    <definedName name="城镇土地纳税等级分级范围">'数据-取费表'!$A$53:$A$63</definedName>
    <definedName name="单价内涵">定义!$V$1:$V$3</definedName>
    <definedName name="单元">#REF!</definedName>
    <definedName name="地类判定">定义!$H$1:$H$9</definedName>
    <definedName name="抵押状况">#REF!</definedName>
    <definedName name="独立使用性分析">#REF!</definedName>
    <definedName name="二级" localSheetId="19">#REF!</definedName>
    <definedName name="二级">区片价!$J$1:$J$21</definedName>
    <definedName name="二级分类">修正!$C$19:$C$53</definedName>
    <definedName name="发证日期">#REF!</definedName>
    <definedName name="法定最高年限">定义!$G$1:$G$6</definedName>
    <definedName name="法定最高土地使用年限">#REF!</definedName>
    <definedName name="房号">#REF!</definedName>
    <definedName name="房间">#REF!</definedName>
    <definedName name="房间号">#REF!</definedName>
    <definedName name="房屋产权性质">[1]楼层测算!$N$2:$N$9</definedName>
    <definedName name="房屋朝向">[1]楼层测算!$A$117:$A$126</definedName>
    <definedName name="房屋装修">[1]楼层测算!$K$2:$K$5</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对象是否为半地下室">#REF!</definedName>
    <definedName name="估价对象所在区县">#REF!</definedName>
    <definedName name="估价范围判定">定义!$D$1:$D$4</definedName>
    <definedName name="估价方法">定义!$B$1:$B$50</definedName>
    <definedName name="户内部分特殊说明">#REF!</definedName>
    <definedName name="环境">定义!$S$1:$S$6</definedName>
    <definedName name="基础设施水平">定义!$R$1:$R$6</definedName>
    <definedName name="基准地价土地级别">#REF!</definedName>
    <definedName name="季度" localSheetId="19">[2]基准地价修正!$O$19:$Z$19</definedName>
    <definedName name="季度">基准地价修正!$Q$19:$AD$19</definedName>
    <definedName name="价值类型2">定义!$B$54:$B$56</definedName>
    <definedName name="建筑结构">[3]楼层测算!$J$2:$J$3</definedName>
    <definedName name="交通便捷度">定义!$O$1:$O$6</definedName>
    <definedName name="教委">#REF!</definedName>
    <definedName name="结构">#REF!</definedName>
    <definedName name="经济寿命">#REF!</definedName>
    <definedName name="九级" localSheetId="19">#REF!</definedName>
    <definedName name="九级">区片价!$Q$1:$Q$51</definedName>
    <definedName name="居住社区成熟度">定义!$K$1:$K$6</definedName>
    <definedName name="扣缴日期">#REF!</definedName>
    <definedName name="类别">定义!$J$1:$J$3</definedName>
    <definedName name="临街状况">定义!$T$1:$T$5</definedName>
    <definedName name="六级" localSheetId="19">#REF!</definedName>
    <definedName name="六级">区片价!$N$1:$N$64</definedName>
    <definedName name="楼栋">#REF!</definedName>
    <definedName name="楼号">#REF!</definedName>
    <definedName name="内部装修维护情况">定义!$U$1:$U$6</definedName>
    <definedName name="配备电梯">[3]楼层测算!$M$2:$M$3</definedName>
    <definedName name="评估方法1">#REF!</definedName>
    <definedName name="评估方法2">#REF!</definedName>
    <definedName name="七级" localSheetId="19">#REF!</definedName>
    <definedName name="七级">区片价!$O$1:$O$45</definedName>
    <definedName name="七通一平">修正!$A$8:$A$16</definedName>
    <definedName name="其他权利">#REF!</definedName>
    <definedName name="区县">#REF!</definedName>
    <definedName name="区域成熟度">#REF!</definedName>
    <definedName name="区域土地利用方向">定义!$P$1:$P$6</definedName>
    <definedName name="取值">#REF!</definedName>
    <definedName name="权属特殊说明">#REF!</definedName>
    <definedName name="三级" localSheetId="19">#REF!</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身份证号码">#REF!</definedName>
    <definedName name="十二级" localSheetId="19">#REF!</definedName>
    <definedName name="十二级">区片价!$T$1:$T$8</definedName>
    <definedName name="十级" localSheetId="19">#REF!</definedName>
    <definedName name="十级">区片价!$R$1:$R$32</definedName>
    <definedName name="十一级" localSheetId="19">#REF!</definedName>
    <definedName name="十一级">区片价!$S$1:$S$21</definedName>
    <definedName name="是否封闭">'比较法-仓储'!$B$89:$M$89</definedName>
    <definedName name="是否直接入户">'比较法-车位'!$B$95:$M$95</definedName>
    <definedName name="四级" localSheetId="19">#REF!</definedName>
    <definedName name="四级">区片价!$L$1:$L$33</definedName>
    <definedName name="所在楼层">[1]楼层测算!$L$2:$L$6</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土地用途">#REF!</definedName>
    <definedName name="位置">定义!$E$2:$E$4</definedName>
    <definedName name="五等判定">定义!$W$1:$W$6</definedName>
    <definedName name="五级" localSheetId="19">#REF!</definedName>
    <definedName name="五级">区片价!$M$1:$M$41</definedName>
    <definedName name="物理结构是否变化">#REF!</definedName>
    <definedName name="项目类型" localSheetId="30">'[4]数据-汇总表'!$C$17:$C$26</definedName>
    <definedName name="项目类型">'数据-汇总表'!$C$17:$C$26</definedName>
    <definedName name="小区临近道路级别">#REF!</definedName>
    <definedName name="写字楼等级">'比较法-办公'!$B$113:$M$113</definedName>
    <definedName name="一级" localSheetId="19">#REF!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银行">#REF!</definedName>
    <definedName name="用途明细">定义!$A$1:$A$50</definedName>
    <definedName name="优先受偿">#REF!</definedName>
    <definedName name="有无电梯">'比较法-仓储'!$B$84:$M$84</definedName>
    <definedName name="原件">#REF!</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资料来源">#REF!</definedName>
    <definedName name="租户名称">#REF!</definedName>
    <definedName name="租户银行账户">#REF!</definedName>
  </definedNames>
  <calcPr calcId="152511"/>
</workbook>
</file>

<file path=xl/calcChain.xml><?xml version="1.0" encoding="utf-8"?>
<calcChain xmlns="http://schemas.openxmlformats.org/spreadsheetml/2006/main">
  <c r="E14" i="74" l="1"/>
  <c r="C14" i="74"/>
  <c r="B14" i="74"/>
  <c r="E35" i="36" l="1"/>
  <c r="I5" i="36"/>
  <c r="G5" i="36"/>
  <c r="E5" i="36"/>
  <c r="I33" i="36"/>
  <c r="G33" i="36"/>
  <c r="E33" i="36"/>
  <c r="I35" i="36"/>
  <c r="G35" i="36"/>
  <c r="I32" i="36"/>
  <c r="F91" i="36" s="1"/>
  <c r="G32" i="36"/>
  <c r="E32" i="36"/>
  <c r="C30" i="36"/>
  <c r="C27" i="36"/>
  <c r="F92" i="36"/>
  <c r="D91" i="36"/>
  <c r="C91" i="36"/>
  <c r="I7" i="36"/>
  <c r="G7" i="36"/>
  <c r="E7" i="36"/>
  <c r="D3" i="84"/>
  <c r="C8" i="82"/>
  <c r="F4" i="82"/>
  <c r="E4" i="82"/>
  <c r="J3" i="82" l="1"/>
  <c r="I4" i="82"/>
  <c r="C4" i="82"/>
  <c r="E6" i="82" l="1"/>
  <c r="C6" i="82" s="1"/>
  <c r="D33" i="43" l="1"/>
  <c r="N6" i="1"/>
  <c r="F19" i="6"/>
  <c r="B3" i="4"/>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S34" i="79"/>
  <c r="AG34" i="79" s="1"/>
  <c r="S35" i="79"/>
  <c r="AG35" i="79" s="1"/>
  <c r="S33" i="79"/>
  <c r="AG33" i="79" s="1"/>
  <c r="AR18" i="79"/>
  <c r="AR19" i="79" s="1"/>
  <c r="AR20" i="79" s="1"/>
  <c r="AR21" i="79" s="1"/>
  <c r="AR22" i="79" s="1"/>
  <c r="AR23" i="79" s="1"/>
  <c r="AR24" i="79" s="1"/>
  <c r="T35" i="79"/>
  <c r="T34" i="79"/>
  <c r="T33" i="79"/>
  <c r="AR40" i="79"/>
  <c r="AR41" i="79" s="1"/>
  <c r="AR42" i="79" s="1"/>
  <c r="AR43" i="79" s="1"/>
  <c r="AR44" i="79" s="1"/>
  <c r="AR45" i="79" s="1"/>
  <c r="AR46" i="79" s="1"/>
  <c r="AR47" i="79" s="1"/>
  <c r="AR48" i="79" s="1"/>
  <c r="AR49" i="79" s="1"/>
  <c r="AR50" i="79" s="1"/>
  <c r="AR51" i="79" s="1"/>
  <c r="AR52" i="79" s="1"/>
  <c r="AD38" i="79"/>
  <c r="AD34" i="79"/>
  <c r="AD37" i="79"/>
  <c r="AD35" i="79"/>
  <c r="AD36" i="79"/>
  <c r="Z3" i="79"/>
  <c r="AA31" i="79"/>
  <c r="AD31" i="79" s="1"/>
  <c r="T40" i="79"/>
  <c r="U46" i="79"/>
  <c r="AI46" i="79" s="1"/>
  <c r="AD47" i="79"/>
  <c r="S48" i="79"/>
  <c r="AG48" i="79" s="1"/>
  <c r="U50" i="79"/>
  <c r="AI50" i="79" s="1"/>
  <c r="AD51" i="79"/>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1" i="79" l="1"/>
  <c r="AK11" i="79" s="1"/>
  <c r="AH11" i="79"/>
  <c r="W10" i="79"/>
  <c r="AK10" i="79" s="1"/>
  <c r="AH10" i="79"/>
  <c r="W34" i="79"/>
  <c r="AK34" i="79" s="1"/>
  <c r="AH34"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7" i="79"/>
  <c r="AK17" i="79" s="1"/>
  <c r="AH17" i="79"/>
  <c r="W18" i="79"/>
  <c r="AK18" i="79" s="1"/>
  <c r="AH18" i="79"/>
  <c r="W20" i="79"/>
  <c r="AK20" i="79" s="1"/>
  <c r="AH20" i="79"/>
  <c r="C18" i="78"/>
  <c r="W15" i="79"/>
  <c r="AK15" i="79" s="1"/>
  <c r="AH15" i="79"/>
  <c r="W13" i="79"/>
  <c r="AK13" i="79" s="1"/>
  <c r="AH13" i="79"/>
  <c r="W48" i="79"/>
  <c r="AK48" i="79" s="1"/>
  <c r="AH48" i="79"/>
  <c r="W49" i="79"/>
  <c r="AK49" i="79" s="1"/>
  <c r="AH49" i="79"/>
  <c r="W43" i="79"/>
  <c r="AK43" i="79" s="1"/>
  <c r="AH43" i="79"/>
  <c r="W38" i="79"/>
  <c r="AK38" i="79" s="1"/>
  <c r="AH38" i="79"/>
  <c r="W40" i="79"/>
  <c r="AK40" i="79" s="1"/>
  <c r="AH40" i="79"/>
  <c r="W23" i="79"/>
  <c r="AK23" i="79" s="1"/>
  <c r="AH23" i="79"/>
  <c r="W12" i="79"/>
  <c r="AK12" i="79" s="1"/>
  <c r="AH12" i="79"/>
  <c r="W21" i="79"/>
  <c r="AK21" i="79" s="1"/>
  <c r="AH21" i="79"/>
  <c r="W47" i="79"/>
  <c r="AK47" i="79" s="1"/>
  <c r="AH47" i="79"/>
  <c r="W45" i="79"/>
  <c r="AK45" i="79" s="1"/>
  <c r="AH45"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AA37" i="71" s="1"/>
  <c r="O37" i="71"/>
  <c r="N37" i="71"/>
  <c r="B38"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9" i="71"/>
  <c r="B40" i="71" s="1"/>
  <c r="S40" i="71" s="1"/>
  <c r="E38" i="71"/>
  <c r="N68" i="71"/>
  <c r="E34" i="71"/>
  <c r="C30" i="71"/>
  <c r="C35" i="71"/>
  <c r="AA35" i="71"/>
  <c r="C38" i="71"/>
  <c r="D38" i="71" s="1"/>
  <c r="X38" i="71"/>
  <c r="B28" i="71"/>
  <c r="B27" i="71" s="1"/>
  <c r="B26" i="71"/>
  <c r="D30" i="71"/>
  <c r="C43" i="71"/>
  <c r="C44" i="71" s="1"/>
  <c r="P28" i="71"/>
  <c r="E28" i="71" s="1"/>
  <c r="U56" i="71"/>
  <c r="U68" i="71"/>
  <c r="E67" i="71"/>
  <c r="Q28" i="71"/>
  <c r="C59" i="71"/>
  <c r="D58" i="71"/>
  <c r="D62" i="71"/>
  <c r="Q68" i="71"/>
  <c r="E71" i="71"/>
  <c r="E70" i="71" s="1"/>
  <c r="D72" i="71"/>
  <c r="E75" i="71"/>
  <c r="E74" i="71" s="1"/>
  <c r="E79" i="71"/>
  <c r="E78" i="71" s="1"/>
  <c r="D80" i="71"/>
  <c r="C87" i="71"/>
  <c r="F28" i="71"/>
  <c r="F27" i="71" s="1"/>
  <c r="F26" i="71" s="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H18" i="36"/>
  <c r="AB18" i="36" s="1"/>
  <c r="C18" i="36"/>
  <c r="Q18" i="35"/>
  <c r="Z18" i="35" s="1"/>
  <c r="D68" i="35"/>
  <c r="E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H25" i="40"/>
  <c r="AB25" i="40" s="1"/>
  <c r="J25" i="40"/>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9" i="39"/>
  <c r="W29" i="39"/>
  <c r="S21" i="37"/>
  <c r="U21" i="34"/>
  <c r="S21" i="33"/>
  <c r="AC18" i="35"/>
  <c r="J21" i="37"/>
  <c r="W21" i="37" s="1"/>
  <c r="J21" i="34"/>
  <c r="W21" i="34" s="1"/>
  <c r="J21" i="33"/>
  <c r="W21" i="33" s="1"/>
  <c r="H21" i="21"/>
  <c r="U21" i="21" s="1"/>
  <c r="F38" i="69"/>
  <c r="E37" i="69"/>
  <c r="F36" i="69"/>
  <c r="F35" i="69"/>
  <c r="F21" i="69"/>
  <c r="F20" i="69"/>
  <c r="F39" i="69" s="1"/>
  <c r="E10" i="69"/>
  <c r="E9" i="69"/>
  <c r="AC21" i="37"/>
  <c r="AC21" i="33"/>
  <c r="G83"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H38" i="40" s="1"/>
  <c r="AB38" i="40" s="1"/>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D86" i="40"/>
  <c r="E86" i="40" s="1"/>
  <c r="F86" i="40" s="1"/>
  <c r="G86" i="40"/>
  <c r="D84" i="40"/>
  <c r="E84" i="40" s="1"/>
  <c r="F84" i="40" s="1"/>
  <c r="G84" i="40" s="1"/>
  <c r="B81" i="40"/>
  <c r="B79" i="40"/>
  <c r="B77" i="40"/>
  <c r="F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S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P37" i="36"/>
  <c r="P36" i="36"/>
  <c r="V35" i="36"/>
  <c r="T35" i="36"/>
  <c r="R35" i="36"/>
  <c r="P35" i="36"/>
  <c r="Q34" i="36"/>
  <c r="Z34" i="36"/>
  <c r="Q33" i="36"/>
  <c r="Z33" i="36" s="1"/>
  <c r="Q32" i="36"/>
  <c r="Z32" i="36"/>
  <c r="Q31" i="36"/>
  <c r="Z31" i="36" s="1"/>
  <c r="Q30" i="36"/>
  <c r="Z30" i="36" s="1"/>
  <c r="Q29" i="36"/>
  <c r="Z29" i="36" s="1"/>
  <c r="Q28" i="36"/>
  <c r="Z28" i="36" s="1"/>
  <c r="J28" i="36"/>
  <c r="Q27" i="36"/>
  <c r="Z27" i="36"/>
  <c r="Q26" i="36"/>
  <c r="Z26" i="36" s="1"/>
  <c r="H26" i="36"/>
  <c r="AB26" i="36" s="1"/>
  <c r="Q25" i="36"/>
  <c r="Z25" i="36" s="1"/>
  <c r="Q24" i="36"/>
  <c r="Z24" i="36" s="1"/>
  <c r="Q23" i="36"/>
  <c r="Z23" i="36"/>
  <c r="J23" i="36"/>
  <c r="AC23" i="36" s="1"/>
  <c r="F23" i="36"/>
  <c r="AA23" i="36"/>
  <c r="Q22" i="36"/>
  <c r="Z22" i="36" s="1"/>
  <c r="J22" i="36"/>
  <c r="AC22" i="36" s="1"/>
  <c r="Q20" i="36"/>
  <c r="Z20" i="36" s="1"/>
  <c r="Q16" i="36"/>
  <c r="Z16" i="36" s="1"/>
  <c r="Q14" i="36"/>
  <c r="Z14" i="36" s="1"/>
  <c r="Q13" i="36"/>
  <c r="Z13" i="36"/>
  <c r="Q12" i="36"/>
  <c r="Z12" i="36" s="1"/>
  <c r="H12" i="36"/>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AB36" i="35" s="1"/>
  <c r="B99" i="35"/>
  <c r="H35" i="35" s="1"/>
  <c r="B97" i="35"/>
  <c r="B77" i="35"/>
  <c r="B75" i="35"/>
  <c r="J24" i="35" s="1"/>
  <c r="AC24" i="35"/>
  <c r="B73" i="35"/>
  <c r="J23" i="35" s="1"/>
  <c r="AC23" i="35" s="1"/>
  <c r="B57" i="35"/>
  <c r="B61" i="35"/>
  <c r="B59" i="35"/>
  <c r="F12" i="35" s="1"/>
  <c r="B131" i="34"/>
  <c r="B129" i="34"/>
  <c r="B127" i="34"/>
  <c r="B99" i="34"/>
  <c r="B97" i="34"/>
  <c r="B95" i="34"/>
  <c r="B93" i="34"/>
  <c r="F29" i="34" s="1"/>
  <c r="S29" i="34" s="1"/>
  <c r="B75" i="34"/>
  <c r="B73" i="34"/>
  <c r="B71" i="34"/>
  <c r="J12" i="34" s="1"/>
  <c r="W12" i="34" s="1"/>
  <c r="B130" i="33"/>
  <c r="B128" i="33"/>
  <c r="B126" i="33"/>
  <c r="B98" i="33"/>
  <c r="B96" i="33"/>
  <c r="B94" i="33"/>
  <c r="B74" i="33"/>
  <c r="B72" i="33"/>
  <c r="B70" i="33"/>
  <c r="D96" i="35"/>
  <c r="E96" i="35" s="1"/>
  <c r="F96" i="35"/>
  <c r="G96" i="35"/>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c r="J42" i="33"/>
  <c r="AC42" i="33" s="1"/>
  <c r="W41" i="33"/>
  <c r="Q41" i="33"/>
  <c r="Z41" i="33" s="1"/>
  <c r="Q40" i="33"/>
  <c r="Z40" i="33" s="1"/>
  <c r="J40" i="33"/>
  <c r="AC40" i="33" s="1"/>
  <c r="H40" i="33"/>
  <c r="AB40" i="33"/>
  <c r="AA40" i="33"/>
  <c r="Q39" i="33"/>
  <c r="Z39" i="33" s="1"/>
  <c r="J39" i="33"/>
  <c r="AC39" i="33" s="1"/>
  <c r="Q38" i="33"/>
  <c r="Z38" i="33"/>
  <c r="J38" i="33"/>
  <c r="AC38" i="33" s="1"/>
  <c r="H38" i="33"/>
  <c r="AB38" i="33"/>
  <c r="F38" i="33"/>
  <c r="Q37" i="33"/>
  <c r="Z37" i="33"/>
  <c r="Q36" i="33"/>
  <c r="Z36" i="33" s="1"/>
  <c r="Q35" i="33"/>
  <c r="Z35" i="33" s="1"/>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AA41" i="21"/>
  <c r="F45" i="39"/>
  <c r="S45" i="39"/>
  <c r="J44" i="39"/>
  <c r="F36" i="39"/>
  <c r="S36" i="39" s="1"/>
  <c r="H36" i="39"/>
  <c r="AB36" i="39"/>
  <c r="J35" i="39"/>
  <c r="AC35" i="39" s="1"/>
  <c r="F35" i="39"/>
  <c r="AA35" i="39" s="1"/>
  <c r="J36" i="39"/>
  <c r="AC36" i="39" s="1"/>
  <c r="U9" i="39"/>
  <c r="W40" i="39"/>
  <c r="W25" i="37"/>
  <c r="W31" i="37"/>
  <c r="E103" i="37"/>
  <c r="F103" i="37" s="1"/>
  <c r="G103" i="37" s="1"/>
  <c r="H103" i="37" s="1"/>
  <c r="I103" i="37" s="1"/>
  <c r="J103" i="37" s="1"/>
  <c r="K103" i="37" s="1"/>
  <c r="L103" i="37" s="1"/>
  <c r="M103" i="37" s="1"/>
  <c r="F39" i="37"/>
  <c r="S39" i="37" s="1"/>
  <c r="F29" i="36"/>
  <c r="AA29" i="36" s="1"/>
  <c r="U31" i="36"/>
  <c r="J33" i="36"/>
  <c r="AC33" i="36" s="1"/>
  <c r="H22" i="35"/>
  <c r="AB22" i="35" s="1"/>
  <c r="AC27" i="35"/>
  <c r="U31" i="35"/>
  <c r="S31" i="35"/>
  <c r="U34" i="35"/>
  <c r="F36" i="34"/>
  <c r="J35" i="34"/>
  <c r="W9" i="34"/>
  <c r="U34" i="34"/>
  <c r="H39" i="33"/>
  <c r="AB39" i="33" s="1"/>
  <c r="F26" i="33"/>
  <c r="AA26" i="33"/>
  <c r="U33" i="33"/>
  <c r="U35" i="33"/>
  <c r="S40" i="33"/>
  <c r="W33" i="33"/>
  <c r="W39" i="33"/>
  <c r="H39" i="37"/>
  <c r="AB39" i="37"/>
  <c r="S27" i="35"/>
  <c r="F11" i="40"/>
  <c r="AA11" i="40" s="1"/>
  <c r="H11" i="40"/>
  <c r="AB11" i="40"/>
  <c r="W8" i="40"/>
  <c r="AA9" i="40"/>
  <c r="U9" i="40"/>
  <c r="S34" i="40"/>
  <c r="U38" i="40"/>
  <c r="W31"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c r="J21" i="40"/>
  <c r="W21" i="40"/>
  <c r="H42" i="39"/>
  <c r="AB42" i="39" s="1"/>
  <c r="J34" i="39"/>
  <c r="AC34" i="39" s="1"/>
  <c r="J31" i="39"/>
  <c r="W31" i="39" s="1"/>
  <c r="F100" i="39"/>
  <c r="H27" i="39"/>
  <c r="U27" i="39" s="1"/>
  <c r="J19" i="39"/>
  <c r="AC19" i="39" s="1"/>
  <c r="J17" i="39"/>
  <c r="AC17" i="39" s="1"/>
  <c r="J27" i="39"/>
  <c r="AC27" i="39"/>
  <c r="F27" i="39"/>
  <c r="F11" i="21"/>
  <c r="S11" i="21" s="1"/>
  <c r="S40" i="21"/>
  <c r="C25" i="39"/>
  <c r="H11" i="39"/>
  <c r="S40" i="39"/>
  <c r="C15" i="39"/>
  <c r="H32" i="33"/>
  <c r="AB32" i="33"/>
  <c r="H11" i="21"/>
  <c r="U11" i="21" s="1"/>
  <c r="J11" i="21"/>
  <c r="W11" i="21" s="1"/>
  <c r="H37" i="40"/>
  <c r="U37" i="40"/>
  <c r="H36" i="40"/>
  <c r="AB36" i="40" s="1"/>
  <c r="F35" i="40"/>
  <c r="AA35" i="40"/>
  <c r="H23" i="40"/>
  <c r="AB23" i="40" s="1"/>
  <c r="H17" i="40"/>
  <c r="U17" i="40" s="1"/>
  <c r="J15" i="40"/>
  <c r="W15" i="40" s="1"/>
  <c r="J11" i="40"/>
  <c r="W11" i="40" s="1"/>
  <c r="AB8" i="39"/>
  <c r="AC12" i="34"/>
  <c r="AB12" i="35"/>
  <c r="AB12" i="36"/>
  <c r="W32" i="40"/>
  <c r="F37" i="39"/>
  <c r="AA37" i="39" s="1"/>
  <c r="J34" i="36"/>
  <c r="W34" i="36" s="1"/>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AB23" i="34" s="1"/>
  <c r="J23" i="34"/>
  <c r="F19" i="34"/>
  <c r="H17" i="34"/>
  <c r="U17" i="34" s="1"/>
  <c r="F15" i="34"/>
  <c r="AA15" i="34" s="1"/>
  <c r="J15" i="34"/>
  <c r="H15" i="34"/>
  <c r="AB15" i="34" s="1"/>
  <c r="W8" i="34"/>
  <c r="J28" i="34"/>
  <c r="W28" i="34" s="1"/>
  <c r="F41" i="33"/>
  <c r="S41" i="33" s="1"/>
  <c r="E113" i="33"/>
  <c r="F32" i="33"/>
  <c r="AA32" i="33"/>
  <c r="J19" i="33"/>
  <c r="AC19" i="33" s="1"/>
  <c r="J15" i="33"/>
  <c r="AC15" i="33"/>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F29" i="35"/>
  <c r="S29" i="35" s="1"/>
  <c r="H29" i="35"/>
  <c r="AB29" i="35" s="1"/>
  <c r="H33" i="37"/>
  <c r="F33" i="37"/>
  <c r="AA33" i="37" s="1"/>
  <c r="U34" i="37"/>
  <c r="S34" i="37"/>
  <c r="AA34" i="37"/>
  <c r="J43" i="34"/>
  <c r="AB42" i="34"/>
  <c r="J40" i="34"/>
  <c r="AC40" i="34" s="1"/>
  <c r="F114" i="34"/>
  <c r="G114" i="34" s="1"/>
  <c r="H114" i="34" s="1"/>
  <c r="I114" i="34" s="1"/>
  <c r="J114" i="34" s="1"/>
  <c r="K114" i="34" s="1"/>
  <c r="L114" i="34" s="1"/>
  <c r="M114" i="34" s="1"/>
  <c r="H38" i="34"/>
  <c r="AB38" i="34" s="1"/>
  <c r="J36" i="34"/>
  <c r="AC36" i="34" s="1"/>
  <c r="W36" i="34"/>
  <c r="H37" i="34"/>
  <c r="U37" i="34" s="1"/>
  <c r="H25" i="34"/>
  <c r="AB25" i="34" s="1"/>
  <c r="J25" i="34"/>
  <c r="AC25" i="34"/>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J10" i="35"/>
  <c r="AC10" i="35" s="1"/>
  <c r="J14" i="21"/>
  <c r="W14" i="21"/>
  <c r="F14" i="21"/>
  <c r="S14" i="21" s="1"/>
  <c r="H14" i="21"/>
  <c r="U14" i="21" s="1"/>
  <c r="H28" i="21"/>
  <c r="AB28" i="21" s="1"/>
  <c r="F28" i="21"/>
  <c r="AA28" i="21" s="1"/>
  <c r="J28" i="21"/>
  <c r="W28" i="21" s="1"/>
  <c r="H30" i="21"/>
  <c r="AB30" i="21" s="1"/>
  <c r="U30" i="21"/>
  <c r="F30" i="21"/>
  <c r="S30" i="21" s="1"/>
  <c r="J30" i="2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W14" i="36" s="1"/>
  <c r="H14" i="36"/>
  <c r="U14" i="36" s="1"/>
  <c r="F28" i="36"/>
  <c r="AA28" i="36" s="1"/>
  <c r="J13" i="21"/>
  <c r="AC13" i="21" s="1"/>
  <c r="H27" i="21"/>
  <c r="AB27" i="21" s="1"/>
  <c r="F27" i="21"/>
  <c r="AA27" i="21" s="1"/>
  <c r="H29" i="21"/>
  <c r="U29" i="21" s="1"/>
  <c r="J31" i="21"/>
  <c r="AC31" i="21" s="1"/>
  <c r="F31" i="21"/>
  <c r="S31" i="21"/>
  <c r="F45" i="21"/>
  <c r="AA45" i="21" s="1"/>
  <c r="F27" i="33"/>
  <c r="AA27" i="33" s="1"/>
  <c r="J13" i="33"/>
  <c r="W13" i="33" s="1"/>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AB46" i="34" s="1"/>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U36" i="37" s="1"/>
  <c r="F107" i="37"/>
  <c r="J37" i="37"/>
  <c r="AC37" i="37" s="1"/>
  <c r="H37" i="37"/>
  <c r="AB37" i="37" s="1"/>
  <c r="H40" i="37"/>
  <c r="U40" i="37" s="1"/>
  <c r="J40" i="37"/>
  <c r="AC40" i="37"/>
  <c r="F40" i="37"/>
  <c r="AA40" i="37" s="1"/>
  <c r="H14" i="33"/>
  <c r="U14" i="33" s="1"/>
  <c r="F14" i="33"/>
  <c r="S14" i="33" s="1"/>
  <c r="J14" i="33"/>
  <c r="H30" i="33"/>
  <c r="AB30" i="33" s="1"/>
  <c r="H44" i="33"/>
  <c r="J44" i="33"/>
  <c r="F44" i="33"/>
  <c r="S44" i="33" s="1"/>
  <c r="J46" i="33"/>
  <c r="AC46" i="33"/>
  <c r="H13" i="34"/>
  <c r="U13" i="34" s="1"/>
  <c r="J13" i="34"/>
  <c r="W13" i="34" s="1"/>
  <c r="F13" i="34"/>
  <c r="AA13" i="34" s="1"/>
  <c r="J29" i="34"/>
  <c r="W29" i="34" s="1"/>
  <c r="H29" i="34"/>
  <c r="AB29" i="34" s="1"/>
  <c r="J31" i="34"/>
  <c r="AC31" i="34" s="1"/>
  <c r="H31" i="34"/>
  <c r="F31" i="34"/>
  <c r="AA31" i="34" s="1"/>
  <c r="F45" i="34"/>
  <c r="S45" i="34" s="1"/>
  <c r="H47" i="34"/>
  <c r="U47" i="34" s="1"/>
  <c r="F47" i="34"/>
  <c r="S47" i="34" s="1"/>
  <c r="J47" i="34"/>
  <c r="AC47" i="34" s="1"/>
  <c r="J13" i="35"/>
  <c r="AC13" i="35"/>
  <c r="J25" i="35"/>
  <c r="W25" i="35"/>
  <c r="F25" i="35"/>
  <c r="S25" i="35" s="1"/>
  <c r="H25" i="35"/>
  <c r="AB25" i="35" s="1"/>
  <c r="J35" i="35"/>
  <c r="AC35" i="35" s="1"/>
  <c r="F35" i="35"/>
  <c r="AA35" i="35" s="1"/>
  <c r="J25" i="36"/>
  <c r="W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H30" i="40"/>
  <c r="AB30" i="40"/>
  <c r="H33" i="40"/>
  <c r="U33" i="40" s="1"/>
  <c r="J35" i="40"/>
  <c r="AC35" i="40" s="1"/>
  <c r="J37" i="40"/>
  <c r="W37" i="40" s="1"/>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AA44" i="33"/>
  <c r="AA14" i="33"/>
  <c r="J36" i="37"/>
  <c r="AC36" i="37" s="1"/>
  <c r="J10" i="36"/>
  <c r="AC10" i="36" s="1"/>
  <c r="AB26" i="33"/>
  <c r="W31" i="34"/>
  <c r="S11" i="36"/>
  <c r="S45" i="33"/>
  <c r="AB45" i="33"/>
  <c r="AC28" i="21"/>
  <c r="BA586" i="3"/>
  <c r="BA585" i="3"/>
  <c r="F17" i="21"/>
  <c r="AA17" i="21" s="1"/>
  <c r="H17" i="21"/>
  <c r="AB17" i="21" s="1"/>
  <c r="F15" i="21"/>
  <c r="S15" i="21" s="1"/>
  <c r="J41" i="39"/>
  <c r="W41" i="39" s="1"/>
  <c r="U36" i="39"/>
  <c r="S35" i="39"/>
  <c r="G544" i="3"/>
  <c r="G540" i="3"/>
  <c r="G535" i="3"/>
  <c r="G532" i="3"/>
  <c r="G527" i="3"/>
  <c r="G523" i="3"/>
  <c r="G518" i="3"/>
  <c r="G510" i="3"/>
  <c r="G508" i="3"/>
  <c r="G504" i="3"/>
  <c r="G496" i="3"/>
  <c r="G584" i="3"/>
  <c r="G580" i="3"/>
  <c r="G576" i="3"/>
  <c r="G572" i="3"/>
  <c r="G568" i="3"/>
  <c r="G564" i="3"/>
  <c r="G554" i="3"/>
  <c r="G550" i="3"/>
  <c r="BL584" i="3"/>
  <c r="AZ584" i="3" s="1"/>
  <c r="BL576" i="3"/>
  <c r="BL572" i="3"/>
  <c r="BL568" i="3"/>
  <c r="BL560" i="3"/>
  <c r="BL554" i="3"/>
  <c r="BL546" i="3"/>
  <c r="BL538" i="3"/>
  <c r="BL534" i="3"/>
  <c r="BL530" i="3"/>
  <c r="BL522" i="3"/>
  <c r="BL516" i="3"/>
  <c r="BL512" i="3"/>
  <c r="BL502" i="3"/>
  <c r="AZ502" i="3" s="1"/>
  <c r="BL498" i="3"/>
  <c r="BL494" i="3"/>
  <c r="BL582" i="3"/>
  <c r="BL578" i="3"/>
  <c r="BL574" i="3"/>
  <c r="BL570" i="3"/>
  <c r="BL562" i="3"/>
  <c r="BL556" i="3"/>
  <c r="BL552" i="3"/>
  <c r="BL540" i="3"/>
  <c r="BL536" i="3"/>
  <c r="AZ536" i="3" s="1"/>
  <c r="G533" i="3"/>
  <c r="G529" i="3"/>
  <c r="BL528" i="3"/>
  <c r="G525" i="3"/>
  <c r="BL518" i="3"/>
  <c r="BL514" i="3"/>
  <c r="BL510" i="3"/>
  <c r="BL500" i="3"/>
  <c r="BL496" i="3"/>
  <c r="G493" i="3"/>
  <c r="BA584" i="3"/>
  <c r="BA582" i="3"/>
  <c r="AZ582" i="3" s="1"/>
  <c r="BA580" i="3"/>
  <c r="BA578" i="3"/>
  <c r="BA574" i="3"/>
  <c r="AZ574" i="3" s="1"/>
  <c r="BA572" i="3"/>
  <c r="AZ572" i="3" s="1"/>
  <c r="BA570" i="3"/>
  <c r="AZ570" i="3" s="1"/>
  <c r="BA566" i="3"/>
  <c r="BA564" i="3"/>
  <c r="BA562" i="3"/>
  <c r="BA558" i="3"/>
  <c r="BA556" i="3"/>
  <c r="BA554" i="3"/>
  <c r="AZ554" i="3" s="1"/>
  <c r="BA552" i="3"/>
  <c r="AZ552" i="3" s="1"/>
  <c r="BA548" i="3"/>
  <c r="BA546" i="3"/>
  <c r="AZ546" i="3" s="1"/>
  <c r="BA544" i="3"/>
  <c r="BA542" i="3"/>
  <c r="BA540" i="3"/>
  <c r="BA536" i="3"/>
  <c r="BA532" i="3"/>
  <c r="BA528" i="3"/>
  <c r="AZ528" i="3" s="1"/>
  <c r="BA526" i="3"/>
  <c r="BA524" i="3"/>
  <c r="BA520" i="3"/>
  <c r="BA518" i="3"/>
  <c r="BA516" i="3"/>
  <c r="AZ516" i="3" s="1"/>
  <c r="BA512" i="3"/>
  <c r="AZ512" i="3" s="1"/>
  <c r="BA510" i="3"/>
  <c r="AZ510" i="3" s="1"/>
  <c r="BA508" i="3"/>
  <c r="BA506" i="3"/>
  <c r="BA504" i="3"/>
  <c r="BA502" i="3"/>
  <c r="BA500" i="3"/>
  <c r="AZ500" i="3" s="1"/>
  <c r="BA498" i="3"/>
  <c r="AZ498" i="3" s="1"/>
  <c r="BA496" i="3"/>
  <c r="BA494" i="3"/>
  <c r="BA587" i="3"/>
  <c r="BA583" i="3"/>
  <c r="BA581" i="3"/>
  <c r="BA579" i="3"/>
  <c r="BA575" i="3"/>
  <c r="BA573" i="3"/>
  <c r="BA571" i="3"/>
  <c r="BA567" i="3"/>
  <c r="BA565" i="3"/>
  <c r="AZ565" i="3" s="1"/>
  <c r="BA563" i="3"/>
  <c r="BA559" i="3"/>
  <c r="BA555" i="3"/>
  <c r="BA553" i="3"/>
  <c r="AZ553" i="3" s="1"/>
  <c r="BA547" i="3"/>
  <c r="BA545" i="3"/>
  <c r="BA543" i="3"/>
  <c r="BA539" i="3"/>
  <c r="BA537" i="3"/>
  <c r="BA535" i="3"/>
  <c r="BA531" i="3"/>
  <c r="BA529" i="3"/>
  <c r="AZ529" i="3" s="1"/>
  <c r="BA527" i="3"/>
  <c r="BA523" i="3"/>
  <c r="BA519" i="3"/>
  <c r="BA517" i="3"/>
  <c r="BA513" i="3"/>
  <c r="AZ513" i="3" s="1"/>
  <c r="BA511" i="3"/>
  <c r="BA507" i="3"/>
  <c r="BA503" i="3"/>
  <c r="AZ503" i="3" s="1"/>
  <c r="BA501" i="3"/>
  <c r="BA499" i="3"/>
  <c r="BA495" i="3"/>
  <c r="BA493" i="3"/>
  <c r="AZ493" i="3" s="1"/>
  <c r="G583" i="3"/>
  <c r="G581" i="3"/>
  <c r="G579" i="3"/>
  <c r="G577" i="3"/>
  <c r="G573" i="3"/>
  <c r="G571" i="3"/>
  <c r="G569" i="3"/>
  <c r="G567" i="3"/>
  <c r="G565" i="3"/>
  <c r="G563" i="3"/>
  <c r="G561" i="3"/>
  <c r="BA557" i="3"/>
  <c r="AZ557" i="3" s="1"/>
  <c r="AC557" i="3"/>
  <c r="G557" i="3" s="1"/>
  <c r="BQ557" i="3"/>
  <c r="BL557" i="3" s="1"/>
  <c r="BQ583" i="3"/>
  <c r="BL583" i="3" s="1"/>
  <c r="BQ581" i="3"/>
  <c r="BL581" i="3" s="1"/>
  <c r="BQ579" i="3"/>
  <c r="BQ577" i="3"/>
  <c r="BL577" i="3" s="1"/>
  <c r="BQ575" i="3"/>
  <c r="BL575" i="3" s="1"/>
  <c r="BQ573" i="3"/>
  <c r="BQ571" i="3"/>
  <c r="BL571" i="3" s="1"/>
  <c r="BQ569" i="3"/>
  <c r="BL569" i="3" s="1"/>
  <c r="BQ567" i="3"/>
  <c r="BL567" i="3"/>
  <c r="BQ565" i="3"/>
  <c r="BL565" i="3" s="1"/>
  <c r="BQ563" i="3"/>
  <c r="BL563" i="3"/>
  <c r="BQ561" i="3"/>
  <c r="BL561" i="3" s="1"/>
  <c r="BQ559" i="3"/>
  <c r="G559" i="3"/>
  <c r="G555" i="3"/>
  <c r="G549" i="3"/>
  <c r="G547" i="3"/>
  <c r="G545" i="3"/>
  <c r="G543" i="3"/>
  <c r="G541" i="3"/>
  <c r="G539" i="3"/>
  <c r="G537" i="3"/>
  <c r="BQ555" i="3"/>
  <c r="BL555" i="3"/>
  <c r="BQ553" i="3"/>
  <c r="BL553" i="3" s="1"/>
  <c r="BQ551" i="3"/>
  <c r="BL551" i="3"/>
  <c r="BQ549" i="3"/>
  <c r="BL549" i="3" s="1"/>
  <c r="BQ547" i="3"/>
  <c r="BL547" i="3" s="1"/>
  <c r="AZ547" i="3" s="1"/>
  <c r="BQ545" i="3"/>
  <c r="BL545" i="3"/>
  <c r="BQ543" i="3"/>
  <c r="BL543" i="3" s="1"/>
  <c r="AZ543" i="3" s="1"/>
  <c r="BQ541" i="3"/>
  <c r="BL541" i="3"/>
  <c r="BQ539" i="3"/>
  <c r="BL539" i="3" s="1"/>
  <c r="AZ539" i="3" s="1"/>
  <c r="BQ537" i="3"/>
  <c r="BQ535" i="3"/>
  <c r="BL535" i="3" s="1"/>
  <c r="AZ535" i="3" s="1"/>
  <c r="BQ533" i="3"/>
  <c r="BL533" i="3"/>
  <c r="BQ531" i="3"/>
  <c r="BQ529" i="3"/>
  <c r="BL529" i="3"/>
  <c r="BQ527" i="3"/>
  <c r="BL527" i="3" s="1"/>
  <c r="BQ525" i="3"/>
  <c r="BL525" i="3" s="1"/>
  <c r="BQ523" i="3"/>
  <c r="BL523" i="3" s="1"/>
  <c r="AZ523" i="3" s="1"/>
  <c r="AC521" i="3"/>
  <c r="AC5" i="3" s="1"/>
  <c r="BQ521" i="3"/>
  <c r="BL520" i="3"/>
  <c r="AZ520" i="3"/>
  <c r="G519" i="3"/>
  <c r="G515" i="3"/>
  <c r="G513" i="3"/>
  <c r="G511" i="3"/>
  <c r="BQ519" i="3"/>
  <c r="BQ517" i="3"/>
  <c r="BL517" i="3"/>
  <c r="BQ515" i="3"/>
  <c r="BL515" i="3" s="1"/>
  <c r="BQ513" i="3"/>
  <c r="BL513" i="3"/>
  <c r="BQ511" i="3"/>
  <c r="BL511" i="3" s="1"/>
  <c r="AZ511" i="3" s="1"/>
  <c r="BA509" i="3"/>
  <c r="AZ509" i="3" s="1"/>
  <c r="AC509" i="3"/>
  <c r="BQ509" i="3"/>
  <c r="BL509" i="3"/>
  <c r="BL508" i="3"/>
  <c r="G507" i="3"/>
  <c r="G505" i="3"/>
  <c r="G503" i="3"/>
  <c r="G499" i="3"/>
  <c r="G497" i="3"/>
  <c r="G495" i="3"/>
  <c r="BQ507" i="3"/>
  <c r="BQ505" i="3"/>
  <c r="BL505" i="3" s="1"/>
  <c r="BQ503" i="3"/>
  <c r="BL503" i="3" s="1"/>
  <c r="BQ501" i="3"/>
  <c r="BL501" i="3"/>
  <c r="AZ501" i="3" s="1"/>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c r="F37" i="37"/>
  <c r="AA37" i="37" s="1"/>
  <c r="F31" i="40"/>
  <c r="AA31" i="40" s="1"/>
  <c r="H31" i="40"/>
  <c r="U31" i="40" s="1"/>
  <c r="F32" i="40"/>
  <c r="AA32" i="40" s="1"/>
  <c r="H32" i="40"/>
  <c r="AB32" i="40" s="1"/>
  <c r="J36" i="40"/>
  <c r="W36" i="40"/>
  <c r="H19" i="37"/>
  <c r="AB19" i="37" s="1"/>
  <c r="H42" i="33"/>
  <c r="AB42" i="33" s="1"/>
  <c r="J43" i="33"/>
  <c r="AC43" i="33"/>
  <c r="S28" i="31"/>
  <c r="S27" i="31"/>
  <c r="S26" i="31"/>
  <c r="U14" i="40"/>
  <c r="W23" i="35"/>
  <c r="U39" i="37"/>
  <c r="U26" i="37"/>
  <c r="W47" i="34"/>
  <c r="AA13" i="33"/>
  <c r="AC31" i="33"/>
  <c r="AC45" i="33"/>
  <c r="U11" i="33"/>
  <c r="U19" i="21"/>
  <c r="AB38" i="21"/>
  <c r="F43" i="33"/>
  <c r="S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AA25" i="21"/>
  <c r="H19" i="40"/>
  <c r="U19" i="40" s="1"/>
  <c r="F88" i="40"/>
  <c r="G88" i="40" s="1"/>
  <c r="F19" i="40"/>
  <c r="S19" i="40" s="1"/>
  <c r="S14" i="40"/>
  <c r="AC13" i="40"/>
  <c r="AB33" i="40"/>
  <c r="W23" i="39"/>
  <c r="AC43" i="39"/>
  <c r="W43"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494"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G157" i="3"/>
  <c r="BA159" i="3"/>
  <c r="AZ159" i="3" s="1"/>
  <c r="BL160" i="3"/>
  <c r="G161" i="3"/>
  <c r="BA163" i="3"/>
  <c r="BL164" i="3"/>
  <c r="AZ164" i="3" s="1"/>
  <c r="G165" i="3"/>
  <c r="BA167" i="3"/>
  <c r="BL168" i="3"/>
  <c r="G169" i="3"/>
  <c r="BA171" i="3"/>
  <c r="BL172" i="3"/>
  <c r="G173" i="3"/>
  <c r="BA175" i="3"/>
  <c r="AZ175" i="3" s="1"/>
  <c r="BL176" i="3"/>
  <c r="G177" i="3"/>
  <c r="BA179" i="3"/>
  <c r="BL180" i="3"/>
  <c r="AZ180" i="3"/>
  <c r="G181" i="3"/>
  <c r="BA183" i="3"/>
  <c r="BL184" i="3"/>
  <c r="G185" i="3"/>
  <c r="BA187" i="3"/>
  <c r="BL188" i="3"/>
  <c r="G189" i="3"/>
  <c r="BA191" i="3"/>
  <c r="AZ191" i="3"/>
  <c r="BL192" i="3"/>
  <c r="G193" i="3"/>
  <c r="BA195" i="3"/>
  <c r="BL196" i="3"/>
  <c r="AZ196" i="3" s="1"/>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AZ339" i="3" s="1"/>
  <c r="G340" i="3"/>
  <c r="BL343" i="3"/>
  <c r="G344" i="3"/>
  <c r="G348" i="3"/>
  <c r="G355" i="3"/>
  <c r="AZ214" i="3"/>
  <c r="AZ335" i="3"/>
  <c r="G342" i="3"/>
  <c r="BL345" i="3"/>
  <c r="AZ345" i="3" s="1"/>
  <c r="G346" i="3"/>
  <c r="BL349" i="3"/>
  <c r="BL352" i="3"/>
  <c r="G353" i="3"/>
  <c r="BA357" i="3"/>
  <c r="BL358" i="3"/>
  <c r="AZ358" i="3"/>
  <c r="G359" i="3"/>
  <c r="BA361" i="3"/>
  <c r="BL362" i="3"/>
  <c r="AZ362" i="3" s="1"/>
  <c r="G363" i="3"/>
  <c r="BA365" i="3"/>
  <c r="AZ365" i="3"/>
  <c r="BL366" i="3"/>
  <c r="G367" i="3"/>
  <c r="BA369" i="3"/>
  <c r="AZ369" i="3"/>
  <c r="BL370" i="3"/>
  <c r="G371" i="3"/>
  <c r="BA373" i="3"/>
  <c r="AZ373" i="3"/>
  <c r="BL374" i="3"/>
  <c r="G375" i="3"/>
  <c r="BA377" i="3"/>
  <c r="AZ241" i="3"/>
  <c r="BA379" i="3"/>
  <c r="AZ379" i="3" s="1"/>
  <c r="BL380" i="3"/>
  <c r="G381" i="3"/>
  <c r="BA383" i="3"/>
  <c r="AZ383" i="3" s="1"/>
  <c r="BL384" i="3"/>
  <c r="G385" i="3"/>
  <c r="BA387" i="3"/>
  <c r="AZ387" i="3" s="1"/>
  <c r="BL388" i="3"/>
  <c r="AZ388" i="3" s="1"/>
  <c r="G389" i="3"/>
  <c r="BA391" i="3"/>
  <c r="BL392" i="3"/>
  <c r="AZ392" i="3" s="1"/>
  <c r="G393" i="3"/>
  <c r="AZ291" i="3"/>
  <c r="BO5" i="3"/>
  <c r="BM5" i="3"/>
  <c r="F29" i="6" s="1"/>
  <c r="BJ5" i="3"/>
  <c r="BH5" i="3"/>
  <c r="BF5" i="3"/>
  <c r="BD5" i="3"/>
  <c r="AZ325" i="3"/>
  <c r="AZ496" i="3"/>
  <c r="G548" i="3"/>
  <c r="G538" i="3"/>
  <c r="G520" i="3"/>
  <c r="G502" i="3"/>
  <c r="BS5" i="3"/>
  <c r="BP5" i="3"/>
  <c r="BN5" i="3"/>
  <c r="BK5" i="3"/>
  <c r="BI5" i="3"/>
  <c r="BG5" i="3"/>
  <c r="BE5" i="3"/>
  <c r="BC5" i="3"/>
  <c r="G17" i="3"/>
  <c r="BA17" i="3"/>
  <c r="BT5" i="3"/>
  <c r="AZ350" i="3"/>
  <c r="AZ356" i="3"/>
  <c r="BA15" i="3"/>
  <c r="BB5" i="3"/>
  <c r="BR5" i="3"/>
  <c r="G509" i="3"/>
  <c r="BL493" i="3"/>
  <c r="U36" i="40"/>
  <c r="F83" i="43"/>
  <c r="H85" i="43" s="1"/>
  <c r="F50" i="43"/>
  <c r="H54" i="43" s="1"/>
  <c r="F72" i="43"/>
  <c r="H75" i="43" s="1"/>
  <c r="U17" i="39"/>
  <c r="S14" i="35"/>
  <c r="U43" i="21"/>
  <c r="U35" i="21"/>
  <c r="AC35" i="21"/>
  <c r="AC11" i="39"/>
  <c r="AZ563" i="3"/>
  <c r="W37" i="37"/>
  <c r="W44" i="34"/>
  <c r="AC44" i="34"/>
  <c r="S15" i="37"/>
  <c r="U13" i="37"/>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10" i="3"/>
  <c r="F23" i="39"/>
  <c r="AA23" i="39"/>
  <c r="H27" i="36"/>
  <c r="U27" i="36" s="1"/>
  <c r="F27" i="36"/>
  <c r="AA27" i="36" s="1"/>
  <c r="H33" i="34"/>
  <c r="U33" i="34"/>
  <c r="F32" i="37"/>
  <c r="AA32"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Z465" i="3"/>
  <c r="AA32" i="36"/>
  <c r="BL14" i="3"/>
  <c r="U30" i="33"/>
  <c r="AC13" i="34"/>
  <c r="AA47" i="34"/>
  <c r="W28" i="37"/>
  <c r="S19" i="39"/>
  <c r="F12" i="33"/>
  <c r="H12" i="39"/>
  <c r="AB12" i="39"/>
  <c r="F39" i="40"/>
  <c r="BA14" i="3"/>
  <c r="AZ14" i="3" s="1"/>
  <c r="AZ254" i="3"/>
  <c r="AZ297" i="3"/>
  <c r="AZ157" i="3"/>
  <c r="B12" i="1"/>
  <c r="E12" i="1" s="1"/>
  <c r="B10" i="1"/>
  <c r="E10" i="1" s="1"/>
  <c r="K12" i="1"/>
  <c r="M12" i="1" s="1"/>
  <c r="S13" i="1"/>
  <c r="AR13" i="1" s="1"/>
  <c r="R13" i="1"/>
  <c r="J51" i="67"/>
  <c r="C42" i="1"/>
  <c r="C24" i="12" s="1"/>
  <c r="AA34" i="33"/>
  <c r="B41" i="1"/>
  <c r="F48" i="9" s="1"/>
  <c r="O52" i="9" s="1"/>
  <c r="AB37" i="40"/>
  <c r="S35" i="40"/>
  <c r="U35" i="40"/>
  <c r="AC36" i="40"/>
  <c r="W38" i="40"/>
  <c r="S17" i="40"/>
  <c r="AC17" i="40"/>
  <c r="AC15" i="40"/>
  <c r="AB27" i="40"/>
  <c r="S30" i="40"/>
  <c r="S28" i="40"/>
  <c r="AA27"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AA26" i="36"/>
  <c r="AA34" i="36"/>
  <c r="AC26" i="36"/>
  <c r="AA22" i="36"/>
  <c r="AB14" i="36"/>
  <c r="U22" i="36"/>
  <c r="S24" i="36"/>
  <c r="U23" i="36"/>
  <c r="AB20" i="36"/>
  <c r="AA25" i="35"/>
  <c r="W24" i="35"/>
  <c r="U29" i="35"/>
  <c r="U28" i="35"/>
  <c r="AB27" i="35"/>
  <c r="U36" i="35"/>
  <c r="U32" i="35"/>
  <c r="AA33"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W30" i="37"/>
  <c r="S36" i="37"/>
  <c r="AA38" i="37"/>
  <c r="W38" i="37"/>
  <c r="AC35" i="37"/>
  <c r="W39" i="37"/>
  <c r="S30" i="37"/>
  <c r="AC15" i="37"/>
  <c r="J17" i="37"/>
  <c r="W17" i="37" s="1"/>
  <c r="G73" i="37"/>
  <c r="F17" i="37"/>
  <c r="AA17" i="37" s="1"/>
  <c r="AB17" i="37"/>
  <c r="F75" i="37"/>
  <c r="G75" i="37" s="1"/>
  <c r="F19" i="37"/>
  <c r="S19" i="37" s="1"/>
  <c r="F79" i="37"/>
  <c r="F23" i="37"/>
  <c r="U23" i="37"/>
  <c r="U15"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43" i="33"/>
  <c r="F91" i="33"/>
  <c r="H27" i="33"/>
  <c r="AB27" i="33" s="1"/>
  <c r="F87" i="33"/>
  <c r="G87" i="33" s="1"/>
  <c r="H25" i="33"/>
  <c r="F25" i="33"/>
  <c r="J23" i="33"/>
  <c r="AC23" i="33" s="1"/>
  <c r="F85" i="33"/>
  <c r="G85" i="33" s="1"/>
  <c r="H23" i="33"/>
  <c r="F81" i="33"/>
  <c r="F19" i="33"/>
  <c r="W19" i="33"/>
  <c r="J17" i="33"/>
  <c r="F79" i="33"/>
  <c r="G79" i="33" s="1"/>
  <c r="S15" i="33"/>
  <c r="W15" i="33"/>
  <c r="U9" i="33"/>
  <c r="J10" i="33"/>
  <c r="W10" i="33" s="1"/>
  <c r="H10" i="33"/>
  <c r="U10" i="33" s="1"/>
  <c r="AC11" i="33"/>
  <c r="AB14" i="33"/>
  <c r="W43" i="21"/>
  <c r="W36" i="21"/>
  <c r="W41" i="21"/>
  <c r="AA43" i="21"/>
  <c r="S39" i="21"/>
  <c r="AA38" i="21"/>
  <c r="AA36" i="21"/>
  <c r="AC40" i="21"/>
  <c r="J15" i="21"/>
  <c r="F77" i="21"/>
  <c r="G77" i="21"/>
  <c r="F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G22" i="68"/>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AC14" i="40"/>
  <c r="S1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31" i="39"/>
  <c r="S23" i="39"/>
  <c r="AA45" i="39"/>
  <c r="AB39" i="39"/>
  <c r="W34" i="39"/>
  <c r="U38" i="39"/>
  <c r="S8" i="39"/>
  <c r="AC25" i="36"/>
  <c r="W29" i="36"/>
  <c r="AC20" i="36"/>
  <c r="AB28" i="36"/>
  <c r="AA13" i="36"/>
  <c r="W22" i="36"/>
  <c r="W23" i="36"/>
  <c r="AC25" i="35"/>
  <c r="U25" i="35"/>
  <c r="U24" i="35"/>
  <c r="S35" i="35"/>
  <c r="W35" i="35"/>
  <c r="AA16" i="35"/>
  <c r="AA35" i="37"/>
  <c r="W36" i="37"/>
  <c r="S27" i="37"/>
  <c r="S28" i="37"/>
  <c r="W32" i="37"/>
  <c r="S40" i="37"/>
  <c r="AC34" i="37"/>
  <c r="AB35" i="37"/>
  <c r="AA31" i="37"/>
  <c r="U19" i="37"/>
  <c r="AA29" i="37"/>
  <c r="U8" i="37"/>
  <c r="AA40" i="34"/>
  <c r="AB40" i="34"/>
  <c r="U19" i="34"/>
  <c r="W19" i="34"/>
  <c r="AB33" i="34"/>
  <c r="AA30" i="34"/>
  <c r="AB47" i="34"/>
  <c r="U25" i="34"/>
  <c r="AB36" i="34"/>
  <c r="W33" i="34"/>
  <c r="AC14" i="34"/>
  <c r="AC32" i="34"/>
  <c r="AC29" i="34"/>
  <c r="W46" i="34"/>
  <c r="AC46" i="34"/>
  <c r="S32" i="34"/>
  <c r="AA32" i="34"/>
  <c r="U30" i="34"/>
  <c r="AB30" i="34"/>
  <c r="S37" i="34"/>
  <c r="U38"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AB34" i="33"/>
  <c r="U44" i="33"/>
  <c r="AB44" i="33"/>
  <c r="AC14" i="33"/>
  <c r="W14" i="33"/>
  <c r="S31" i="33"/>
  <c r="AA31" i="33"/>
  <c r="AC13" i="33"/>
  <c r="S11" i="33"/>
  <c r="U37" i="33"/>
  <c r="AC28" i="33"/>
  <c r="S28" i="33"/>
  <c r="W9" i="33"/>
  <c r="W8" i="33"/>
  <c r="S44" i="21"/>
  <c r="AB42" i="21"/>
  <c r="S45"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S12" i="33"/>
  <c r="AA12" i="33"/>
  <c r="J32" i="39"/>
  <c r="H32" i="39"/>
  <c r="AB32" i="39" s="1"/>
  <c r="AA32" i="39"/>
  <c r="S32" i="39"/>
  <c r="AB21" i="39"/>
  <c r="U21" i="39"/>
  <c r="AC17" i="37"/>
  <c r="S17" i="37"/>
  <c r="J19" i="37"/>
  <c r="W19" i="37" s="1"/>
  <c r="AA19"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S36" i="33"/>
  <c r="AC32" i="33"/>
  <c r="W32" i="33"/>
  <c r="U27" i="33"/>
  <c r="G91" i="33"/>
  <c r="H91" i="33" s="1"/>
  <c r="I91" i="33"/>
  <c r="J91" i="33" s="1"/>
  <c r="K91" i="33" s="1"/>
  <c r="L91" i="33" s="1"/>
  <c r="M91" i="33" s="1"/>
  <c r="J27" i="33"/>
  <c r="U25" i="33"/>
  <c r="AB25" i="33"/>
  <c r="S25" i="33"/>
  <c r="AA25" i="33"/>
  <c r="H87" i="33"/>
  <c r="I87" i="33" s="1"/>
  <c r="J87" i="33" s="1"/>
  <c r="K87" i="33" s="1"/>
  <c r="L87" i="33" s="1"/>
  <c r="M87" i="33" s="1"/>
  <c r="J25" i="33"/>
  <c r="AC25" i="33" s="1"/>
  <c r="AB23" i="33"/>
  <c r="U23" i="33"/>
  <c r="F23" i="33"/>
  <c r="H19" i="33"/>
  <c r="G81" i="33"/>
  <c r="H17" i="33"/>
  <c r="U17" i="33" s="1"/>
  <c r="F17" i="33"/>
  <c r="S17" i="33" s="1"/>
  <c r="W17" i="33"/>
  <c r="AC17" i="33"/>
  <c r="AB15" i="21"/>
  <c r="J23" i="21"/>
  <c r="W23" i="21" s="1"/>
  <c r="F85" i="21"/>
  <c r="G85" i="21" s="1"/>
  <c r="H23" i="21"/>
  <c r="S13" i="21"/>
  <c r="D6" i="52"/>
  <c r="AP7" i="1"/>
  <c r="AB9" i="21"/>
  <c r="U9" i="21"/>
  <c r="W9" i="21"/>
  <c r="AC9" i="21"/>
  <c r="A18" i="62"/>
  <c r="B64" i="72" s="1"/>
  <c r="U32" i="39"/>
  <c r="W23" i="37"/>
  <c r="AC23" i="37"/>
  <c r="J11" i="37"/>
  <c r="AC11" i="37" s="1"/>
  <c r="H70" i="34"/>
  <c r="I70" i="34" s="1"/>
  <c r="J70" i="34" s="1"/>
  <c r="K70" i="34"/>
  <c r="L70" i="34" s="1"/>
  <c r="M70" i="34" s="1"/>
  <c r="J11" i="34"/>
  <c r="W11" i="34" s="1"/>
  <c r="W27" i="33"/>
  <c r="AC27" i="33"/>
  <c r="W25" i="33"/>
  <c r="AB19" i="33"/>
  <c r="U19" i="33"/>
  <c r="AA17" i="33"/>
  <c r="U23" i="21"/>
  <c r="AB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43" i="15"/>
  <c r="M8" i="15"/>
  <c r="M26" i="67"/>
  <c r="AO13" i="1"/>
  <c r="F42" i="15"/>
  <c r="B13" i="76"/>
  <c r="F7" i="15"/>
  <c r="M29" i="67"/>
  <c r="F4" i="73"/>
  <c r="C76" i="15"/>
  <c r="F9" i="15"/>
  <c r="F13" i="15"/>
  <c r="D35" i="9"/>
  <c r="E2" i="69"/>
  <c r="M9" i="15"/>
  <c r="E7" i="76"/>
  <c r="C76" i="67"/>
  <c r="L48" i="15"/>
  <c r="F42" i="67"/>
  <c r="E9" i="76"/>
  <c r="B8" i="76"/>
  <c r="D19" i="9"/>
  <c r="B12" i="76"/>
  <c r="F37" i="67"/>
  <c r="F8" i="15"/>
  <c r="M29" i="15"/>
  <c r="F7" i="73"/>
  <c r="D20" i="9"/>
  <c r="F20" i="31"/>
  <c r="M23" i="15"/>
  <c r="J15" i="15"/>
  <c r="E12" i="76"/>
  <c r="L48" i="67"/>
  <c r="F37" i="15"/>
  <c r="M24" i="15"/>
  <c r="M8" i="67"/>
  <c r="L47" i="67"/>
  <c r="M9" i="67"/>
  <c r="M28" i="15"/>
  <c r="F38" i="15"/>
  <c r="F7" i="67"/>
  <c r="F26" i="15"/>
  <c r="F3" i="73"/>
  <c r="J15" i="67"/>
  <c r="F36" i="15"/>
  <c r="B11" i="76"/>
  <c r="F9" i="67"/>
  <c r="E11" i="76"/>
  <c r="M26" i="15"/>
  <c r="E13" i="76"/>
  <c r="M6" i="15"/>
  <c r="D34" i="9"/>
  <c r="F6" i="15"/>
  <c r="F36" i="67"/>
  <c r="B9" i="76"/>
  <c r="L47" i="15"/>
  <c r="E8" i="76"/>
  <c r="M22" i="15"/>
  <c r="F40" i="15"/>
  <c r="C19" i="9"/>
  <c r="C20" i="9"/>
  <c r="M28" i="67"/>
  <c r="M23" i="67"/>
  <c r="E10" i="76"/>
  <c r="B7" i="76"/>
  <c r="B10" i="76"/>
  <c r="F6" i="73"/>
  <c r="F5" i="73"/>
  <c r="F8" i="67"/>
  <c r="F16" i="15"/>
  <c r="D6" i="73"/>
  <c r="E2" i="68"/>
  <c r="F16" i="36" l="1"/>
  <c r="AA16" i="36" s="1"/>
  <c r="F66" i="36"/>
  <c r="G66" i="36" s="1"/>
  <c r="F18" i="36"/>
  <c r="AA18" i="36" s="1"/>
  <c r="W18" i="36"/>
  <c r="S33" i="36"/>
  <c r="U16" i="36"/>
  <c r="AC14" i="36"/>
  <c r="S14" i="36"/>
  <c r="W30" i="36"/>
  <c r="AB30" i="36"/>
  <c r="U32" i="36"/>
  <c r="G22" i="69"/>
  <c r="G22" i="11"/>
  <c r="E1" i="73"/>
  <c r="G26" i="12"/>
  <c r="M18" i="67"/>
  <c r="F28" i="15"/>
  <c r="F28" i="67"/>
  <c r="M18" i="15"/>
  <c r="F30" i="11"/>
  <c r="C48" i="11" s="1"/>
  <c r="F32" i="67"/>
  <c r="F60" i="67" s="1"/>
  <c r="C21" i="68"/>
  <c r="AC32" i="39"/>
  <c r="W32" i="39"/>
  <c r="AA37" i="21"/>
  <c r="S37" i="21"/>
  <c r="AC15" i="21"/>
  <c r="W15" i="21"/>
  <c r="S23" i="37"/>
  <c r="AA23" i="37"/>
  <c r="AA23" i="21"/>
  <c r="S23" i="21"/>
  <c r="S12" i="40"/>
  <c r="AA12" i="40"/>
  <c r="U36" i="33"/>
  <c r="AB36" i="33"/>
  <c r="AC23" i="21"/>
  <c r="S19" i="33"/>
  <c r="AA19" i="33"/>
  <c r="AA39" i="40"/>
  <c r="S39" i="40"/>
  <c r="U15" i="33"/>
  <c r="U38" i="37"/>
  <c r="S24" i="35"/>
  <c r="W27" i="40"/>
  <c r="U32" i="37"/>
  <c r="AB31" i="37"/>
  <c r="S23" i="35"/>
  <c r="U21" i="40"/>
  <c r="S23" i="40"/>
  <c r="AZ347" i="3"/>
  <c r="AA11" i="39"/>
  <c r="AA43" i="33"/>
  <c r="S32" i="40"/>
  <c r="G521" i="3"/>
  <c r="AZ527" i="3"/>
  <c r="AC37" i="40"/>
  <c r="S31" i="34"/>
  <c r="U37" i="37"/>
  <c r="AB36" i="37"/>
  <c r="W11" i="35"/>
  <c r="AC11" i="35"/>
  <c r="U46" i="34"/>
  <c r="AA41" i="33"/>
  <c r="AB30" i="37"/>
  <c r="U30" i="37"/>
  <c r="H44" i="39"/>
  <c r="F44" i="39"/>
  <c r="J33" i="40"/>
  <c r="F33" i="40"/>
  <c r="W44" i="33"/>
  <c r="AC44" i="33"/>
  <c r="AZ575" i="3"/>
  <c r="AZ508" i="3"/>
  <c r="J12" i="40"/>
  <c r="H12" i="40"/>
  <c r="U32" i="21"/>
  <c r="S32" i="21"/>
  <c r="AB45" i="21"/>
  <c r="S21" i="39"/>
  <c r="F54" i="9"/>
  <c r="F32" i="15"/>
  <c r="F60" i="15" s="1"/>
  <c r="F52" i="9"/>
  <c r="F30" i="68"/>
  <c r="F48" i="68" s="1"/>
  <c r="AC37" i="33"/>
  <c r="W40" i="34"/>
  <c r="S20" i="36"/>
  <c r="AC13" i="37"/>
  <c r="AC34" i="33"/>
  <c r="AZ391" i="3"/>
  <c r="AZ364" i="3"/>
  <c r="AZ329" i="3"/>
  <c r="AZ304" i="3"/>
  <c r="AZ306" i="3"/>
  <c r="AZ541" i="3"/>
  <c r="AZ518" i="3"/>
  <c r="AZ556" i="3"/>
  <c r="AZ540" i="3"/>
  <c r="H25" i="36"/>
  <c r="F25" i="36"/>
  <c r="J39" i="40"/>
  <c r="H39" i="40"/>
  <c r="BA569" i="3"/>
  <c r="BA568" i="3"/>
  <c r="AZ568" i="3" s="1"/>
  <c r="BL566" i="3"/>
  <c r="BL564" i="3"/>
  <c r="AZ564" i="3" s="1"/>
  <c r="BA561" i="3"/>
  <c r="AZ561" i="3" s="1"/>
  <c r="BA560" i="3"/>
  <c r="AZ560" i="3" s="1"/>
  <c r="BL558" i="3"/>
  <c r="AZ558" i="3" s="1"/>
  <c r="BA549" i="3"/>
  <c r="AZ549" i="3" s="1"/>
  <c r="BL544" i="3"/>
  <c r="AZ544" i="3" s="1"/>
  <c r="BL542" i="3"/>
  <c r="AZ542" i="3" s="1"/>
  <c r="BA541" i="3"/>
  <c r="BA538" i="3"/>
  <c r="AZ538" i="3" s="1"/>
  <c r="BL537" i="3"/>
  <c r="AZ537" i="3" s="1"/>
  <c r="BA534" i="3"/>
  <c r="AZ534" i="3" s="1"/>
  <c r="BA533" i="3"/>
  <c r="AZ533" i="3" s="1"/>
  <c r="BL532" i="3"/>
  <c r="AZ532" i="3" s="1"/>
  <c r="BA530" i="3"/>
  <c r="AZ530" i="3" s="1"/>
  <c r="BL526" i="3"/>
  <c r="AZ526" i="3" s="1"/>
  <c r="BA525" i="3"/>
  <c r="AZ525" i="3" s="1"/>
  <c r="BL524" i="3"/>
  <c r="AZ524" i="3" s="1"/>
  <c r="BA522" i="3"/>
  <c r="AZ522" i="3" s="1"/>
  <c r="BL521" i="3"/>
  <c r="AZ521" i="3" s="1"/>
  <c r="BA521" i="3"/>
  <c r="BA515" i="3"/>
  <c r="AZ515" i="3" s="1"/>
  <c r="BA514" i="3"/>
  <c r="AZ514" i="3" s="1"/>
  <c r="BL506" i="3"/>
  <c r="AZ506" i="3" s="1"/>
  <c r="BA505" i="3"/>
  <c r="AZ505" i="3" s="1"/>
  <c r="BL504" i="3"/>
  <c r="AZ504" i="3" s="1"/>
  <c r="BL499" i="3"/>
  <c r="AZ499" i="3" s="1"/>
  <c r="BA497" i="3"/>
  <c r="AZ497" i="3" s="1"/>
  <c r="BL495" i="3"/>
  <c r="AA38" i="33"/>
  <c r="S38" i="33"/>
  <c r="D68" i="9"/>
  <c r="F30" i="69"/>
  <c r="F48" i="69" s="1"/>
  <c r="F31" i="12"/>
  <c r="U28" i="21"/>
  <c r="AB20" i="35"/>
  <c r="U41" i="39"/>
  <c r="AB39" i="21"/>
  <c r="S37" i="37"/>
  <c r="AC30" i="35"/>
  <c r="AA19" i="40"/>
  <c r="AZ357" i="3"/>
  <c r="AZ322" i="3"/>
  <c r="AZ313" i="3"/>
  <c r="AZ394" i="3"/>
  <c r="W44" i="21"/>
  <c r="AZ569" i="3"/>
  <c r="AZ571" i="3"/>
  <c r="AZ566" i="3"/>
  <c r="AA44" i="34"/>
  <c r="AB17" i="34"/>
  <c r="U23" i="34"/>
  <c r="AC44" i="39"/>
  <c r="W44" i="39"/>
  <c r="U34" i="21"/>
  <c r="AB34" i="21"/>
  <c r="H12" i="33"/>
  <c r="U12" i="33" s="1"/>
  <c r="J12" i="33"/>
  <c r="J30" i="33"/>
  <c r="F30" i="33"/>
  <c r="H46" i="33"/>
  <c r="F46" i="33"/>
  <c r="J45" i="34"/>
  <c r="H45" i="34"/>
  <c r="F13" i="35"/>
  <c r="H13" i="35"/>
  <c r="H9" i="36"/>
  <c r="AB9" i="36" s="1"/>
  <c r="J9" i="36"/>
  <c r="BL580" i="3"/>
  <c r="AZ580" i="3" s="1"/>
  <c r="BL579" i="3"/>
  <c r="AZ579" i="3" s="1"/>
  <c r="BA577" i="3"/>
  <c r="AZ577" i="3" s="1"/>
  <c r="BA576" i="3"/>
  <c r="AZ576" i="3" s="1"/>
  <c r="W28" i="35"/>
  <c r="J36" i="35"/>
  <c r="AC36" i="35" s="1"/>
  <c r="J24" i="36"/>
  <c r="H24" i="36"/>
  <c r="W31" i="35"/>
  <c r="AC31" i="35"/>
  <c r="BL550" i="3"/>
  <c r="AZ419" i="3"/>
  <c r="AZ466" i="3"/>
  <c r="AZ476" i="3"/>
  <c r="B97" i="43"/>
  <c r="B75" i="43"/>
  <c r="AC28" i="36"/>
  <c r="W28" i="36"/>
  <c r="H45" i="39"/>
  <c r="J45" i="39"/>
  <c r="W45" i="39" s="1"/>
  <c r="G582" i="3"/>
  <c r="G574" i="3"/>
  <c r="BA551" i="3"/>
  <c r="AZ551" i="3" s="1"/>
  <c r="BA550" i="3"/>
  <c r="AZ550" i="3" s="1"/>
  <c r="BL548" i="3"/>
  <c r="AZ548" i="3" s="1"/>
  <c r="BL519" i="3"/>
  <c r="AZ519" i="3" s="1"/>
  <c r="BL531" i="3"/>
  <c r="AZ531" i="3" s="1"/>
  <c r="BL559" i="3"/>
  <c r="AZ559" i="3" s="1"/>
  <c r="BL573" i="3"/>
  <c r="AZ573" i="3" s="1"/>
  <c r="AZ583" i="3"/>
  <c r="AA14" i="34"/>
  <c r="BL587" i="3"/>
  <c r="AZ587" i="3" s="1"/>
  <c r="BL586" i="3"/>
  <c r="AZ586" i="3" s="1"/>
  <c r="H23" i="35"/>
  <c r="AC22" i="35"/>
  <c r="W22" i="35"/>
  <c r="F38" i="40"/>
  <c r="AZ458" i="3"/>
  <c r="AZ462" i="3"/>
  <c r="C67" i="71"/>
  <c r="T68" i="71"/>
  <c r="O68" i="71"/>
  <c r="D68" i="71"/>
  <c r="T76" i="71"/>
  <c r="D76" i="71"/>
  <c r="C75" i="71"/>
  <c r="Y26" i="71"/>
  <c r="Z26" i="71" s="1"/>
  <c r="Y25" i="71"/>
  <c r="Z25" i="71" s="1"/>
  <c r="AA3" i="71"/>
  <c r="BL585" i="3"/>
  <c r="AZ585" i="3" s="1"/>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AZ353" i="3" s="1"/>
  <c r="BL353" i="3"/>
  <c r="BA221"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AZ454" i="3" s="1"/>
  <c r="BA457" i="3"/>
  <c r="BA459" i="3"/>
  <c r="AZ459" i="3" s="1"/>
  <c r="BA460" i="3"/>
  <c r="AZ460" i="3" s="1"/>
  <c r="BA461" i="3"/>
  <c r="AZ461" i="3" s="1"/>
  <c r="BL464" i="3"/>
  <c r="BL466" i="3"/>
  <c r="G468" i="3"/>
  <c r="G469" i="3"/>
  <c r="BL476" i="3"/>
  <c r="BL477" i="3"/>
  <c r="BL478" i="3"/>
  <c r="BL480" i="3"/>
  <c r="AZ480" i="3" s="1"/>
  <c r="BA483" i="3"/>
  <c r="BL483" i="3"/>
  <c r="BA486" i="3"/>
  <c r="BL489" i="3"/>
  <c r="BL491" i="3"/>
  <c r="AZ491" i="3" s="1"/>
  <c r="BL492" i="3"/>
  <c r="BA315" i="3"/>
  <c r="AZ315" i="3" s="1"/>
  <c r="BA333" i="3"/>
  <c r="BL346" i="3"/>
  <c r="AZ346" i="3" s="1"/>
  <c r="BL367" i="3"/>
  <c r="BL375" i="3"/>
  <c r="AZ375" i="3" s="1"/>
  <c r="BA384" i="3"/>
  <c r="AZ384" i="3" s="1"/>
  <c r="BA396" i="3"/>
  <c r="BA208" i="3"/>
  <c r="AZ208" i="3" s="1"/>
  <c r="G223" i="3"/>
  <c r="BA228" i="3"/>
  <c r="AZ228" i="3" s="1"/>
  <c r="BA230" i="3"/>
  <c r="AZ230" i="3" s="1"/>
  <c r="BA156" i="3"/>
  <c r="AZ156" i="3" s="1"/>
  <c r="W25" i="40"/>
  <c r="AC25" i="40"/>
  <c r="BL16" i="3"/>
  <c r="AZ16" i="3" s="1"/>
  <c r="BA401" i="3"/>
  <c r="AZ401" i="3" s="1"/>
  <c r="BA403" i="3"/>
  <c r="AZ403" i="3" s="1"/>
  <c r="BA404" i="3"/>
  <c r="AZ404" i="3" s="1"/>
  <c r="BA405" i="3"/>
  <c r="BL410" i="3"/>
  <c r="G412" i="3"/>
  <c r="G418" i="3"/>
  <c r="BA422" i="3"/>
  <c r="AZ422" i="3" s="1"/>
  <c r="G429" i="3"/>
  <c r="BL431" i="3"/>
  <c r="G433" i="3"/>
  <c r="BL434" i="3"/>
  <c r="G436" i="3"/>
  <c r="BL438" i="3"/>
  <c r="BL439" i="3"/>
  <c r="BA441" i="3"/>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58" i="3"/>
  <c r="BA366" i="3"/>
  <c r="AZ366" i="3" s="1"/>
  <c r="BA368" i="3"/>
  <c r="AZ368" i="3" s="1"/>
  <c r="BL368" i="3"/>
  <c r="BA374" i="3"/>
  <c r="AZ374" i="3" s="1"/>
  <c r="BL386" i="3"/>
  <c r="G392" i="3"/>
  <c r="G209" i="3"/>
  <c r="BA210" i="3"/>
  <c r="BL210" i="3"/>
  <c r="BL213" i="3"/>
  <c r="BA217" i="3"/>
  <c r="AZ217" i="3" s="1"/>
  <c r="BL222" i="3"/>
  <c r="BL227" i="3"/>
  <c r="G232" i="3"/>
  <c r="BL232" i="3"/>
  <c r="BL234" i="3"/>
  <c r="BA236" i="3"/>
  <c r="BA238" i="3"/>
  <c r="BA243" i="3"/>
  <c r="BL248" i="3"/>
  <c r="AZ248" i="3" s="1"/>
  <c r="BL250" i="3"/>
  <c r="AZ250" i="3" s="1"/>
  <c r="BA259" i="3"/>
  <c r="AZ259" i="3" s="1"/>
  <c r="BL261" i="3"/>
  <c r="BA263" i="3"/>
  <c r="BA267" i="3"/>
  <c r="AZ267" i="3" s="1"/>
  <c r="BA269" i="3"/>
  <c r="AZ269" i="3" s="1"/>
  <c r="BA271" i="3"/>
  <c r="BL271" i="3"/>
  <c r="BA274" i="3"/>
  <c r="AZ274" i="3" s="1"/>
  <c r="BL274" i="3"/>
  <c r="BA276" i="3"/>
  <c r="BA279" i="3"/>
  <c r="BA281" i="3"/>
  <c r="BL286" i="3"/>
  <c r="AZ286" i="3" s="1"/>
  <c r="G291" i="3"/>
  <c r="BA296" i="3"/>
  <c r="BA116" i="3"/>
  <c r="AZ116" i="3" s="1"/>
  <c r="BA121" i="3"/>
  <c r="AZ121" i="3" s="1"/>
  <c r="BL121" i="3"/>
  <c r="BA124" i="3"/>
  <c r="AZ124" i="3" s="1"/>
  <c r="BA144" i="3"/>
  <c r="AZ144" i="3" s="1"/>
  <c r="G150" i="3"/>
  <c r="G154" i="3"/>
  <c r="G159" i="3"/>
  <c r="BL166" i="3"/>
  <c r="AZ166" i="3" s="1"/>
  <c r="BL167" i="3"/>
  <c r="AZ167" i="3" s="1"/>
  <c r="BL177" i="3"/>
  <c r="G179" i="3"/>
  <c r="BL183" i="3"/>
  <c r="AZ183" i="3" s="1"/>
  <c r="BA186" i="3"/>
  <c r="AZ186" i="3" s="1"/>
  <c r="BA190" i="3"/>
  <c r="BA207" i="3"/>
  <c r="BL20" i="3"/>
  <c r="BA21" i="3"/>
  <c r="AZ21" i="3" s="1"/>
  <c r="G29" i="3"/>
  <c r="BL29" i="3"/>
  <c r="AZ29" i="3" s="1"/>
  <c r="BL35" i="3"/>
  <c r="BA37" i="3"/>
  <c r="G39" i="3"/>
  <c r="BL39" i="3"/>
  <c r="AZ39" i="3" s="1"/>
  <c r="BA47" i="3"/>
  <c r="AZ47" i="3" s="1"/>
  <c r="BL49" i="3"/>
  <c r="BL50" i="3"/>
  <c r="AZ50" i="3" s="1"/>
  <c r="BL51" i="3"/>
  <c r="BA53" i="3"/>
  <c r="AZ53" i="3" s="1"/>
  <c r="BA54" i="3"/>
  <c r="BA62" i="3"/>
  <c r="AZ62" i="3" s="1"/>
  <c r="BA63" i="3"/>
  <c r="AZ63" i="3" s="1"/>
  <c r="BL65" i="3"/>
  <c r="AZ65" i="3" s="1"/>
  <c r="BL66" i="3"/>
  <c r="AZ66" i="3" s="1"/>
  <c r="BA72" i="3"/>
  <c r="AZ72" i="3" s="1"/>
  <c r="G76" i="3"/>
  <c r="BL86" i="3"/>
  <c r="AZ86" i="3" s="1"/>
  <c r="BA87" i="3"/>
  <c r="BA89" i="3"/>
  <c r="AB21" i="37"/>
  <c r="U21" i="37"/>
  <c r="D44" i="71"/>
  <c r="T44" i="71"/>
  <c r="AB34" i="71"/>
  <c r="AB32" i="71"/>
  <c r="AA38" i="71"/>
  <c r="AA28" i="71"/>
  <c r="C47" i="71"/>
  <c r="D47" i="71" s="1"/>
  <c r="D46" i="71"/>
  <c r="D50" i="71"/>
  <c r="C51" i="71"/>
  <c r="C64" i="71"/>
  <c r="D63" i="71"/>
  <c r="C23" i="71"/>
  <c r="B22" i="71"/>
  <c r="B21" i="71" s="1"/>
  <c r="B20" i="71" s="1"/>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AZ284" i="3" s="1"/>
  <c r="G288" i="3"/>
  <c r="BL292" i="3"/>
  <c r="BA294" i="3"/>
  <c r="AZ294" i="3" s="1"/>
  <c r="BL295" i="3"/>
  <c r="BA298" i="3"/>
  <c r="AZ298" i="3" s="1"/>
  <c r="BL301" i="3"/>
  <c r="AZ301" i="3" s="1"/>
  <c r="BL302" i="3"/>
  <c r="AZ302" i="3" s="1"/>
  <c r="BA114" i="3"/>
  <c r="BL123" i="3"/>
  <c r="AZ123" i="3" s="1"/>
  <c r="BL125" i="3"/>
  <c r="AZ125" i="3" s="1"/>
  <c r="BL126" i="3"/>
  <c r="AZ126" i="3" s="1"/>
  <c r="BL146" i="3"/>
  <c r="AZ146" i="3" s="1"/>
  <c r="BL155" i="3"/>
  <c r="AZ155" i="3" s="1"/>
  <c r="BL163" i="3"/>
  <c r="AZ163" i="3" s="1"/>
  <c r="AZ177" i="3"/>
  <c r="AZ52" i="3"/>
  <c r="AZ70" i="3"/>
  <c r="AC21" i="21"/>
  <c r="W21" i="21"/>
  <c r="F40" i="69"/>
  <c r="C40" i="69"/>
  <c r="T32" i="71"/>
  <c r="D32" i="71"/>
  <c r="X33" i="71"/>
  <c r="X31" i="71"/>
  <c r="X34" i="71"/>
  <c r="X36" i="71"/>
  <c r="X35" i="71"/>
  <c r="AB37" i="71"/>
  <c r="AB35" i="71"/>
  <c r="F38" i="71"/>
  <c r="F39" i="71" s="1"/>
  <c r="F40" i="71" s="1"/>
  <c r="V40" i="71" s="1"/>
  <c r="C55" i="71"/>
  <c r="D54" i="71"/>
  <c r="G364" i="3"/>
  <c r="BA367" i="3"/>
  <c r="AZ367" i="3" s="1"/>
  <c r="BA370" i="3"/>
  <c r="AZ370" i="3" s="1"/>
  <c r="BA386" i="3"/>
  <c r="AZ386" i="3" s="1"/>
  <c r="G397" i="3"/>
  <c r="G210" i="3"/>
  <c r="BA216" i="3"/>
  <c r="AZ216" i="3" s="1"/>
  <c r="BA218" i="3"/>
  <c r="AZ218" i="3" s="1"/>
  <c r="BL218" i="3"/>
  <c r="BL220" i="3"/>
  <c r="BL221" i="3"/>
  <c r="G222" i="3"/>
  <c r="BL223" i="3"/>
  <c r="AZ223" i="3" s="1"/>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G128" i="3"/>
  <c r="BA129" i="3"/>
  <c r="BL133" i="3"/>
  <c r="AZ133" i="3" s="1"/>
  <c r="BL139" i="3"/>
  <c r="AZ139" i="3" s="1"/>
  <c r="G140" i="3"/>
  <c r="BL141" i="3"/>
  <c r="BL143" i="3"/>
  <c r="AZ143" i="3" s="1"/>
  <c r="G146" i="3"/>
  <c r="BA153" i="3"/>
  <c r="G163" i="3"/>
  <c r="BL169" i="3"/>
  <c r="BA188" i="3"/>
  <c r="AZ188" i="3" s="1"/>
  <c r="BL195" i="3"/>
  <c r="AZ195" i="3" s="1"/>
  <c r="G196" i="3"/>
  <c r="BA197" i="3"/>
  <c r="BL201" i="3"/>
  <c r="AZ201" i="3" s="1"/>
  <c r="BL203" i="3"/>
  <c r="AZ203" i="3" s="1"/>
  <c r="BA204" i="3"/>
  <c r="AZ204" i="3" s="1"/>
  <c r="BL23" i="3"/>
  <c r="BA25" i="3"/>
  <c r="G32" i="3"/>
  <c r="G42" i="3"/>
  <c r="BA55" i="3"/>
  <c r="BL57" i="3"/>
  <c r="AZ57" i="3" s="1"/>
  <c r="G59" i="3"/>
  <c r="BA67" i="3"/>
  <c r="AZ67" i="3" s="1"/>
  <c r="BL70" i="3"/>
  <c r="BL71" i="3"/>
  <c r="AZ71" i="3" s="1"/>
  <c r="BA80" i="3"/>
  <c r="BL84" i="3"/>
  <c r="D43" i="71"/>
  <c r="C86" i="71"/>
  <c r="D86" i="71" s="1"/>
  <c r="D87" i="71"/>
  <c r="B66" i="71"/>
  <c r="AB25" i="71"/>
  <c r="AB28" i="71"/>
  <c r="AB26" i="71"/>
  <c r="AB27" i="71"/>
  <c r="B35" i="71"/>
  <c r="B36" i="71" s="1"/>
  <c r="S36" i="71" s="1"/>
  <c r="T28" i="71"/>
  <c r="D28" i="71"/>
  <c r="U28" i="71" s="1"/>
  <c r="C27" i="7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AZ20" i="3" s="1"/>
  <c r="BL25" i="3"/>
  <c r="BL27" i="3"/>
  <c r="BA28" i="3"/>
  <c r="AZ28" i="3" s="1"/>
  <c r="BA31" i="3"/>
  <c r="BA32" i="3"/>
  <c r="G38" i="3"/>
  <c r="BA38" i="3"/>
  <c r="AZ38" i="3" s="1"/>
  <c r="BA41" i="3"/>
  <c r="BA42" i="3"/>
  <c r="G47" i="3"/>
  <c r="BL48" i="3"/>
  <c r="BL54" i="3"/>
  <c r="BL55" i="3"/>
  <c r="G58" i="3"/>
  <c r="BA59" i="3"/>
  <c r="BL61" i="3"/>
  <c r="G64" i="3"/>
  <c r="BA64" i="3"/>
  <c r="AZ64" i="3" s="1"/>
  <c r="G67" i="3"/>
  <c r="BL68" i="3"/>
  <c r="BA69" i="3"/>
  <c r="AZ69" i="3" s="1"/>
  <c r="G72" i="3"/>
  <c r="BL73" i="3"/>
  <c r="BA74" i="3"/>
  <c r="AZ74" i="3" s="1"/>
  <c r="BA75" i="3"/>
  <c r="AZ75" i="3" s="1"/>
  <c r="BA84" i="3"/>
  <c r="AZ84" i="3" s="1"/>
  <c r="BA92" i="3"/>
  <c r="BA95" i="3"/>
  <c r="BL97" i="3"/>
  <c r="AZ97" i="3" s="1"/>
  <c r="BL101" i="3"/>
  <c r="AZ101" i="3" s="1"/>
  <c r="BL102" i="3"/>
  <c r="U21" i="33"/>
  <c r="AB21" i="33"/>
  <c r="P65" i="71"/>
  <c r="P66" i="71"/>
  <c r="C36" i="71"/>
  <c r="D35" i="71"/>
  <c r="Y35" i="71"/>
  <c r="Z35" i="71" s="1"/>
  <c r="S80" i="71"/>
  <c r="B79" i="71"/>
  <c r="B78" i="71" s="1"/>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A68" i="3"/>
  <c r="BA73" i="3"/>
  <c r="BL77" i="3"/>
  <c r="AZ77" i="3" s="1"/>
  <c r="BA79" i="3"/>
  <c r="AZ79" i="3" s="1"/>
  <c r="BA88" i="3"/>
  <c r="AZ88" i="3" s="1"/>
  <c r="BA91" i="3"/>
  <c r="AZ91" i="3" s="1"/>
  <c r="BL96" i="3"/>
  <c r="E39" i="71"/>
  <c r="E40" i="71" s="1"/>
  <c r="U40" i="71" s="1"/>
  <c r="Y37" i="71"/>
  <c r="Z37" i="71" s="1"/>
  <c r="F66" i="71"/>
  <c r="Q67" i="71"/>
  <c r="X25" i="71"/>
  <c r="V24" i="71"/>
  <c r="E23" i="71"/>
  <c r="E22" i="71" s="1"/>
  <c r="E21" i="71" s="1"/>
  <c r="E20" i="71" s="1"/>
  <c r="G99" i="3"/>
  <c r="G103" i="3"/>
  <c r="BA103" i="3"/>
  <c r="AZ103" i="3" s="1"/>
  <c r="BA104" i="3"/>
  <c r="BA106" i="3"/>
  <c r="BL108" i="3"/>
  <c r="AZ108" i="3" s="1"/>
  <c r="G110" i="3"/>
  <c r="BL111" i="3"/>
  <c r="AA27" i="71"/>
  <c r="S28" i="71"/>
  <c r="C83" i="71"/>
  <c r="C79" i="71"/>
  <c r="C71" i="71"/>
  <c r="C39" i="71"/>
  <c r="Y28" i="71"/>
  <c r="Z28" i="71" s="1"/>
  <c r="Y30" i="71"/>
  <c r="Z30" i="71" s="1"/>
  <c r="X28" i="71"/>
  <c r="X32" i="71"/>
  <c r="AB38" i="71"/>
  <c r="F75" i="71"/>
  <c r="F74" i="71" s="1"/>
  <c r="U25" i="40"/>
  <c r="S21" i="34"/>
  <c r="B68" i="43"/>
  <c r="B88" i="43"/>
  <c r="F35" i="71"/>
  <c r="F36" i="71" s="1"/>
  <c r="V36" i="71" s="1"/>
  <c r="AA34" i="71"/>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L59" i="15"/>
  <c r="N59" i="15"/>
  <c r="L58" i="15"/>
  <c r="M59" i="15"/>
  <c r="F66" i="15"/>
  <c r="Q71" i="67"/>
  <c r="F64" i="15"/>
  <c r="D103" i="9"/>
  <c r="C27" i="15"/>
  <c r="F65" i="15"/>
  <c r="G20" i="9"/>
  <c r="C103" i="9"/>
  <c r="N59" i="67"/>
  <c r="L59" i="67"/>
  <c r="L58" i="67"/>
  <c r="M59" i="67"/>
  <c r="B13" i="70"/>
  <c r="M7" i="67"/>
  <c r="F50" i="67"/>
  <c r="F64" i="67"/>
  <c r="F68" i="15"/>
  <c r="C36" i="68"/>
  <c r="D9" i="68"/>
  <c r="F43" i="67"/>
  <c r="F26" i="67"/>
  <c r="C36" i="69"/>
  <c r="F27" i="69"/>
  <c r="D9" i="69"/>
  <c r="C16" i="15"/>
  <c r="M6" i="67"/>
  <c r="D7" i="73"/>
  <c r="D3" i="73"/>
  <c r="D4" i="73"/>
  <c r="M22" i="67"/>
  <c r="F38" i="67"/>
  <c r="F40" i="67"/>
  <c r="D5" i="73"/>
  <c r="F6" i="67"/>
  <c r="M24" i="67"/>
  <c r="F16" i="67"/>
  <c r="F13" i="67"/>
  <c r="S16" i="36" l="1"/>
  <c r="S18" i="36"/>
  <c r="U9" i="36"/>
  <c r="J26" i="43"/>
  <c r="K16" i="1"/>
  <c r="N94" i="46"/>
  <c r="P6" i="1"/>
  <c r="C13" i="12" s="1"/>
  <c r="H16" i="1"/>
  <c r="E26" i="43"/>
  <c r="H26" i="43"/>
  <c r="G26" i="43"/>
  <c r="N370" i="46"/>
  <c r="C6" i="67"/>
  <c r="C32" i="67" s="1"/>
  <c r="F31" i="67"/>
  <c r="C27" i="67"/>
  <c r="F66" i="67"/>
  <c r="F68" i="67"/>
  <c r="F71" i="67"/>
  <c r="D83" i="71"/>
  <c r="C82" i="71"/>
  <c r="D82" i="71" s="1"/>
  <c r="AZ59" i="3"/>
  <c r="C26" i="71"/>
  <c r="D26" i="71" s="1"/>
  <c r="D27" i="71"/>
  <c r="N65" i="71"/>
  <c r="N66" i="71"/>
  <c r="AZ55" i="3"/>
  <c r="AZ197" i="3"/>
  <c r="AZ249" i="3"/>
  <c r="C56" i="71"/>
  <c r="D55" i="71"/>
  <c r="B19" i="71"/>
  <c r="B18" i="71" s="1"/>
  <c r="B17" i="71" s="1"/>
  <c r="B16" i="71" s="1"/>
  <c r="S16" i="71" s="1"/>
  <c r="S20" i="71"/>
  <c r="C52" i="71"/>
  <c r="D51" i="71"/>
  <c r="AZ190" i="3"/>
  <c r="AZ5" i="3" s="1"/>
  <c r="AZ271" i="3"/>
  <c r="AZ243" i="3"/>
  <c r="AZ210" i="3"/>
  <c r="AZ441" i="3"/>
  <c r="AZ405" i="3"/>
  <c r="AZ483" i="3"/>
  <c r="AZ421" i="3"/>
  <c r="D67" i="71"/>
  <c r="C66" i="71"/>
  <c r="O67" i="71"/>
  <c r="U23" i="35"/>
  <c r="AB23" i="35"/>
  <c r="U45" i="39"/>
  <c r="AB45" i="39"/>
  <c r="U13" i="35"/>
  <c r="AB13" i="35"/>
  <c r="AA46" i="33"/>
  <c r="S46" i="33"/>
  <c r="AC12" i="33"/>
  <c r="W12" i="33"/>
  <c r="S25" i="36"/>
  <c r="AA25" i="36"/>
  <c r="AB12" i="40"/>
  <c r="U12" i="40"/>
  <c r="AB44" i="39"/>
  <c r="U44" i="39"/>
  <c r="J6" i="67"/>
  <c r="J18" i="67" s="1"/>
  <c r="C40" i="71"/>
  <c r="D39" i="71"/>
  <c r="AZ27" i="3"/>
  <c r="D23" i="71"/>
  <c r="C22" i="71"/>
  <c r="AZ238" i="3"/>
  <c r="AZ457" i="3"/>
  <c r="AA38" i="40"/>
  <c r="S38" i="40"/>
  <c r="U46" i="33"/>
  <c r="AB46" i="33"/>
  <c r="AB25" i="36"/>
  <c r="U25" i="36"/>
  <c r="W12" i="40"/>
  <c r="AC12" i="40"/>
  <c r="AA33" i="40"/>
  <c r="S33" i="40"/>
  <c r="AZ111" i="3"/>
  <c r="C70" i="71"/>
  <c r="D70" i="71" s="1"/>
  <c r="D71" i="71"/>
  <c r="D75" i="71"/>
  <c r="C74" i="71"/>
  <c r="D74" i="71" s="1"/>
  <c r="AB24" i="36"/>
  <c r="U24" i="36"/>
  <c r="AC9" i="36"/>
  <c r="W9" i="36"/>
  <c r="U45" i="34"/>
  <c r="AB45" i="34"/>
  <c r="S30" i="33"/>
  <c r="AA30" i="33"/>
  <c r="U39" i="40"/>
  <c r="AB39" i="40"/>
  <c r="W33" i="40"/>
  <c r="AC33" i="40"/>
  <c r="G5" i="3"/>
  <c r="B3" i="3" s="1"/>
  <c r="E212" i="3" s="1"/>
  <c r="D79" i="71"/>
  <c r="C78" i="71"/>
  <c r="D78" i="71" s="1"/>
  <c r="AZ41" i="3"/>
  <c r="AZ31" i="3"/>
  <c r="AZ25" i="3"/>
  <c r="AZ263" i="3"/>
  <c r="AC24" i="36"/>
  <c r="W24" i="36"/>
  <c r="W45" i="34"/>
  <c r="AC45" i="34"/>
  <c r="AC30" i="33"/>
  <c r="W30" i="33"/>
  <c r="AC39" i="40"/>
  <c r="W39" i="40"/>
  <c r="AA44" i="39"/>
  <c r="S44" i="39"/>
  <c r="G16" i="1"/>
  <c r="F10" i="39" s="1"/>
  <c r="AA10" i="39" s="1"/>
  <c r="J7" i="37"/>
  <c r="K1" i="73"/>
  <c r="E510" i="3"/>
  <c r="E536" i="3"/>
  <c r="E199" i="3"/>
  <c r="E575" i="3"/>
  <c r="R6" i="3"/>
  <c r="E442" i="3"/>
  <c r="E541" i="3"/>
  <c r="E449" i="3"/>
  <c r="I3" i="6"/>
  <c r="E554" i="3"/>
  <c r="E435" i="3"/>
  <c r="E417" i="3"/>
  <c r="E56" i="3"/>
  <c r="E95" i="3"/>
  <c r="E192" i="3"/>
  <c r="E241" i="3"/>
  <c r="E363" i="3"/>
  <c r="E389" i="3"/>
  <c r="E76" i="3"/>
  <c r="E409" i="3"/>
  <c r="E425" i="3"/>
  <c r="E64" i="3"/>
  <c r="E103" i="3"/>
  <c r="E267" i="3"/>
  <c r="E300" i="3"/>
  <c r="E310" i="3"/>
  <c r="E23" i="3"/>
  <c r="E67" i="3"/>
  <c r="E144" i="3"/>
  <c r="E233" i="3"/>
  <c r="E381" i="3"/>
  <c r="E63" i="3"/>
  <c r="E264" i="3"/>
  <c r="E309" i="3"/>
  <c r="E21" i="3"/>
  <c r="E198" i="3"/>
  <c r="E332" i="3"/>
  <c r="AL6" i="3"/>
  <c r="E75" i="3"/>
  <c r="E18" i="3"/>
  <c r="E129" i="3"/>
  <c r="E235" i="3"/>
  <c r="E522" i="3"/>
  <c r="E34" i="3"/>
  <c r="E251" i="3"/>
  <c r="E102" i="3"/>
  <c r="E287" i="3"/>
  <c r="E22" i="3"/>
  <c r="E140" i="3"/>
  <c r="E173" i="3"/>
  <c r="E534" i="3"/>
  <c r="E405" i="3"/>
  <c r="E469" i="3"/>
  <c r="E408" i="3"/>
  <c r="E360" i="3"/>
  <c r="E497" i="3"/>
  <c r="E452" i="3"/>
  <c r="E420" i="3"/>
  <c r="E104"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AC7" i="37"/>
  <c r="W7" i="37"/>
  <c r="U7" i="36"/>
  <c r="F7" i="33"/>
  <c r="E58" i="21"/>
  <c r="AC7" i="36"/>
  <c r="V36" i="36" s="1"/>
  <c r="I36" i="36" s="1"/>
  <c r="W7" i="36"/>
  <c r="F7" i="37"/>
  <c r="M17" i="67"/>
  <c r="M17" i="15"/>
  <c r="F59" i="15"/>
  <c r="P28" i="43"/>
  <c r="B66" i="40" s="1"/>
  <c r="P25" i="43"/>
  <c r="C49" i="67"/>
  <c r="P29" i="43"/>
  <c r="P27" i="43"/>
  <c r="B70" i="39" s="1"/>
  <c r="C49" i="15"/>
  <c r="J18" i="15"/>
  <c r="C32" i="9"/>
  <c r="Q60" i="67"/>
  <c r="Q73" i="67"/>
  <c r="M11" i="67"/>
  <c r="J10" i="67" s="1"/>
  <c r="F11" i="15"/>
  <c r="M11" i="15"/>
  <c r="J10" i="15" s="1"/>
  <c r="J5" i="15" s="1"/>
  <c r="J24" i="15" s="1"/>
  <c r="F11" i="67"/>
  <c r="F1" i="15"/>
  <c r="Q52" i="15"/>
  <c r="C32" i="15"/>
  <c r="F1" i="67"/>
  <c r="Q52" i="67"/>
  <c r="Q60" i="15"/>
  <c r="Q73" i="15"/>
  <c r="Q61" i="67"/>
  <c r="Q74" i="67"/>
  <c r="Q74" i="15"/>
  <c r="Q61" i="15"/>
  <c r="AE11" i="1"/>
  <c r="AE6" i="1"/>
  <c r="AE9" i="1"/>
  <c r="F27" i="68"/>
  <c r="AE7" i="1"/>
  <c r="AE8" i="1"/>
  <c r="AE12" i="1"/>
  <c r="AE10" i="1"/>
  <c r="G1" i="73"/>
  <c r="C16" i="67"/>
  <c r="F41" i="67"/>
  <c r="S7" i="36" l="1"/>
  <c r="J10" i="39"/>
  <c r="W10" i="39" s="1"/>
  <c r="S10" i="39"/>
  <c r="H10" i="39"/>
  <c r="U10" i="39" s="1"/>
  <c r="J5" i="67"/>
  <c r="J24" i="67" s="1"/>
  <c r="H10" i="40"/>
  <c r="AB10" i="40" s="1"/>
  <c r="J10" i="40"/>
  <c r="AC10" i="40" s="1"/>
  <c r="F10" i="40"/>
  <c r="S10" i="40" s="1"/>
  <c r="AY6" i="3"/>
  <c r="E3" i="6"/>
  <c r="D22" i="71"/>
  <c r="C21" i="71"/>
  <c r="T40" i="71"/>
  <c r="D40" i="71"/>
  <c r="E41" i="3"/>
  <c r="E470" i="3"/>
  <c r="E556" i="3"/>
  <c r="E512" i="3"/>
  <c r="T6" i="3"/>
  <c r="E197" i="3"/>
  <c r="E308" i="3"/>
  <c r="AF6" i="3"/>
  <c r="AC6" i="3" s="1"/>
  <c r="E6" i="3" s="1"/>
  <c r="E86" i="3"/>
  <c r="E174" i="3"/>
  <c r="E482" i="3"/>
  <c r="E391" i="3"/>
  <c r="E494" i="3"/>
  <c r="E283" i="3"/>
  <c r="E68" i="3"/>
  <c r="E184" i="3"/>
  <c r="E84" i="3"/>
  <c r="E371" i="3"/>
  <c r="E160" i="3"/>
  <c r="E467" i="3"/>
  <c r="E59" i="3"/>
  <c r="E349" i="3"/>
  <c r="E258" i="3"/>
  <c r="E37" i="3"/>
  <c r="E491" i="3"/>
  <c r="AP6" i="3"/>
  <c r="E430" i="3"/>
  <c r="E502" i="3"/>
  <c r="E286" i="3"/>
  <c r="E539" i="3"/>
  <c r="R36" i="36"/>
  <c r="R37" i="36" s="1"/>
  <c r="T52" i="71"/>
  <c r="D52" i="71"/>
  <c r="D56" i="71"/>
  <c r="T56" i="71"/>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B10" i="74" s="1"/>
  <c r="D3" i="34"/>
  <c r="D19" i="11"/>
  <c r="C19" i="11" s="1"/>
  <c r="L18" i="9"/>
  <c r="C17" i="4"/>
  <c r="B4" i="52" s="1"/>
  <c r="B43" i="72" s="1"/>
  <c r="D3" i="33"/>
  <c r="D3" i="37"/>
  <c r="C39" i="43"/>
  <c r="C42" i="43"/>
  <c r="E42" i="43" s="1"/>
  <c r="C38" i="43"/>
  <c r="W10" i="40"/>
  <c r="AC10" i="39"/>
  <c r="U7" i="37"/>
  <c r="G67" i="39"/>
  <c r="F69" i="39"/>
  <c r="I53" i="34"/>
  <c r="J53" i="34" s="1"/>
  <c r="F58" i="21"/>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M27" i="15"/>
  <c r="M27" i="67"/>
  <c r="F41" i="15"/>
  <c r="AA10" i="40" l="1"/>
  <c r="AB10" i="39"/>
  <c r="D116" i="43"/>
  <c r="U10" i="40"/>
  <c r="F25" i="12"/>
  <c r="C26" i="12" s="1"/>
  <c r="D25" i="12" s="1"/>
  <c r="D21" i="71"/>
  <c r="C20" i="71"/>
  <c r="F22" i="68"/>
  <c r="F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C2" i="84" s="1"/>
  <c r="G58" i="21"/>
  <c r="C60" i="15"/>
  <c r="C34" i="9"/>
  <c r="C66" i="67"/>
  <c r="C60" i="67"/>
  <c r="D10" i="68"/>
  <c r="C17" i="15"/>
  <c r="C34" i="69"/>
  <c r="C17" i="67"/>
  <c r="D10" i="69"/>
  <c r="C14" i="67"/>
  <c r="D30" i="6" l="1"/>
  <c r="C23" i="68"/>
  <c r="C44" i="68"/>
  <c r="D41" i="68" s="1"/>
  <c r="C26" i="68"/>
  <c r="D22" i="68" s="1"/>
  <c r="C44" i="11"/>
  <c r="D41" i="11" s="1"/>
  <c r="H25" i="6"/>
  <c r="E53" i="34"/>
  <c r="F53" i="34" s="1"/>
  <c r="C19" i="71"/>
  <c r="T20" i="71"/>
  <c r="D20" i="71"/>
  <c r="U20" i="71" s="1"/>
  <c r="C26" i="11"/>
  <c r="D22" i="1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19" i="71" l="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15"/>
  <c r="F35" i="67"/>
  <c r="M21" i="67"/>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F2" i="82" s="1"/>
  <c r="L69" i="39"/>
  <c r="M67" i="39"/>
  <c r="S7" i="35"/>
  <c r="AA7" i="35"/>
  <c r="R38" i="35" s="1"/>
  <c r="C49" i="21"/>
  <c r="C48" i="21"/>
  <c r="E53" i="21"/>
  <c r="F53" i="21" s="1"/>
  <c r="G42" i="35"/>
  <c r="H42" i="35" s="1"/>
  <c r="G43" i="35"/>
  <c r="H43" i="35" s="1"/>
  <c r="K65" i="40"/>
  <c r="L63" i="40"/>
  <c r="I42" i="35"/>
  <c r="J42" i="35" s="1"/>
  <c r="C51" i="69" l="1"/>
  <c r="C52" i="69" s="1"/>
  <c r="E2" i="82"/>
  <c r="C5" i="82" s="1"/>
  <c r="C3" i="82" s="1"/>
  <c r="B2" i="69"/>
  <c r="I53" i="2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B3" i="69"/>
  <c r="C2" i="82" l="1"/>
  <c r="C10" i="82"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7" i="82" l="1"/>
  <c r="F10" i="82" s="1"/>
  <c r="H9" i="82"/>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5"/>
  <c r="D2" i="37"/>
  <c r="C11" i="82" l="1"/>
  <c r="C12" i="82" s="1"/>
  <c r="C3" i="84" s="1"/>
  <c r="E2" i="84"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6" i="1"/>
  <c r="AO9" i="1"/>
  <c r="AO8" i="1"/>
  <c r="AO12" i="1"/>
  <c r="AO10" i="1"/>
  <c r="AO11"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H4" i="52"/>
  <c r="C104" i="9"/>
  <c r="C6" i="74"/>
  <c r="P57" i="9"/>
  <c r="N58" i="9"/>
  <c r="D52" i="9"/>
  <c r="D53" i="9"/>
  <c r="M48" i="9"/>
  <c r="M54" i="9"/>
  <c r="D56" i="9"/>
  <c r="D54" i="9"/>
  <c r="B53" i="72"/>
  <c r="B30" i="72"/>
  <c r="C68" i="9"/>
  <c r="N60" i="9"/>
  <c r="N57" i="9"/>
  <c r="N59" i="9"/>
  <c r="N61" i="9"/>
  <c r="C78" i="9"/>
  <c r="C73" i="9"/>
  <c r="C93" i="9"/>
  <c r="C86" i="9"/>
  <c r="C81" i="9"/>
  <c r="B20" i="72"/>
  <c r="G4" i="52"/>
  <c r="B52" i="72"/>
  <c r="D5" i="52"/>
  <c r="B49" i="72"/>
  <c r="C5" i="74"/>
  <c r="D59" i="9"/>
  <c r="M55" i="9"/>
  <c r="D119" i="9"/>
  <c r="C64" i="9"/>
  <c r="C63" i="9"/>
  <c r="C67" i="9"/>
  <c r="D7" i="53"/>
  <c r="B21" i="72"/>
  <c r="I4" i="52"/>
  <c r="C105" i="9"/>
  <c r="H102" i="9"/>
  <c r="C97" i="9"/>
  <c r="D58" i="9"/>
  <c r="D55" i="9"/>
  <c r="M53" i="9"/>
  <c r="B51" i="72"/>
  <c r="F4" i="52"/>
  <c r="H108" i="9"/>
  <c r="D15" i="53"/>
  <c r="B31" i="72"/>
  <c r="D8" i="52"/>
  <c r="E81" i="9"/>
  <c r="D5" i="53"/>
  <c r="D6" i="53"/>
  <c r="B22" i="72"/>
  <c r="D118" i="9"/>
  <c r="D4" i="52"/>
  <c r="B47" i="72"/>
  <c r="C85" i="9"/>
  <c r="C95" i="9"/>
  <c r="C96" i="9"/>
  <c r="E96" i="9"/>
  <c r="E97" i="9"/>
  <c r="D45" i="9"/>
  <c r="C72" i="9"/>
  <c r="C79" i="9"/>
  <c r="C80" i="9"/>
  <c r="E80" i="9"/>
  <c r="H119" i="9"/>
  <c r="H5" i="52"/>
  <c r="G118" i="9"/>
  <c r="F118" i="9"/>
  <c r="F119" i="9"/>
  <c r="F5" i="52"/>
  <c r="E118" i="9"/>
  <c r="E4" i="52"/>
  <c r="B48" i="72"/>
  <c r="D122" i="9"/>
  <c r="D123" i="9"/>
  <c r="D9" i="52"/>
  <c r="I118" i="9"/>
  <c r="H118" i="9"/>
  <c r="H101" i="9"/>
  <c r="H107" i="9"/>
  <c r="D13" i="53"/>
  <c r="D14" i="53"/>
  <c r="B32"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<sst xmlns="http://schemas.openxmlformats.org/spreadsheetml/2006/main" count="7972" uniqueCount="3507">
  <si>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</si>
  <si>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</si>
  <si>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</si>
  <si>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</si>
  <si>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</si>
  <si>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</si>
  <si>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</si>
  <si>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</si>
  <si>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</si>
  <si>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</si>
  <si>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</si>
  <si>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</si>
  <si>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</si>
  <si>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</si>
  <si>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</si>
  <si>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</si>
  <si>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</si>
  <si>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</si>
  <si>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</si>
  <si>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</si>
  <si>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</si>
  <si>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</si>
  <si>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</si>
  <si>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</si>
  <si>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</si>
  <si>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</si>
  <si>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</si>
  <si>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</si>
  <si>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</si>
  <si>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</si>
  <si>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</si>
  <si>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</si>
  <si>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</si>
  <si>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</si>
  <si>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</si>
  <si>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</si>
  <si>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</si>
  <si>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</si>
  <si>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</si>
  <si>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</si>
  <si>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</si>
  <si>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</si>
  <si>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</si>
  <si>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</si>
  <si>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</si>
  <si>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</si>
  <si>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</si>
  <si>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</si>
  <si>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</si>
  <si>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</si>
  <si>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</si>
  <si>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</si>
  <si>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</si>
  <si>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</si>
  <si>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</si>
  <si>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</si>
  <si>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</si>
  <si>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</si>
  <si>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</si>
  <si>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</si>
  <si>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</si>
  <si>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</si>
  <si>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</si>
  <si>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</si>
  <si>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</si>
  <si>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</si>
  <si>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</si>
  <si>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</si>
  <si>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</si>
  <si>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</si>
  <si>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</si>
  <si>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</si>
  <si>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</si>
  <si>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</si>
  <si>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</si>
  <si>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</si>
  <si>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</si>
  <si>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</si>
  <si>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</si>
  <si>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</si>
  <si>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</si>
  <si>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</si>
  <si>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</si>
  <si>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</si>
  <si>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</si>
  <si>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</si>
  <si>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</si>
  <si>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</si>
  <si>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</si>
  <si>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</si>
  <si>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</si>
  <si>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</si>
  <si>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</si>
  <si>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</si>
  <si>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</si>
  <si>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</si>
  <si>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</si>
  <si>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</si>
  <si>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</si>
  <si>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</si>
  <si>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</si>
  <si>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</si>
  <si>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</si>
  <si>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</si>
  <si>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</si>
  <si>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</si>
  <si>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</si>
  <si>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</si>
  <si>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</si>
  <si>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</si>
  <si>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</si>
  <si>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</si>
  <si>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</si>
  <si>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</si>
  <si>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</si>
  <si>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</si>
  <si>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</si>
  <si>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</si>
  <si>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</si>
  <si>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</si>
  <si>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</si>
  <si>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</si>
  <si>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</si>
  <si>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</si>
  <si>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</si>
  <si>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</si>
  <si>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</si>
  <si>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</si>
  <si>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</si>
  <si>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</si>
  <si>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</si>
  <si>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</si>
  <si>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</si>
  <si>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</si>
  <si>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</si>
  <si>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</si>
  <si>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</si>
  <si>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</si>
  <si>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</si>
  <si>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</si>
  <si>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</si>
  <si>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</si>
  <si>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</si>
  <si>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</si>
  <si>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</si>
  <si>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</si>
  <si>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</si>
  <si>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</si>
  <si>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</si>
  <si>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</si>
  <si>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</si>
  <si>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</si>
  <si>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</si>
  <si>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</si>
  <si>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</si>
  <si>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</si>
  <si>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</si>
  <si>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</si>
  <si>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</si>
  <si>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</si>
  <si>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</si>
  <si>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</si>
  <si>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</si>
  <si>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</si>
  <si>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</si>
  <si>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</si>
  <si>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</si>
  <si>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</si>
  <si>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</si>
  <si>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</si>
  <si>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</si>
  <si>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</si>
  <si>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</si>
  <si>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</si>
  <si>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</si>
  <si>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</si>
  <si>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</si>
  <si>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</si>
  <si>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</si>
  <si>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</si>
  <si>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</si>
  <si>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</si>
  <si>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</si>
  <si>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</si>
  <si>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</si>
  <si>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</si>
  <si>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</si>
  <si>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</si>
  <si>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</si>
  <si>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</si>
  <si>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</si>
  <si>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</si>
  <si>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</si>
  <si>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</si>
  <si>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</si>
  <si>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</si>
  <si>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</si>
  <si>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</si>
  <si>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</si>
  <si>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</si>
  <si>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</si>
  <si>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</si>
  <si>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</si>
  <si>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</si>
  <si>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</si>
  <si>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</si>
  <si>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</si>
  <si>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</si>
  <si>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</si>
  <si>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</si>
  <si>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</si>
  <si>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</si>
  <si>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</si>
  <si>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</si>
  <si>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</si>
  <si>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</si>
  <si>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</si>
  <si>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</si>
  <si>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</si>
  <si>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</si>
  <si>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</si>
  <si>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</si>
  <si>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</si>
  <si>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</si>
  <si>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</si>
  <si>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</si>
  <si>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</si>
  <si>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</si>
  <si>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</si>
  <si>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</si>
  <si>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</si>
  <si>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</si>
  <si>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</si>
  <si>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</si>
  <si>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</si>
  <si>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</si>
  <si>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</si>
  <si>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</si>
  <si>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</si>
  <si>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</si>
  <si>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</si>
  <si>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</si>
  <si>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</si>
  <si>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</si>
  <si>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</si>
  <si>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</si>
  <si>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</si>
  <si>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</si>
  <si>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</si>
  <si>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</si>
  <si>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</si>
  <si>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</si>
  <si>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</si>
  <si>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</si>
  <si>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</si>
  <si>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</si>
  <si>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</si>
  <si>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</si>
  <si>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</si>
  <si>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</si>
  <si>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</si>
  <si>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</si>
  <si>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</si>
  <si>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</si>
  <si>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</si>
  <si>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</si>
  <si>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</si>
  <si>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</si>
  <si>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</si>
  <si>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</si>
  <si>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</si>
  <si>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</si>
  <si>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</si>
  <si>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</si>
  <si>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</si>
  <si>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</si>
  <si>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</si>
  <si>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</si>
  <si>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</si>
  <si>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</si>
  <si>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</si>
  <si>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</si>
  <si>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</si>
  <si>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</si>
  <si>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</si>
  <si>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</si>
  <si>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</si>
  <si>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</si>
  <si>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</si>
  <si>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</si>
  <si>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</si>
  <si>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</si>
  <si>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</si>
  <si>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</si>
  <si>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</si>
  <si>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</si>
  <si>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</si>
  <si>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</si>
  <si>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</si>
  <si>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</si>
  <si>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</si>
  <si>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</si>
  <si>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</si>
  <si>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</si>
  <si>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</si>
  <si>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</si>
  <si>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</si>
  <si>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</si>
  <si>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</si>
  <si>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</si>
  <si>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</si>
  <si>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</si>
  <si>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</si>
  <si>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</si>
  <si>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</si>
  <si>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</si>
  <si>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</si>
  <si>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</si>
  <si>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</si>
  <si>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</si>
  <si>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</si>
  <si>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</si>
  <si>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</si>
  <si>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</si>
  <si>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</si>
  <si>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</si>
  <si>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</si>
  <si>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</si>
  <si>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</si>
  <si>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</si>
  <si>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</si>
  <si>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</si>
  <si>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</si>
  <si>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</si>
  <si>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</si>
  <si>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</si>
  <si>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</si>
  <si>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</si>
  <si>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</si>
  <si>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</si>
  <si>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</si>
  <si>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</si>
  <si>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</si>
  <si>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</si>
  <si>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</si>
  <si>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</si>
  <si>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</si>
  <si>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</si>
  <si>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</si>
  <si>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</si>
  <si>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</si>
  <si>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</si>
  <si>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</si>
  <si>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</si>
  <si>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</si>
  <si>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</si>
  <si>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</si>
  <si>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</si>
  <si>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</si>
  <si>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</si>
  <si>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</si>
  <si>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</si>
  <si>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</si>
  <si>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</si>
  <si>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</si>
  <si>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</si>
  <si>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</si>
  <si>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</si>
  <si>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</si>
  <si>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</si>
  <si>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</si>
  <si>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</si>
  <si>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</si>
  <si>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</si>
  <si>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</si>
  <si>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</si>
  <si>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</si>
  <si>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</si>
  <si>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</si>
  <si>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</si>
  <si>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</si>
  <si>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</si>
  <si>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</si>
  <si>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</si>
  <si>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</si>
  <si>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</si>
  <si>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</si>
  <si>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</si>
  <si>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</si>
  <si>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</si>
  <si>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</si>
  <si>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</si>
  <si>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</si>
  <si>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</si>
  <si>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</si>
  <si>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</si>
  <si>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</si>
  <si>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</si>
  <si>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</si>
  <si>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</si>
  <si>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</si>
  <si>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</si>
  <si>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</si>
  <si>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</si>
  <si>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</si>
  <si>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</si>
  <si>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</si>
  <si>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</si>
  <si>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</si>
  <si>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</si>
  <si>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</si>
  <si>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</si>
  <si>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</si>
  <si>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</si>
  <si>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</si>
  <si>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</si>
  <si>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</si>
  <si>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</si>
  <si>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</si>
  <si>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</si>
  <si>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</si>
  <si>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</si>
  <si>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</si>
  <si>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</si>
  <si>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</si>
  <si>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</si>
  <si>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</si>
  <si>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</si>
  <si>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</si>
  <si>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</si>
  <si>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</si>
  <si>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</si>
  <si>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</si>
  <si>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</si>
  <si>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</si>
  <si>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</si>
  <si>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</si>
  <si>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</si>
  <si>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</si>
  <si>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</si>
  <si>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</si>
  <si>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</si>
  <si>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</si>
  <si>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</si>
  <si>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</si>
  <si>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</si>
  <si>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</si>
  <si>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</si>
  <si>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</si>
  <si>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</si>
  <si>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</si>
  <si>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</si>
  <si>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</si>
  <si>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</si>
  <si>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</si>
  <si>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</si>
  <si>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</si>
  <si>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</si>
  <si>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</si>
  <si>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</si>
  <si>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</si>
  <si>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</si>
  <si>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</si>
  <si>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</si>
  <si>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</si>
  <si>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</si>
  <si>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</si>
  <si>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</si>
  <si>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</si>
  <si>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</si>
  <si>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</si>
  <si>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</si>
  <si>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</si>
  <si>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</si>
  <si>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</si>
  <si>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</si>
  <si>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</si>
  <si>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</si>
  <si>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</si>
  <si>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</si>
  <si>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</si>
  <si>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</si>
  <si>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</si>
  <si>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</si>
  <si>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</si>
  <si>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</si>
  <si>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</si>
  <si>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</si>
  <si>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</si>
  <si>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</si>
  <si>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</si>
  <si>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</si>
  <si>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</si>
  <si>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</si>
  <si>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</si>
  <si>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</si>
  <si>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</si>
  <si>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</si>
  <si>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</si>
  <si>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</si>
  <si>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</si>
  <si>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</si>
  <si>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</si>
  <si>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</si>
  <si>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</si>
  <si>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</si>
  <si>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</si>
  <si>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</si>
  <si>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</si>
  <si>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</si>
  <si>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</si>
  <si>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</si>
  <si>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</si>
  <si>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</si>
  <si>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</si>
  <si>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</si>
  <si>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</si>
  <si>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</si>
  <si>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</si>
  <si>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</si>
  <si>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</si>
  <si>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</si>
  <si>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</si>
  <si>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</si>
  <si>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</si>
  <si>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</si>
  <si>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</si>
  <si>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</si>
  <si>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</si>
  <si>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</si>
  <si>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</si>
  <si>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</si>
  <si>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</si>
  <si>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</si>
  <si>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</si>
  <si>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</si>
  <si>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</si>
  <si>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</si>
  <si>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</si>
  <si>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</si>
  <si>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</si>
  <si>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</si>
  <si>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</si>
  <si>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</si>
  <si>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</si>
  <si>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</si>
  <si>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</si>
  <si>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</si>
  <si>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</si>
  <si>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</si>
  <si>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</si>
  <si>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</si>
  <si>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</si>
  <si>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</si>
  <si>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</si>
  <si>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</si>
  <si>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</si>
  <si>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</si>
  <si>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</si>
  <si>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</si>
  <si>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</si>
  <si>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</si>
  <si>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</si>
  <si>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</si>
  <si>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</si>
  <si>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</si>
  <si>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</si>
  <si>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</si>
  <si>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</si>
  <si>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</si>
  <si>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</si>
  <si>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</si>
  <si>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</si>
  <si>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</si>
  <si>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</si>
  <si>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</si>
  <si>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</si>
  <si>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</si>
  <si>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</si>
  <si>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</si>
  <si>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</si>
  <si>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</si>
  <si>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</si>
  <si>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</si>
  <si>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</si>
  <si>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</si>
  <si>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</si>
  <si>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</si>
  <si>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</si>
  <si>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</si>
  <si>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</si>
  <si>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</si>
  <si>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</si>
  <si>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</si>
  <si>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</si>
  <si>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</si>
  <si>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</si>
  <si>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</si>
  <si>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</si>
  <si>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</si>
  <si>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</si>
  <si>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</si>
  <si>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</si>
  <si>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</si>
  <si>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</si>
  <si>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</si>
  <si>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</si>
  <si>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</si>
  <si>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</si>
  <si>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</si>
  <si>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</si>
  <si>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</si>
  <si>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</si>
  <si>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</si>
  <si>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</si>
  <si>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</si>
  <si>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</si>
  <si>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</si>
  <si>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</si>
  <si>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</si>
  <si>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</si>
  <si>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</si>
  <si>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</si>
  <si>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</si>
  <si>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</si>
  <si>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</si>
  <si>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</si>
  <si>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</si>
  <si>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</si>
  <si>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</si>
  <si>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</si>
  <si>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</si>
  <si>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</si>
  <si>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</si>
  <si>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</si>
  <si>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</si>
  <si>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</si>
  <si>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</si>
  <si>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</si>
  <si>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</si>
  <si>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</si>
  <si>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</si>
  <si>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</si>
  <si>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</si>
  <si>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</si>
  <si>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</si>
  <si>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</si>
  <si>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</si>
  <si>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</si>
  <si>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</si>
  <si>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</si>
  <si>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</si>
  <si>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</si>
  <si>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</si>
  <si>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</si>
  <si>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</si>
  <si>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</si>
  <si>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</si>
  <si>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</si>
  <si>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</si>
  <si>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</si>
  <si>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</si>
  <si>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</si>
  <si>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</si>
  <si>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</si>
  <si>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</si>
  <si>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</si>
  <si>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</si>
  <si>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</si>
  <si>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</si>
  <si>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</si>
  <si>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</si>
  <si>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</si>
  <si>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</si>
  <si>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</si>
  <si>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</si>
  <si>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</si>
  <si>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</si>
  <si>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</si>
  <si>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</si>
  <si>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</si>
  <si>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</si>
  <si>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</si>
  <si>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</si>
  <si>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</si>
  <si>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</si>
  <si>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</si>
  <si>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</si>
  <si>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</si>
  <si>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</si>
  <si>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</si>
  <si>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</si>
  <si>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</si>
  <si>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</si>
  <si>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</si>
  <si>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</si>
  <si>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</si>
  <si>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</si>
  <si>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</si>
  <si>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</si>
  <si>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</si>
  <si>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</si>
  <si>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</si>
  <si>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</si>
  <si>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</si>
  <si>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</si>
  <si>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</si>
  <si>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</si>
  <si>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</si>
  <si>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</si>
  <si>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</si>
  <si>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</si>
  <si>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</si>
  <si>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</si>
  <si>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</si>
  <si>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</si>
  <si>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</si>
  <si>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</si>
  <si>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</si>
  <si>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</si>
  <si>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</si>
  <si>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</si>
  <si>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</si>
  <si>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</si>
  <si>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</si>
  <si>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</si>
  <si>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</si>
  <si>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</si>
  <si>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</si>
  <si>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</si>
  <si>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</si>
  <si>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</si>
  <si>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</si>
  <si>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</si>
  <si>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</si>
  <si>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</si>
  <si>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</si>
  <si>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</si>
  <si>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</si>
  <si>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</si>
  <si>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</si>
  <si>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</si>
  <si>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</si>
  <si>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</si>
  <si>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</si>
  <si>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</si>
  <si>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</si>
  <si>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</si>
  <si>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</si>
  <si>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</si>
  <si>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</si>
  <si>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</si>
  <si>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</si>
  <si>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</si>
  <si>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</si>
  <si>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</si>
  <si>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</si>
  <si>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</si>
  <si>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</si>
  <si>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</si>
  <si>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</si>
  <si>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</si>
  <si>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</si>
  <si>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</si>
  <si>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</si>
  <si>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</si>
  <si>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</si>
  <si>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</si>
  <si>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</si>
  <si>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</si>
  <si>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</si>
  <si>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</si>
  <si>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</si>
  <si>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</si>
  <si>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</si>
  <si>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</si>
  <si>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</si>
  <si>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</si>
  <si>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</si>
  <si>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</si>
  <si>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</si>
  <si>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</si>
  <si>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</si>
  <si>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</si>
  <si>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</si>
  <si>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</si>
  <si>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</si>
  <si>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</si>
  <si>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</si>
  <si>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</si>
  <si>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</si>
  <si>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</si>
  <si>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</si>
  <si>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</si>
  <si>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</si>
  <si>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</si>
  <si>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</si>
  <si>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</si>
  <si>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</si>
  <si>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</si>
  <si>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</si>
  <si>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</si>
  <si>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</si>
  <si>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</si>
  <si>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</si>
  <si>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</si>
  <si>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</si>
  <si>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</si>
  <si>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</si>
  <si>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</si>
  <si>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</si>
  <si>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</si>
  <si>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</si>
  <si>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</si>
  <si>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</si>
  <si>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</si>
  <si>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</si>
  <si>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</si>
  <si>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</si>
  <si>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</si>
  <si>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</si>
  <si>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</si>
  <si>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</si>
  <si>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</si>
  <si>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</si>
  <si>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</si>
  <si>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</si>
  <si>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</si>
  <si>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</si>
  <si>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</si>
  <si>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</si>
  <si>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</si>
  <si>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</si>
  <si>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</si>
  <si>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</si>
  <si>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</si>
  <si>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</si>
  <si>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</si>
  <si>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</si>
  <si>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</si>
  <si>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</si>
  <si>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</si>
  <si>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</si>
  <si>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</si>
  <si>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</si>
  <si>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</si>
  <si>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</si>
  <si>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</si>
  <si>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</si>
  <si>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</si>
  <si>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</si>
  <si>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</si>
  <si>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</si>
  <si>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</si>
  <si>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</si>
  <si>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</si>
  <si>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</si>
  <si>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</si>
  <si>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</si>
  <si>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</si>
  <si>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</si>
  <si>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</si>
  <si>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</si>
  <si>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</si>
  <si>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</si>
  <si>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</si>
  <si>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</si>
  <si>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</si>
  <si>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</si>
  <si>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</si>
  <si>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</si>
  <si>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</si>
  <si>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</si>
  <si>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</si>
  <si>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</si>
  <si>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</si>
  <si>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</si>
  <si>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</si>
  <si>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</si>
  <si>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</si>
  <si>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</si>
  <si>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</si>
  <si>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</si>
  <si>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</si>
  <si>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</si>
  <si>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</si>
  <si>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</si>
  <si>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</si>
  <si>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</si>
  <si>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</si>
  <si>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</si>
  <si>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</si>
  <si>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</si>
  <si>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</si>
  <si>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</si>
  <si>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</si>
  <si>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</si>
  <si>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</si>
  <si>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</si>
  <si>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</si>
  <si>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</si>
  <si>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</si>
  <si>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</si>
  <si>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</si>
  <si>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</si>
  <si>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</si>
  <si>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</si>
  <si>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</si>
  <si>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</si>
  <si>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</si>
  <si>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</si>
  <si>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</si>
  <si>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</si>
  <si>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</si>
  <si>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</si>
  <si>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</si>
  <si>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</si>
  <si>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</si>
  <si>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</si>
  <si>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</si>
  <si>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</si>
  <si>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</si>
  <si>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</si>
  <si>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</si>
  <si>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</si>
  <si>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</si>
  <si>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</si>
  <si>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</si>
  <si>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</si>
  <si>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</si>
  <si>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</si>
  <si>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</si>
  <si>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</si>
  <si>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</si>
  <si>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</si>
  <si>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</si>
  <si>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</si>
  <si>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</si>
  <si>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</si>
  <si>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</si>
  <si>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</si>
  <si>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</si>
  <si>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</si>
  <si>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</si>
  <si>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</si>
  <si>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</si>
  <si>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</si>
  <si>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</si>
  <si>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</si>
  <si>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</si>
  <si>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</si>
  <si>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</si>
  <si>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</si>
  <si>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</si>
  <si>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</si>
  <si>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</si>
  <si>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</si>
  <si>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</si>
  <si>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</si>
  <si>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</si>
  <si>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</si>
  <si>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</si>
  <si>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</si>
  <si>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</si>
  <si>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</si>
  <si>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</si>
  <si>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</si>
  <si>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</si>
  <si>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</si>
  <si>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</si>
  <si>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</si>
  <si>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</si>
  <si>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</si>
  <si>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</si>
  <si>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</si>
  <si>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</si>
  <si>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</si>
  <si>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</si>
  <si>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</si>
  <si>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</si>
  <si>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</si>
  <si>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</si>
  <si>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</si>
  <si>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</si>
  <si>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</si>
  <si>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</si>
  <si>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</si>
  <si>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</si>
  <si>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</si>
  <si>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</si>
  <si>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</si>
  <si>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</si>
  <si>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</si>
  <si>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</si>
  <si>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</si>
  <si>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</si>
  <si>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</si>
  <si>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</si>
  <si>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</si>
  <si>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</si>
  <si>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</si>
  <si>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</si>
  <si>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</si>
  <si>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</si>
  <si>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</si>
  <si>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</si>
  <si>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</si>
  <si>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</si>
  <si>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</si>
  <si>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</si>
  <si>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</si>
  <si>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</si>
  <si>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</si>
  <si>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</si>
  <si>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</si>
  <si>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</si>
  <si>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</si>
  <si>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</si>
  <si>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</si>
  <si>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</si>
  <si>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</si>
  <si>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</si>
  <si>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</si>
  <si>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</si>
  <si>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</si>
  <si>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</si>
  <si>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</si>
  <si>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</si>
  <si>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</si>
  <si>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</si>
  <si>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</si>
  <si>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</si>
  <si>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</si>
  <si>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</si>
  <si>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</si>
  <si>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</si>
  <si>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</si>
  <si>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</si>
  <si>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</si>
  <si>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</si>
  <si>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</si>
  <si>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</si>
  <si>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</si>
  <si>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</si>
  <si>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</si>
  <si>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</si>
  <si>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</si>
  <si>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</si>
  <si>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</si>
  <si>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</si>
  <si>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</si>
  <si>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</si>
  <si>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</si>
  <si>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</si>
  <si>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</si>
  <si>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</si>
  <si>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</si>
  <si>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</si>
  <si>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</si>
  <si>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</si>
  <si>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</si>
  <si>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</si>
  <si>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</si>
  <si>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</si>
  <si>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</si>
  <si>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</si>
  <si>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</si>
  <si>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</si>
  <si>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</si>
  <si>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</si>
  <si>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</si>
  <si>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</si>
  <si>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</si>
  <si>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</si>
  <si>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</si>
  <si>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</si>
  <si>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</si>
  <si>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</si>
  <si>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</si>
  <si>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</si>
  <si>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</si>
  <si>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</si>
  <si>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</si>
  <si>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</si>
  <si>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</si>
  <si>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</si>
  <si>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</si>
  <si>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</si>
  <si>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</si>
  <si>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</si>
  <si>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</si>
  <si>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</si>
  <si>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</si>
  <si>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</si>
  <si>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</si>
  <si>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</si>
  <si>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</si>
  <si>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</si>
  <si>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</si>
  <si>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</si>
  <si>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</si>
  <si>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</si>
  <si>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</si>
  <si>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</si>
  <si>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</si>
  <si>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</si>
  <si>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</si>
  <si>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</si>
  <si>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</si>
  <si>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</si>
  <si>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</si>
  <si>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</si>
  <si>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</si>
  <si>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</si>
  <si>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</si>
  <si>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</si>
  <si>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</si>
  <si>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</si>
  <si>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</si>
  <si>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</si>
  <si>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</si>
  <si>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</si>
  <si>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</si>
  <si>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</si>
  <si>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</si>
  <si>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</si>
  <si>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</si>
  <si>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</si>
  <si>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</si>
  <si>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</si>
  <si>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</si>
  <si>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</si>
  <si>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</si>
  <si>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</si>
  <si>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</si>
  <si>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</si>
  <si>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</si>
  <si>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</si>
  <si>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</si>
  <si>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</si>
  <si>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</si>
  <si>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</si>
  <si>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</si>
  <si>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</si>
  <si>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</si>
  <si>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</si>
  <si>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</si>
  <si>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</si>
  <si>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</si>
  <si>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</si>
  <si>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</si>
  <si>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</si>
  <si>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</si>
  <si>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</si>
  <si>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</si>
  <si>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</si>
  <si>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</si>
  <si>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</si>
  <si>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</si>
  <si>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</si>
  <si>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</si>
  <si>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</si>
  <si>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</si>
  <si>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</si>
  <si>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</si>
  <si>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</si>
  <si>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</si>
  <si>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</si>
  <si>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</si>
  <si>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</si>
  <si>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</si>
  <si>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</si>
  <si>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</si>
  <si>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</si>
  <si>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</si>
  <si>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</si>
  <si>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</si>
  <si>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</si>
  <si>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</si>
  <si>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</si>
  <si>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</si>
  <si>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</si>
  <si>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</si>
  <si>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</si>
  <si>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</si>
  <si>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</si>
  <si>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</si>
  <si>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</si>
  <si>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</si>
  <si>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</si>
  <si>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</si>
  <si>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</si>
  <si>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</si>
  <si>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</si>
  <si>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</si>
  <si>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</si>
  <si>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</si>
  <si>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</si>
  <si>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</si>
  <si>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</si>
  <si>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</si>
  <si>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</si>
  <si>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</si>
  <si>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</si>
  <si>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</si>
  <si>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</si>
  <si>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</si>
  <si>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</si>
  <si>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</si>
  <si>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</si>
  <si>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</si>
  <si>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</si>
  <si>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</si>
  <si>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</si>
  <si>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</si>
  <si>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</si>
  <si>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</si>
  <si>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</si>
  <si>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</si>
  <si>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</si>
  <si>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</si>
  <si>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</si>
  <si>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</si>
  <si>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</si>
  <si>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</si>
  <si>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</si>
  <si>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</si>
  <si>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</si>
  <si>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</si>
  <si>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</si>
  <si>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</si>
  <si>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</si>
  <si>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</si>
  <si>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</si>
  <si>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</si>
  <si>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</si>
  <si>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</si>
  <si>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</si>
  <si>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</si>
  <si>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</si>
  <si>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</si>
  <si>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</si>
  <si>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</si>
  <si>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</si>
  <si>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</si>
  <si>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</si>
  <si>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</si>
  <si>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</si>
  <si>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</si>
  <si>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</si>
  <si>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</si>
  <si>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</si>
  <si>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</si>
  <si>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</si>
  <si>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</si>
  <si>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</si>
  <si>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</si>
  <si>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</si>
  <si>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</si>
  <si>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</si>
  <si>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</si>
  <si>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</si>
  <si>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</si>
  <si>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</si>
  <si>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</si>
  <si>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</si>
  <si>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</si>
  <si>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</si>
  <si>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</si>
  <si>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</si>
  <si>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</si>
  <si>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</si>
  <si>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</si>
  <si>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</si>
  <si>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</si>
  <si>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</si>
  <si>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</si>
  <si>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</si>
  <si>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</si>
  <si>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</si>
  <si>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</si>
  <si>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</si>
  <si>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</si>
  <si>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</si>
  <si>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</si>
  <si>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</si>
  <si>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</si>
  <si>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</si>
  <si>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</si>
  <si>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</si>
  <si>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</si>
  <si>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</si>
  <si>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</si>
  <si>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</si>
  <si>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</si>
  <si>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</si>
  <si>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</si>
  <si>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</si>
  <si>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</si>
  <si>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</si>
  <si>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</si>
  <si>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</si>
  <si>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</si>
  <si>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</si>
  <si>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</si>
  <si>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</si>
  <si>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</si>
  <si>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</si>
  <si>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</si>
  <si>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</si>
  <si>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</si>
  <si>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</si>
  <si>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</si>
  <si>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</si>
  <si>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</si>
  <si>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</si>
  <si>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</si>
  <si>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</si>
  <si>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</si>
  <si>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</si>
  <si>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</si>
  <si>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</si>
  <si>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</si>
  <si>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</si>
  <si>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</si>
  <si>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</si>
  <si>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</si>
  <si>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</si>
  <si>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</si>
  <si>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</si>
  <si>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</si>
  <si>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</si>
  <si>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</si>
  <si>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</si>
  <si>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</si>
  <si>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</si>
  <si>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</si>
  <si>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</si>
  <si>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</si>
  <si>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</si>
  <si>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</si>
  <si>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</si>
  <si>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</si>
  <si>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</si>
  <si>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</si>
  <si>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</si>
  <si>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</si>
  <si>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</si>
  <si>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</si>
  <si>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</si>
  <si>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</si>
  <si>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</si>
  <si>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</si>
  <si>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</si>
  <si>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</si>
  <si>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</si>
  <si>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</si>
  <si>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</si>
  <si>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</si>
  <si>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</si>
  <si>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</si>
  <si>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</si>
  <si>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</si>
  <si>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</si>
  <si>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</si>
  <si>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</si>
  <si>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</si>
  <si>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</si>
  <si>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</si>
  <si>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</si>
  <si>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</si>
  <si>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</si>
  <si>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</si>
  <si>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</si>
  <si>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</si>
  <si>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</si>
  <si>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</si>
  <si>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</si>
  <si>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</si>
  <si>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</si>
  <si>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</si>
  <si>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</si>
  <si>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</si>
  <si>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</si>
  <si>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</si>
  <si>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</si>
  <si>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</si>
  <si>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</si>
  <si>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</si>
  <si>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</si>
  <si>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</si>
  <si>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</si>
  <si>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</si>
  <si>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</si>
  <si>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</si>
  <si>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</si>
  <si>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</si>
  <si>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</si>
  <si>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</si>
  <si>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</si>
  <si>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</si>
  <si>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</si>
  <si>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</si>
  <si>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</si>
  <si>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</si>
  <si>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</si>
  <si>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</si>
  <si>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</si>
  <si>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</si>
  <si>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</si>
  <si>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</si>
  <si>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</si>
  <si>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</si>
  <si>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</si>
  <si>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</si>
  <si>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</si>
  <si>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</si>
  <si>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</si>
  <si>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</si>
  <si>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</si>
  <si>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</si>
  <si>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</si>
  <si>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</si>
  <si>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</si>
  <si>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</si>
  <si>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</si>
  <si>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</si>
  <si>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</si>
  <si>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</si>
  <si>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</si>
  <si>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</si>
  <si>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</si>
  <si>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</si>
  <si>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</si>
  <si>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</si>
  <si>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</si>
  <si>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</si>
  <si>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</si>
  <si>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</si>
  <si>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</si>
  <si>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</si>
  <si>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</si>
  <si>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</si>
  <si>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</si>
  <si>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</si>
  <si>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</si>
  <si>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</si>
  <si>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</si>
  <si>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</si>
  <si>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</si>
  <si>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</si>
  <si>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</si>
  <si>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</si>
  <si>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</si>
  <si>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</si>
  <si>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</si>
  <si>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</si>
  <si>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</si>
  <si>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</si>
  <si>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</si>
  <si>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</si>
  <si>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</si>
  <si>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</si>
  <si>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</si>
  <si>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</si>
  <si>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</si>
  <si>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</si>
  <si>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</si>
  <si>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</si>
  <si>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</si>
  <si>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</si>
  <si>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</si>
  <si>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</si>
  <si>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</si>
  <si>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</si>
  <si>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</si>
  <si>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</si>
  <si>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</si>
  <si>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</si>
  <si>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</si>
  <si>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</si>
  <si>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</si>
  <si>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</si>
  <si>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</si>
  <si>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</si>
  <si>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</si>
  <si>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</si>
  <si>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</si>
  <si>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</si>
  <si>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</si>
  <si>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</si>
  <si>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</si>
  <si>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</si>
  <si>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</si>
  <si>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</si>
  <si>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</si>
  <si>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</si>
  <si>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</si>
  <si>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</si>
  <si>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</si>
  <si>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</si>
  <si>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</si>
  <si>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</si>
  <si>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</si>
  <si>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</si>
  <si>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</si>
  <si>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</si>
  <si>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</si>
  <si>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</si>
  <si>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</si>
  <si>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</si>
  <si>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</si>
  <si>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</si>
  <si>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</si>
  <si>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</si>
  <si>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</si>
  <si>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</si>
  <si>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</si>
  <si>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</si>
  <si>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</si>
  <si>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</si>
  <si>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</si>
  <si>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</si>
  <si>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</si>
  <si>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</si>
  <si>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</si>
  <si>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</si>
  <si>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</si>
  <si>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</si>
  <si>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</si>
  <si>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</si>
  <si>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</si>
  <si>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</si>
  <si>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</si>
  <si>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</si>
  <si>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</si>
  <si>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</si>
  <si>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</si>
  <si>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</si>
  <si>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</si>
  <si>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</si>
  <si>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</si>
  <si>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</si>
  <si>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</si>
  <si>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</si>
  <si>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</si>
  <si>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</si>
  <si>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</si>
  <si>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</si>
  <si>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</si>
  <si>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</si>
  <si>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</si>
  <si>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</si>
  <si>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</si>
  <si>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</si>
  <si>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</si>
  <si>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</si>
  <si>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</si>
  <si>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</si>
  <si>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</si>
  <si>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</si>
  <si>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</si>
  <si>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</si>
  <si>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</si>
  <si>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</si>
  <si>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</si>
  <si>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</si>
  <si>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</si>
  <si>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</si>
  <si>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</si>
  <si>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</si>
  <si>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</si>
  <si>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</si>
  <si>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</si>
  <si>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</si>
  <si>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</si>
  <si>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</si>
  <si>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</si>
  <si>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</si>
  <si>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</si>
  <si>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</si>
  <si>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</si>
  <si>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</si>
  <si>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</si>
  <si>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</si>
  <si>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</si>
  <si>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</si>
  <si>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</si>
  <si>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</si>
  <si>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</si>
  <si>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</si>
  <si>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</si>
  <si>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</si>
  <si>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</si>
  <si>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</si>
  <si>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</si>
  <si>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</si>
  <si>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</si>
  <si>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</si>
  <si>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</si>
  <si>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</si>
  <si>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</si>
  <si>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</si>
  <si>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</si>
  <si>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</si>
  <si>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</si>
  <si>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</si>
  <si>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</si>
  <si>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</si>
  <si>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</si>
  <si>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</si>
  <si>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</si>
  <si>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</si>
  <si>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</si>
  <si>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</si>
  <si>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</si>
  <si>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</si>
  <si>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</si>
  <si>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</si>
  <si>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</si>
  <si>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</si>
  <si>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</si>
  <si>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</si>
  <si>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</si>
  <si>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</si>
  <si>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</si>
  <si>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</si>
  <si>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</si>
  <si>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</si>
  <si>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</si>
  <si>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</si>
  <si>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</si>
  <si>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</si>
  <si>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</si>
  <si>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</si>
  <si>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</si>
  <si>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</si>
  <si>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</si>
  <si>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</si>
  <si>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</si>
  <si>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</si>
  <si>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</si>
  <si>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</si>
  <si>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</si>
  <si>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</si>
  <si>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</si>
  <si>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</si>
  <si>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</si>
  <si>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</si>
  <si>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</si>
  <si>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</si>
  <si>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</si>
  <si>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</si>
  <si>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</si>
  <si>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</si>
  <si>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</si>
  <si>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</si>
  <si>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</si>
  <si>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</si>
  <si>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</si>
  <si>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</si>
  <si>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</si>
  <si>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</si>
  <si>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</si>
  <si>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</si>
  <si>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</si>
  <si>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</si>
  <si>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</si>
  <si>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</si>
  <si>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</si>
  <si>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</si>
  <si>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</si>
  <si>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</si>
  <si>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</si>
  <si>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</si>
  <si>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</si>
  <si>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</si>
  <si>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</si>
  <si>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</si>
  <si>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</si>
  <si>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</si>
  <si>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</si>
  <si>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</si>
  <si>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</si>
  <si>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</si>
  <si>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</si>
  <si>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</si>
  <si>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</si>
  <si>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</si>
  <si>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</si>
  <si>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</si>
  <si>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</si>
  <si>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</si>
  <si>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</si>
  <si>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</si>
  <si>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</si>
  <si>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</si>
  <si>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</si>
  <si>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</si>
  <si>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</si>
  <si>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</si>
  <si>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</si>
  <si>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</si>
  <si>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</si>
  <si>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</si>
  <si>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</si>
  <si>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</si>
  <si>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</si>
  <si>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</si>
  <si>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</si>
  <si>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</si>
  <si>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</si>
  <si>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</si>
  <si>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</si>
  <si>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</si>
  <si>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</si>
  <si>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</si>
  <si>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</si>
  <si>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</si>
  <si>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</si>
  <si>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</si>
  <si>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</si>
  <si>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</si>
  <si>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</si>
  <si>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</si>
  <si>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</si>
  <si>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</si>
  <si>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</si>
  <si>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</si>
  <si>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</si>
  <si>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</si>
  <si>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</si>
  <si>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</si>
  <si>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</si>
  <si>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</si>
  <si>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</si>
  <si>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</si>
  <si>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</si>
  <si>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</si>
  <si>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</si>
  <si>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</si>
  <si>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</si>
  <si>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</si>
  <si>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</si>
  <si>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</si>
  <si>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</si>
  <si>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</si>
  <si>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</si>
  <si>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</si>
  <si>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</si>
  <si>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</si>
  <si>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</si>
  <si>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</si>
  <si>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</si>
  <si>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</si>
  <si>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</si>
  <si>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</si>
  <si>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</si>
  <si>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</si>
  <si>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</si>
  <si>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</si>
  <si>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</si>
  <si>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</si>
  <si>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</si>
  <si>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</si>
  <si>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</si>
  <si>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</si>
  <si>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</si>
  <si>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</si>
  <si>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</si>
  <si>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</si>
  <si>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</si>
  <si>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</si>
  <si>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</si>
  <si>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</si>
  <si>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</si>
  <si>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</si>
  <si>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</si>
  <si>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</si>
  <si>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</si>
  <si>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</si>
  <si>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</si>
  <si>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</si>
  <si>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</si>
  <si>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</si>
  <si>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</si>
  <si>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</si>
  <si>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</si>
  <si>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</si>
  <si>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</si>
  <si>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</si>
  <si>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</si>
  <si>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</si>
  <si>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</si>
  <si>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</si>
  <si>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</si>
  <si>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</si>
  <si>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</si>
  <si>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</si>
  <si>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</si>
  <si>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</si>
  <si>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</si>
  <si>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</si>
  <si>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</si>
  <si>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</si>
  <si>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</si>
  <si>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</si>
  <si>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</si>
  <si>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</si>
  <si>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</si>
  <si>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</si>
  <si>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</si>
  <si>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</si>
  <si>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</si>
  <si>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</si>
  <si>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</si>
  <si>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</si>
  <si>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</si>
  <si>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</si>
  <si>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</si>
  <si>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</si>
  <si>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</si>
  <si>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</si>
  <si>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</si>
  <si>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</si>
  <si>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</si>
  <si>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</si>
  <si>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</si>
  <si>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</si>
  <si>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</si>
  <si>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</si>
  <si>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</si>
  <si>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</si>
  <si>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</si>
  <si>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</si>
  <si>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</si>
  <si>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</si>
  <si>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</si>
  <si>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</si>
  <si>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</si>
  <si>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</si>
  <si>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</si>
  <si>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</si>
  <si>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</si>
  <si>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</si>
  <si>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</si>
  <si>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</si>
  <si>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</si>
  <si>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</si>
  <si>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</si>
  <si>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</si>
  <si>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</si>
  <si>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</si>
  <si>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</si>
  <si>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</si>
  <si>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</si>
  <si>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</si>
  <si>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</si>
  <si>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</si>
  <si>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</si>
  <si>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</si>
  <si>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</si>
  <si>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</si>
  <si>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</si>
  <si>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</si>
  <si>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</si>
  <si>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</si>
  <si>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</si>
  <si>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</si>
  <si>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</si>
  <si>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</si>
  <si>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</si>
  <si>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</si>
  <si>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</si>
  <si>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</si>
  <si>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</si>
  <si>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</si>
  <si>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</si>
  <si>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</si>
  <si>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</si>
  <si>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</si>
  <si>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</si>
  <si>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</si>
  <si>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</si>
  <si>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</si>
  <si>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</si>
  <si>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</si>
  <si>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</si>
  <si>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</si>
  <si>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</si>
  <si>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</si>
  <si>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</si>
  <si>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</si>
  <si>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</si>
  <si>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</si>
  <si>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</si>
  <si>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</si>
  <si>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</si>
  <si>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</si>
  <si>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</si>
  <si>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</si>
  <si>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</si>
  <si>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</si>
  <si>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</si>
  <si>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</si>
  <si>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</si>
  <si>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</si>
  <si>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</si>
  <si>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</si>
  <si>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</si>
  <si>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</si>
  <si>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</si>
  <si>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</si>
  <si>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</si>
  <si>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</si>
  <si>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</si>
  <si>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</si>
  <si>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</si>
  <si>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</si>
  <si>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</si>
  <si>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</si>
  <si>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</si>
  <si>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</si>
  <si>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</si>
  <si>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</si>
  <si>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</si>
  <si>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</si>
  <si>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</si>
  <si>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</si>
  <si>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</si>
  <si>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</si>
  <si>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</si>
  <si>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</si>
  <si>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</si>
  <si>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</si>
  <si>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</si>
  <si>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</si>
  <si>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</si>
  <si>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</si>
  <si>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</si>
  <si>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</si>
  <si>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</si>
  <si>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</si>
  <si>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</si>
  <si>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</si>
  <si>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</si>
  <si>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</si>
  <si>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</si>
  <si>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</si>
  <si>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</si>
  <si>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</si>
  <si>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</si>
  <si>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</si>
  <si>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</si>
  <si>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</si>
  <si>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</si>
  <si>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</si>
  <si>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</si>
  <si>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</si>
  <si>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</si>
  <si>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</si>
  <si>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</si>
  <si>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</si>
  <si>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</si>
  <si>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</si>
  <si>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</si>
  <si>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</si>
  <si>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</si>
  <si>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</si>
  <si>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</si>
  <si>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</si>
  <si>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</si>
  <si>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</si>
  <si>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</si>
  <si>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</si>
  <si>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</si>
  <si>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</si>
  <si>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</si>
  <si>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</si>
  <si>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</si>
  <si>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</si>
  <si>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</si>
  <si>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</si>
  <si>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</si>
  <si>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</si>
  <si>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</si>
  <si>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</si>
  <si>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</si>
  <si>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</si>
  <si>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</si>
  <si>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</si>
  <si>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</si>
  <si>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</si>
  <si>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</si>
  <si>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</si>
  <si>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</si>
  <si>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</si>
  <si>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</si>
  <si>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</si>
  <si>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</si>
  <si>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</si>
  <si>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</si>
  <si>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</si>
  <si>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</si>
  <si>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</si>
  <si>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</si>
  <si>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</si>
  <si>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</si>
  <si>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</si>
  <si>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</si>
  <si>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</si>
  <si>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</si>
  <si>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</si>
  <si>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</si>
  <si>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</si>
  <si>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</si>
  <si>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</si>
  <si>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</si>
  <si>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</si>
  <si>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</si>
  <si>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</si>
  <si>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</si>
  <si>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</si>
  <si>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</si>
  <si>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</si>
  <si>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</si>
  <si>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</si>
  <si>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</si>
  <si>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</si>
  <si>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</si>
  <si>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</si>
  <si>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</si>
  <si>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</si>
  <si>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</si>
  <si>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</si>
  <si>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</si>
  <si>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</si>
  <si>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</si>
  <si>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</si>
  <si>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</si>
  <si>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</si>
  <si>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</si>
  <si>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</si>
  <si>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</si>
  <si>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</si>
  <si>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</si>
  <si>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</si>
  <si>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</si>
  <si>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</si>
  <si>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</si>
  <si>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</si>
  <si>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</si>
  <si>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</si>
  <si>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</si>
  <si>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</si>
  <si>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</si>
  <si>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</si>
  <si>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</si>
  <si>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</si>
  <si>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</si>
  <si>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</si>
  <si>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</si>
  <si>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</si>
  <si>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</si>
  <si>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</si>
  <si>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</si>
  <si>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</si>
  <si>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</si>
  <si>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</si>
  <si>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</si>
  <si>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</si>
  <si>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</si>
  <si>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</si>
  <si>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</si>
  <si>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</si>
  <si>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</si>
  <si>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</si>
  <si>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</si>
  <si>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</si>
  <si>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</si>
  <si>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</si>
  <si>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</si>
  <si>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</si>
  <si>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</si>
  <si>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</si>
  <si>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</si>
  <si>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</si>
  <si>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</si>
  <si>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</si>
  <si>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</si>
  <si>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</si>
  <si>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</si>
  <si>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</si>
  <si>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</si>
  <si>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</si>
  <si>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</si>
  <si>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</si>
  <si>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</si>
  <si>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</si>
  <si>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</si>
  <si>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</si>
  <si>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</si>
  <si>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</si>
  <si>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</si>
  <si>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</si>
  <si>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</si>
  <si>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</si>
  <si>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</si>
  <si>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</si>
  <si>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</si>
  <si>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</si>
  <si>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</si>
  <si>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</si>
  <si>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</si>
  <si>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</si>
  <si>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</si>
  <si>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</si>
  <si>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</si>
  <si>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</si>
  <si>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</si>
  <si>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</si>
  <si>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</si>
  <si>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</si>
  <si>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</si>
  <si>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</si>
  <si>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</si>
  <si>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</si>
  <si>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</si>
  <si>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</si>
  <si>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</si>
  <si>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</si>
  <si>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</si>
  <si>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</si>
  <si>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</si>
  <si>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</si>
  <si>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</si>
  <si>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</si>
  <si>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</si>
  <si>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</si>
  <si>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</si>
  <si>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</si>
  <si>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</si>
  <si>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</si>
  <si>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</si>
  <si>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</si>
  <si>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</si>
  <si>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</si>
  <si>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</si>
  <si>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</si>
  <si>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</si>
  <si>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</si>
  <si>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</si>
  <si>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</si>
  <si>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</si>
  <si>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</si>
  <si>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</si>
  <si>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</si>
  <si>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</si>
  <si>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</si>
  <si>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</si>
  <si>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</si>
  <si>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</si>
  <si>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</si>
  <si>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</si>
  <si>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</si>
  <si>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</si>
  <si>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</si>
  <si>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</si>
  <si>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</si>
  <si>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</si>
  <si>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</si>
  <si>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</si>
  <si>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</si>
  <si>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</si>
  <si>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</si>
  <si>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</si>
  <si>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</si>
  <si>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</si>
  <si>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</si>
  <si>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</si>
  <si>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</si>
  <si>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</si>
  <si>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</si>
  <si>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</si>
  <si>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</si>
  <si>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</si>
  <si>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</si>
  <si>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</si>
  <si>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</si>
  <si>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</si>
  <si>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</si>
  <si>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</si>
  <si>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</si>
  <si>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</si>
  <si>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</si>
  <si>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</si>
  <si>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</si>
  <si>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</si>
  <si>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</si>
  <si>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</si>
  <si>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</si>
  <si>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</si>
  <si>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</si>
  <si>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</si>
  <si>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</si>
  <si>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</si>
  <si>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</si>
  <si>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</si>
  <si>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</si>
  <si>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</si>
  <si>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</si>
  <si>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</si>
  <si>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</si>
  <si>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</si>
  <si>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</si>
  <si>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</si>
  <si>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</si>
  <si>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</si>
  <si>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</si>
  <si>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</si>
  <si>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</si>
  <si>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</si>
  <si>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</si>
  <si>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</si>
  <si>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</si>
  <si>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</si>
  <si>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</si>
  <si>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</si>
  <si>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</si>
  <si>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</si>
  <si>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</si>
  <si>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</si>
  <si>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</si>
  <si>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</si>
  <si>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</si>
  <si>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</si>
  <si>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</si>
  <si>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</si>
  <si>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</si>
  <si>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</si>
  <si>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</si>
  <si>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</si>
  <si>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</si>
  <si>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</si>
  <si>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</si>
  <si>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</si>
  <si>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</si>
  <si>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</si>
  <si>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</si>
  <si>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</si>
  <si>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</si>
  <si>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</si>
  <si>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</si>
  <si>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</si>
  <si>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</si>
  <si>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</si>
  <si>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</si>
  <si>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</si>
  <si>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</si>
  <si>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</si>
  <si>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</si>
  <si>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</si>
  <si>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</si>
  <si>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</si>
  <si>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</si>
  <si>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</si>
  <si>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</si>
  <si>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</si>
  <si>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</si>
  <si>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</si>
  <si>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</si>
  <si>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</si>
  <si>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</si>
  <si>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</si>
  <si>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</si>
  <si>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</si>
  <si>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</si>
  <si>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</si>
  <si>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</si>
  <si>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</si>
  <si>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</si>
  <si>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</si>
  <si>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</si>
  <si>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</si>
  <si>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</si>
  <si>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</si>
  <si>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</si>
  <si>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</si>
  <si>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</si>
  <si>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</si>
  <si>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</si>
  <si>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</si>
  <si>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</si>
  <si>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</si>
  <si>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</si>
  <si>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</si>
  <si>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</si>
  <si>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</si>
  <si>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</si>
  <si>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</si>
  <si>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</si>
  <si>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</si>
  <si>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</si>
  <si>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</si>
  <si>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</si>
  <si>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</si>
  <si>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</si>
  <si>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</si>
  <si>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</si>
  <si>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</si>
  <si>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</si>
  <si>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</si>
  <si>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</si>
  <si>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</si>
  <si>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</si>
  <si>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</si>
  <si>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</si>
  <si>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</si>
  <si>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</si>
  <si>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</si>
  <si>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</si>
  <si>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</si>
  <si>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</si>
  <si>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</si>
  <si>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</si>
  <si>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</si>
  <si>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</si>
  <si>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</si>
  <si>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</si>
  <si>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</si>
  <si>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</si>
  <si>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</si>
  <si>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</si>
  <si>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</si>
  <si>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</si>
  <si>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</si>
  <si>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</si>
  <si>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</si>
  <si>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</si>
  <si>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</si>
  <si>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</si>
  <si>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</si>
  <si>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</si>
  <si>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</si>
  <si>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</si>
  <si>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</si>
  <si>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</si>
  <si>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</si>
  <si>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</si>
  <si>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</si>
  <si>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</si>
  <si>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</si>
  <si>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</si>
  <si>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</si>
  <si>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</si>
  <si>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</si>
  <si>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</si>
  <si>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</si>
  <si>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</si>
  <si>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</si>
  <si>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</si>
  <si>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</si>
  <si>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</si>
  <si>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</si>
  <si>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</si>
  <si>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</si>
  <si>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</si>
  <si>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</si>
  <si>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</si>
  <si>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</si>
  <si>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</si>
  <si>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</si>
  <si>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</si>
  <si>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</si>
  <si>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</si>
  <si>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</si>
  <si>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</si>
  <si>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</si>
  <si>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</si>
  <si>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</si>
  <si>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</si>
  <si>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</si>
  <si>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</si>
  <si>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</si>
  <si>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</si>
  <si>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</si>
  <si>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</si>
  <si>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</si>
  <si>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</si>
  <si>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</si>
  <si>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</si>
  <si>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</si>
  <si>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</si>
  <si>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</si>
  <si>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</si>
  <si>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</si>
  <si>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</si>
  <si>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</si>
  <si>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</si>
  <si>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</si>
  <si>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</si>
  <si>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</si>
  <si>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</si>
  <si>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</si>
  <si>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</si>
  <si>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</si>
  <si>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</si>
  <si>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</si>
  <si>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</si>
  <si>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</si>
  <si>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</si>
  <si>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</si>
  <si>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</si>
  <si>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</si>
  <si>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</si>
  <si>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</si>
  <si>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</si>
  <si>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</si>
  <si>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</si>
  <si>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</si>
  <si>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</si>
  <si>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</si>
  <si>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</si>
  <si>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</si>
  <si>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</si>
  <si>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</si>
  <si>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</si>
  <si>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</si>
  <si>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</si>
  <si>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</si>
  <si>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</si>
  <si>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</si>
  <si>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</si>
  <si>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</si>
  <si>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</si>
  <si>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</si>
  <si>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</si>
  <si>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</si>
  <si>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</si>
  <si>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</si>
  <si>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</si>
  <si>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</si>
  <si>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</si>
  <si>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</si>
  <si>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</si>
  <si>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</si>
  <si>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</si>
  <si>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</si>
  <si>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</si>
  <si>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</si>
  <si>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</si>
  <si>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</si>
  <si>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</si>
  <si>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</si>
  <si>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</si>
  <si>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</si>
  <si>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</si>
  <si>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</si>
  <si>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</si>
  <si>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</si>
  <si>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</si>
  <si>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</si>
  <si>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</si>
  <si>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</si>
  <si>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</si>
  <si>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</si>
  <si>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</si>
  <si>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</si>
  <si>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</si>
  <si>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</si>
  <si>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</si>
  <si>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</si>
  <si>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</si>
  <si>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</si>
  <si>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</si>
  <si>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</si>
  <si>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</si>
  <si>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</si>
  <si>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</si>
  <si>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</si>
  <si>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</si>
  <si>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</si>
  <si>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</si>
  <si>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</si>
  <si>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</si>
  <si>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</si>
  <si>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</si>
  <si>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</si>
  <si>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</si>
  <si>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</si>
  <si>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</si>
  <si>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</si>
  <si>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</si>
  <si>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</si>
  <si>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</si>
  <si>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</si>
  <si>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</si>
  <si>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</si>
  <si>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</si>
  <si>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</si>
  <si>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</si>
  <si>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</si>
  <si>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</si>
  <si>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</si>
  <si>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</si>
  <si>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</si>
  <si>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</si>
  <si>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</si>
  <si>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</si>
  <si>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</si>
  <si>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</si>
  <si>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</si>
  <si>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</si>
  <si>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</si>
  <si>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</si>
  <si>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</si>
  <si>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</si>
  <si>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</si>
  <si>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</si>
  <si>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</si>
  <si>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</si>
  <si>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</si>
  <si>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</si>
  <si>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</si>
  <si>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</si>
  <si>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</si>
  <si>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</si>
  <si>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</si>
  <si>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</si>
  <si>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</si>
  <si>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</si>
  <si>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</si>
  <si>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</si>
  <si>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</si>
  <si>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</si>
  <si>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</si>
  <si>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</si>
  <si>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</si>
  <si>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</si>
  <si>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</si>
  <si>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</si>
  <si>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</si>
  <si>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</si>
  <si>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</si>
  <si>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</si>
  <si>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</si>
  <si>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</si>
  <si>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</si>
  <si>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</si>
  <si>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</si>
  <si>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</si>
  <si>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</si>
  <si>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</si>
  <si>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</si>
  <si>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</si>
  <si>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</si>
  <si>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</si>
  <si>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</si>
  <si>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</si>
  <si>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</si>
  <si>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</si>
  <si>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</si>
  <si>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</si>
  <si>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</si>
  <si>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</si>
  <si>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</si>
  <si>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</si>
  <si>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</si>
  <si>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</si>
  <si>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</si>
  <si>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</si>
  <si>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</si>
  <si>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</si>
  <si>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</si>
  <si>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</si>
  <si>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</si>
  <si>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</si>
  <si>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</si>
  <si>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</si>
  <si>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</si>
  <si>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</si>
  <si>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</si>
  <si>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</si>
  <si>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</si>
  <si>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</si>
  <si>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</si>
  <si>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</si>
  <si>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</si>
  <si>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</si>
  <si>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</si>
  <si>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</si>
  <si>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</si>
  <si>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</si>
  <si>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</si>
  <si>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</si>
  <si>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</si>
  <si>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</si>
  <si>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</si>
  <si>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</si>
  <si>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</si>
  <si>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</si>
  <si>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</si>
  <si>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</si>
  <si>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</si>
  <si>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</si>
  <si>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</si>
  <si>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</si>
  <si>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</si>
  <si>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</si>
  <si>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</si>
  <si>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</si>
  <si>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</si>
  <si>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</si>
  <si>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</si>
  <si>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</si>
  <si>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</si>
  <si>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</si>
  <si>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</si>
  <si>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</si>
  <si>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</si>
  <si>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</si>
  <si>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</si>
  <si>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</si>
  <si>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</si>
  <si>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</si>
  <si>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</si>
  <si>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</si>
  <si>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</si>
  <si>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</si>
  <si>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</si>
  <si>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</si>
  <si>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</si>
  <si>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</si>
  <si>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</si>
  <si>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</si>
  <si>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</si>
  <si>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</si>
  <si>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</si>
  <si>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</si>
  <si>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</si>
  <si>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</si>
  <si>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</si>
  <si>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</si>
  <si>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</si>
  <si>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</si>
  <si>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</si>
  <si>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</si>
  <si>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</si>
  <si>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</si>
  <si>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</si>
  <si>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</si>
  <si>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</si>
  <si>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</si>
  <si>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</si>
  <si>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</si>
  <si>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</si>
  <si>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</si>
  <si>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</si>
  <si>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</si>
  <si>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</si>
  <si>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</si>
  <si>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</si>
  <si>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</si>
  <si>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</si>
  <si>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</si>
  <si>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</si>
  <si>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</si>
  <si>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</si>
  <si>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</si>
  <si>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</si>
  <si>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</si>
  <si>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</si>
  <si>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</si>
  <si>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</si>
  <si>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</si>
  <si>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</si>
  <si>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</si>
  <si>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</si>
  <si>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</si>
  <si>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</si>
  <si>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</si>
  <si>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</si>
  <si>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</si>
  <si>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</si>
  <si>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</si>
  <si>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</si>
  <si>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</si>
  <si>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</si>
  <si>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</si>
  <si>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</si>
  <si>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</si>
  <si>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</si>
  <si>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</si>
  <si>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</si>
  <si>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</si>
  <si>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</si>
  <si>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</si>
  <si>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</si>
  <si>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</si>
  <si>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</si>
  <si>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</si>
  <si>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</si>
  <si>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</si>
  <si>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</si>
  <si>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</si>
  <si>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</si>
  <si>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</si>
  <si>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</si>
  <si>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</si>
  <si>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</si>
  <si>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</si>
  <si>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</si>
  <si>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</si>
  <si>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</si>
  <si>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</si>
  <si>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</si>
  <si>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</si>
  <si>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</si>
  <si>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</si>
  <si>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</si>
  <si>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</si>
  <si>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</si>
  <si>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</si>
  <si>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</si>
  <si>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</si>
  <si>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</si>
  <si>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</si>
  <si>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</si>
  <si>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</si>
  <si>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</si>
  <si>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</si>
  <si>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</si>
  <si>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</si>
  <si>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</si>
  <si>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</si>
  <si>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</si>
  <si>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</si>
  <si>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</si>
  <si>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</si>
  <si>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</si>
  <si>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</si>
  <si>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</si>
  <si>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</si>
  <si>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</si>
  <si>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</si>
  <si>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</si>
  <si>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</si>
  <si>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</si>
  <si>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</si>
  <si>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</si>
  <si>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</si>
  <si>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</si>
  <si>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</si>
  <si>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</si>
  <si>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</si>
  <si>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</si>
  <si>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</si>
  <si>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</si>
  <si>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</si>
  <si>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</si>
  <si>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</si>
  <si>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</si>
  <si>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</si>
  <si>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</si>
  <si>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</si>
  <si>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</si>
  <si>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</si>
  <si>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</si>
  <si>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</si>
  <si>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</si>
  <si>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</si>
  <si>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</si>
  <si>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</si>
  <si>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</si>
  <si>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</si>
  <si>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</si>
  <si>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</si>
  <si>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</si>
  <si>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</si>
  <si>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</si>
  <si>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</si>
  <si>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</si>
  <si>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</si>
  <si>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</si>
  <si>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</si>
  <si>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</si>
  <si>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</si>
  <si>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</si>
  <si>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</si>
  <si>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</si>
  <si>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</si>
  <si>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</si>
  <si>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</si>
  <si>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</si>
  <si>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</si>
  <si>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</si>
  <si>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</si>
  <si>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</si>
  <si>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</si>
  <si>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</si>
  <si>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</si>
  <si>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</si>
  <si>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</si>
  <si>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</si>
  <si>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</si>
  <si>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</si>
  <si>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</si>
  <si>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</si>
  <si>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</si>
  <si>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</si>
  <si>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</si>
  <si>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</si>
  <si>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</si>
  <si>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</si>
  <si>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</si>
  <si>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</si>
  <si>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</si>
  <si>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</si>
  <si>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</si>
  <si>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</si>
  <si>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</si>
  <si>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</si>
  <si>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</si>
  <si>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</si>
  <si>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</si>
  <si>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</si>
  <si>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</si>
  <si>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</si>
  <si>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</si>
  <si>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</si>
  <si>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</si>
  <si>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</si>
  <si>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</si>
  <si>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</si>
  <si>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</si>
  <si>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</si>
  <si>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</si>
  <si>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</si>
  <si>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</si>
  <si>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</si>
  <si>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</si>
  <si>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</si>
  <si>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</si>
  <si>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</si>
  <si>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</si>
  <si>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</si>
  <si>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</si>
  <si>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</si>
  <si>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</si>
  <si>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</si>
  <si>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</si>
  <si>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</si>
  <si>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</si>
  <si>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</si>
  <si>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</si>
  <si>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</si>
  <si>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</si>
  <si>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</si>
  <si>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</si>
  <si>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</si>
  <si>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</si>
  <si>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</si>
  <si>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</si>
  <si>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</si>
  <si>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</si>
  <si>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</si>
  <si>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</si>
  <si>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</si>
  <si>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</si>
  <si>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</si>
  <si>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</si>
  <si>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</si>
  <si>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</si>
  <si>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</si>
  <si>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</si>
  <si>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</si>
  <si>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</si>
  <si>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</si>
  <si>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</si>
  <si>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</si>
  <si>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</si>
  <si>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</si>
  <si>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</si>
  <si>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</si>
  <si>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</si>
  <si>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</si>
  <si>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</si>
  <si>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</si>
  <si>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</si>
  <si>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</si>
  <si>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</si>
  <si>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</si>
  <si>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</si>
  <si>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</si>
  <si>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</si>
  <si>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</si>
  <si>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</si>
  <si>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</si>
  <si>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</si>
  <si>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</si>
  <si>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</si>
  <si>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</si>
  <si>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</si>
  <si>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</si>
  <si>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</si>
  <si>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</si>
  <si>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</si>
  <si>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</si>
  <si>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</si>
  <si>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</si>
  <si>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</si>
  <si>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</si>
  <si>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</si>
  <si>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</si>
  <si>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</si>
  <si>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</si>
  <si>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</si>
  <si>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</si>
  <si>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</si>
  <si>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</si>
  <si>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</si>
  <si>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</si>
  <si>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</si>
  <si>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</si>
  <si>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</si>
  <si>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</si>
  <si>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</si>
  <si>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</si>
  <si>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</si>
  <si>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</si>
  <si>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</si>
  <si>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</si>
  <si>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</si>
  <si>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</si>
  <si>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</si>
  <si>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</si>
  <si>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</si>
  <si>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</si>
  <si>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</si>
  <si>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</si>
  <si>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</si>
  <si>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</si>
  <si>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</si>
  <si>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</si>
  <si>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</si>
  <si>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</si>
  <si>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</si>
  <si>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</si>
  <si>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</si>
  <si>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</si>
  <si>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</si>
  <si>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</si>
  <si>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</si>
  <si>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</si>
  <si>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</si>
  <si>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</si>
  <si>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</si>
  <si>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</si>
  <si>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</si>
  <si>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</si>
  <si>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</si>
  <si>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</si>
  <si>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</si>
  <si>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</si>
  <si>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</si>
  <si>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</si>
  <si>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</si>
  <si>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</si>
  <si>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</si>
  <si>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</si>
  <si>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</si>
  <si>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</si>
  <si>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</si>
  <si>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</si>
  <si>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</si>
  <si>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</si>
  <si>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</si>
  <si>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</si>
  <si>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</si>
  <si>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</si>
  <si>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</si>
  <si>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</si>
  <si>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</si>
  <si>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</si>
  <si>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</si>
  <si>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</si>
  <si>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</si>
  <si>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</si>
  <si>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</si>
  <si>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</si>
  <si>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</si>
  <si>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</si>
  <si>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</si>
  <si>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</si>
  <si>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</si>
  <si>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</si>
  <si>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</si>
  <si>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</si>
  <si>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</si>
  <si>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</si>
  <si>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</si>
  <si>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</si>
  <si>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</si>
  <si>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</si>
  <si>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</si>
  <si>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</si>
  <si>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</si>
  <si>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</si>
  <si>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</si>
  <si>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</si>
  <si>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</si>
  <si>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</si>
  <si>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</si>
  <si>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</si>
  <si>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</si>
  <si>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</si>
  <si>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</si>
  <si>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</si>
  <si>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</si>
  <si>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</si>
  <si>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</si>
  <si>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</si>
  <si>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</si>
  <si>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</si>
  <si>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</si>
  <si>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</si>
  <si>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</si>
  <si>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</si>
  <si>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</si>
  <si>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</si>
  <si>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</si>
  <si>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</si>
  <si>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</si>
  <si>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</si>
  <si>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</si>
  <si>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</si>
  <si>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</si>
  <si>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</si>
  <si>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</si>
  <si>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</si>
  <si>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</si>
  <si>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</si>
  <si>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</si>
  <si>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</si>
  <si>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</si>
  <si>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</si>
  <si>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</si>
  <si>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</si>
  <si>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</si>
  <si>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</si>
  <si>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</si>
  <si>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</si>
  <si>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</si>
  <si>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</si>
  <si>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</si>
  <si>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</si>
  <si>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</si>
  <si>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</si>
  <si>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</si>
  <si>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</si>
  <si>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</si>
  <si>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</si>
  <si>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</si>
  <si>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</si>
  <si>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</si>
  <si>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</si>
  <si>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</si>
  <si>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</si>
  <si>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</si>
  <si>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</si>
  <si>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</si>
  <si>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</si>
  <si>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</si>
  <si>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</si>
  <si>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</si>
  <si>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</si>
  <si>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</si>
  <si>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</si>
  <si>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</si>
  <si>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</si>
  <si>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</si>
  <si>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</si>
  <si>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</si>
  <si>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</si>
  <si>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</si>
  <si>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</si>
  <si>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</si>
  <si>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</si>
  <si>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</si>
  <si>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</si>
  <si>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</si>
  <si>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</si>
  <si>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</si>
  <si>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</si>
  <si>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</si>
  <si>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</si>
  <si>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</si>
  <si>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</si>
  <si>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</si>
  <si>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</si>
  <si>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</si>
  <si>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</si>
  <si>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</si>
  <si>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</si>
  <si>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</si>
  <si>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</si>
  <si>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</si>
  <si>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</si>
  <si>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</si>
  <si>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</si>
  <si>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</si>
  <si>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</si>
  <si>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</si>
  <si>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</si>
  <si>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</si>
  <si>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</si>
  <si>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</si>
  <si>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</si>
  <si>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</si>
  <si>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</si>
  <si>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</si>
  <si>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</si>
  <si>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</si>
  <si>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</si>
  <si>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</si>
  <si>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</si>
  <si>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</si>
  <si>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</si>
  <si>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</si>
  <si>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</si>
  <si>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</si>
  <si>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</si>
  <si>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</si>
  <si>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</si>
  <si>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</si>
  <si>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</si>
  <si>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</si>
  <si>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</si>
  <si>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</si>
  <si>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</si>
  <si>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</si>
  <si>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</si>
  <si>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</si>
  <si>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</si>
  <si>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</si>
  <si>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</si>
  <si>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</si>
  <si>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</si>
  <si>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</si>
  <si>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</si>
  <si>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</si>
  <si>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</si>
  <si>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</si>
  <si>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</si>
  <si>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</si>
  <si>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</si>
  <si>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</si>
  <si>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</si>
  <si>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</si>
  <si>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</si>
  <si>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</si>
  <si>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</si>
  <si>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</si>
  <si>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</si>
  <si>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</si>
  <si>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</si>
  <si>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</si>
  <si>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</si>
  <si>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</si>
  <si>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</si>
  <si>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</si>
  <si>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</si>
  <si>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</si>
  <si>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</si>
  <si>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</si>
  <si>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</si>
  <si>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</si>
  <si>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</si>
  <si>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</si>
  <si>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</si>
  <si>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</si>
  <si>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</si>
  <si>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</si>
  <si>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</si>
  <si>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</si>
  <si>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</si>
  <si>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</si>
  <si>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</si>
  <si>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</si>
  <si>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</si>
  <si>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</si>
  <si>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</si>
  <si>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</si>
  <si>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</si>
  <si>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</si>
  <si>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</si>
  <si>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</si>
  <si>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</si>
  <si>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</si>
  <si>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</si>
  <si>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</si>
  <si>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</si>
  <si>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</si>
  <si>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</si>
  <si>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</si>
  <si>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</si>
  <si>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</si>
  <si>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</si>
  <si>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</si>
  <si>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</si>
  <si>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</si>
  <si>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</si>
  <si>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</si>
  <si>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</si>
  <si>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</si>
  <si>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</si>
  <si>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</si>
  <si>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</si>
  <si>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</si>
  <si>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</si>
  <si>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</si>
  <si>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</si>
  <si>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</si>
  <si>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</si>
  <si>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</si>
  <si>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</si>
  <si>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</si>
  <si>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</si>
  <si>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</si>
  <si>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</si>
  <si>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</si>
  <si>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</si>
  <si>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</si>
  <si>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</si>
  <si>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</si>
  <si>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</si>
  <si>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</si>
  <si>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</si>
  <si>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</si>
  <si>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</si>
  <si>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</si>
  <si>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</si>
  <si>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</si>
  <si>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</si>
  <si>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</si>
  <si>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</si>
  <si>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</si>
  <si>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</si>
  <si>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</si>
  <si>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</si>
  <si>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</si>
  <si>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</si>
  <si>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</si>
  <si>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</si>
  <si>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</si>
  <si>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</si>
  <si>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</si>
  <si>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</si>
  <si>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</si>
  <si>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</si>
  <si>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</si>
  <si>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</si>
  <si>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</si>
  <si>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</si>
  <si>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</si>
  <si>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</si>
  <si>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</si>
  <si>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</si>
  <si>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</si>
  <si>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</si>
  <si>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</si>
  <si>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</si>
  <si>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</si>
  <si>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</si>
  <si>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</si>
  <si>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</si>
  <si>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</si>
  <si>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</si>
  <si>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</si>
  <si>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</si>
  <si>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</si>
  <si>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</si>
  <si>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</si>
  <si>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</si>
  <si>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</si>
  <si>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</si>
  <si>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</si>
  <si>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</si>
  <si>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</si>
  <si>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</si>
  <si>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</si>
  <si>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</si>
  <si>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</si>
  <si>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</si>
  <si>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</si>
  <si>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</si>
  <si>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</si>
  <si>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</si>
  <si>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</si>
  <si>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</si>
  <si>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</si>
  <si>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</si>
  <si>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</si>
  <si>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</si>
  <si>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</si>
  <si>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</si>
  <si>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</si>
  <si>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</si>
  <si>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</si>
  <si>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</si>
  <si>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</si>
  <si>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</si>
  <si>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</si>
  <si>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</si>
  <si>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</si>
  <si>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</si>
  <si>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</si>
  <si>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</si>
  <si>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</si>
  <si>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</si>
  <si>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</si>
  <si>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</si>
  <si>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</si>
  <si>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</si>
  <si>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</si>
  <si>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</si>
  <si>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</si>
  <si>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</si>
  <si>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</si>
  <si>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</si>
  <si>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</si>
  <si>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</si>
  <si>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</si>
  <si>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</si>
  <si>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</si>
  <si>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</si>
  <si>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</si>
  <si>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</si>
  <si>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</si>
  <si>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</si>
  <si>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</si>
  <si>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</si>
  <si>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</si>
  <si>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</si>
  <si>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</si>
  <si>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</si>
  <si>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</si>
  <si>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</si>
  <si>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</si>
  <si>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</si>
  <si>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</si>
  <si>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</si>
  <si>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</si>
  <si>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</si>
  <si>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</si>
  <si>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</si>
  <si>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</si>
  <si>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</si>
  <si>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</si>
  <si>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</si>
  <si>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</si>
  <si>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</si>
  <si>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</si>
  <si>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</si>
  <si>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</si>
  <si>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</si>
  <si>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</si>
  <si>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</si>
  <si>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</si>
  <si>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</si>
  <si>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</si>
  <si>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</si>
  <si>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</si>
  <si>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</si>
  <si>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</si>
  <si>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</si>
  <si>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</si>
  <si>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</si>
  <si>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</si>
  <si>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</si>
  <si>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</si>
  <si>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</si>
  <si>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</si>
  <si>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</si>
  <si>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</si>
  <si>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</si>
  <si>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</si>
  <si>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</si>
  <si>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</si>
  <si>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</si>
  <si>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</si>
  <si>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</si>
  <si>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</si>
  <si>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</si>
  <si>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</si>
  <si>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</si>
  <si>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</si>
  <si>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</si>
  <si>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</si>
  <si>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</si>
  <si>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</si>
  <si>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</si>
  <si>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</si>
  <si>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</si>
  <si>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</si>
  <si>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</si>
  <si>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</si>
  <si>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</si>
  <si>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</si>
  <si>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</si>
  <si>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</si>
  <si>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</si>
  <si>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</si>
  <si>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</si>
  <si>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</si>
  <si>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</si>
  <si>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划拨</t>
  </si>
  <si>
    <t>地上</t>
  </si>
  <si>
    <t>是</t>
  </si>
  <si>
    <t>成新度</t>
  </si>
  <si>
    <t>估价对象容积率</t>
  </si>
  <si>
    <t>与级别开发程度不一致</t>
  </si>
  <si>
    <t>通上水</t>
  </si>
  <si>
    <t>通下水</t>
  </si>
  <si>
    <t>通电</t>
  </si>
  <si>
    <t>通讯</t>
  </si>
  <si>
    <t>通路</t>
  </si>
  <si>
    <t>平整</t>
  </si>
  <si>
    <t>按公示增长率计算</t>
  </si>
  <si>
    <t>中心城区</t>
  </si>
  <si>
    <t>较好</t>
  </si>
  <si>
    <t>一般</t>
  </si>
  <si>
    <t>较差</t>
  </si>
  <si>
    <t>好</t>
  </si>
  <si>
    <t>仓储</t>
    <phoneticPr fontId="7" type="noConversion"/>
  </si>
  <si>
    <t>已包含在土地取得成本中</t>
  </si>
  <si>
    <t>未包含在土地购买价格中</t>
  </si>
  <si>
    <t>序号</t>
  </si>
  <si>
    <t>项目</t>
  </si>
  <si>
    <t>测算值</t>
  </si>
  <si>
    <r>
      <rPr>
        <sz val="10"/>
        <color rgb="FF000000"/>
        <rFont val="宋体"/>
        <family val="3"/>
        <charset val="134"/>
      </rPr>
      <t>说明</t>
    </r>
  </si>
  <si>
    <t>折旧及摊销成本（万元）</t>
  </si>
  <si>
    <t>运营费用（万元）</t>
  </si>
  <si>
    <t>2=2.1+2.2+2.3</t>
  </si>
  <si>
    <t>维修费（万元）</t>
  </si>
  <si>
    <t>保险费（万元）</t>
  </si>
  <si>
    <t>物业费（万元）</t>
  </si>
  <si>
    <r>
      <rPr>
        <sz val="10"/>
        <color rgb="FF000000"/>
        <rFont val="宋体"/>
        <family val="3"/>
        <charset val="134"/>
      </rPr>
      <t>该项目为公租房，根据不动产权利人提供的《物业服务合同》及介绍，物业费水平为</t>
    </r>
    <r>
      <rPr>
        <sz val="10"/>
        <color rgb="FF000000"/>
        <rFont val="Arial"/>
        <family val="2"/>
      </rPr>
      <t>4</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月计算，则年物业费用为</t>
    </r>
    <r>
      <rPr>
        <sz val="10"/>
        <color rgb="FF000000"/>
        <rFont val="Arial"/>
        <family val="2"/>
      </rPr>
      <t>4×77947.76×12÷10000=374.15</t>
    </r>
    <r>
      <rPr>
        <sz val="10"/>
        <color rgb="FF000000"/>
        <rFont val="宋体"/>
        <family val="3"/>
        <charset val="134"/>
      </rPr>
      <t>万元。</t>
    </r>
    <phoneticPr fontId="273" type="noConversion"/>
  </si>
  <si>
    <t>管理成本（万元）</t>
  </si>
  <si>
    <t>3=3.1+3.2+3.3</t>
  </si>
  <si>
    <t>管理费（万元）</t>
  </si>
  <si>
    <t>利息（万元）</t>
  </si>
  <si>
    <t>利润（万元）</t>
  </si>
  <si>
    <t>年成本收益（万元）</t>
  </si>
  <si>
    <t>4=1+2+3</t>
  </si>
  <si>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</si>
  <si>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t>指运营管理机构人员、办公等的正常开支费用，参考同类项目测算，按年租金成本收益的 5%测算，即XX×12×77947.76×5%÷10000=233.84万元。</t>
    <phoneticPr fontId="273" type="noConversion"/>
  </si>
  <si>
    <t>基数为折旧摊销成本、没有其他费用和利息</t>
    <phoneticPr fontId="273" type="noConversion"/>
  </si>
  <si>
    <t>项目总建面</t>
    <phoneticPr fontId="134" type="noConversion"/>
  </si>
  <si>
    <r>
      <rPr>
        <sz val="10"/>
        <rFont val="宋体"/>
        <family val="3"/>
        <charset val="134"/>
      </rPr>
      <t>总建造成本为</t>
    </r>
    <r>
      <rPr>
        <sz val="10"/>
        <rFont val="Arial"/>
        <family val="2"/>
      </rPr>
      <t>10975.75</t>
    </r>
    <r>
      <rPr>
        <sz val="10"/>
        <rFont val="宋体"/>
        <family val="3"/>
        <charset val="134"/>
      </rPr>
      <t>万元。该项目为钢混结构，非生产用房经济耐用年限为</t>
    </r>
    <r>
      <rPr>
        <sz val="10"/>
        <rFont val="Arial"/>
        <family val="2"/>
      </rPr>
      <t xml:space="preserve">50 </t>
    </r>
    <r>
      <rPr>
        <sz val="10"/>
        <rFont val="宋体"/>
        <family val="3"/>
        <charset val="134"/>
      </rPr>
      <t>年，</t>
    </r>
    <r>
      <rPr>
        <sz val="10"/>
        <rFont val="Arial"/>
        <family val="2"/>
      </rPr>
      <t>2016</t>
    </r>
    <r>
      <rPr>
        <sz val="10"/>
        <rFont val="宋体"/>
        <family val="3"/>
        <charset val="134"/>
      </rPr>
      <t>年建成，根据项目剩余经济耐用年限，将购置成本按直线法折算至每年。</t>
    </r>
    <phoneticPr fontId="273" type="noConversion"/>
  </si>
  <si>
    <r>
      <t>5=4÷</t>
    </r>
    <r>
      <rPr>
        <sz val="10"/>
        <color rgb="FF000000"/>
        <rFont val="宋体"/>
        <family val="3"/>
        <charset val="134"/>
      </rPr>
      <t>建筑面积</t>
    </r>
    <r>
      <rPr>
        <sz val="10"/>
        <color rgb="FF000000"/>
        <rFont val="Arial"/>
        <family val="2"/>
      </rPr>
      <t>÷12</t>
    </r>
    <r>
      <rPr>
        <sz val="10"/>
        <color rgb="FF000000"/>
        <rFont val="宋体"/>
        <family val="3"/>
        <charset val="134"/>
      </rPr>
      <t>个月</t>
    </r>
    <phoneticPr fontId="134" type="noConversion"/>
  </si>
  <si>
    <t>建安</t>
    <phoneticPr fontId="134" type="noConversion"/>
  </si>
  <si>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维修费为</t>
    </r>
    <r>
      <rPr>
        <sz val="10"/>
        <color rgb="FF000000"/>
        <rFont val="Arial"/>
        <family val="2"/>
      </rPr>
      <t>0.5</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宋体"/>
        <family val="3"/>
        <charset val="134"/>
      </rPr>
      <t>。</t>
    </r>
    <phoneticPr fontId="273" type="noConversion"/>
  </si>
  <si>
    <r>
      <rPr>
        <sz val="10"/>
        <color rgb="FF000000"/>
        <rFont val="宋体"/>
        <family val="3"/>
        <charset val="134"/>
      </rPr>
      <t>指房屋产权人为使自己的房产避免意外损失而向保险公司支付的费用</t>
    </r>
    <r>
      <rPr>
        <sz val="10"/>
        <color rgb="FF000000"/>
        <rFont val="宋体"/>
        <family val="3"/>
        <charset val="134"/>
      </rPr>
      <t>。</t>
    </r>
    <phoneticPr fontId="273" type="noConversion"/>
  </si>
  <si>
    <t>确认实际是否存在贷款，无贷不计息</t>
    <phoneticPr fontId="134" type="noConversion"/>
  </si>
  <si>
    <t>无贷不计息</t>
    <phoneticPr fontId="134" type="noConversion"/>
  </si>
  <si>
    <t>位置</t>
    <phoneticPr fontId="134" type="noConversion"/>
  </si>
  <si>
    <t>土地用途</t>
    <phoneticPr fontId="134" type="noConversion"/>
  </si>
  <si>
    <t>土地类型</t>
    <phoneticPr fontId="134" type="noConversion"/>
  </si>
  <si>
    <t>面积</t>
    <phoneticPr fontId="134" type="noConversion"/>
  </si>
  <si>
    <t>租金</t>
    <phoneticPr fontId="134" type="noConversion"/>
  </si>
  <si>
    <t>备注</t>
    <phoneticPr fontId="134" type="noConversion"/>
  </si>
  <si>
    <t>丙二类</t>
    <phoneticPr fontId="134" type="noConversion"/>
  </si>
  <si>
    <t>后沙峪</t>
    <phoneticPr fontId="134" type="noConversion"/>
  </si>
  <si>
    <t>仓库</t>
    <phoneticPr fontId="134" type="noConversion"/>
  </si>
  <si>
    <t>2000-40000</t>
    <phoneticPr fontId="134" type="noConversion"/>
  </si>
  <si>
    <t>仓库、工业</t>
    <phoneticPr fontId="134" type="noConversion"/>
  </si>
  <si>
    <t>国有</t>
    <phoneticPr fontId="134" type="noConversion"/>
  </si>
  <si>
    <t>https://bj.58.com/fangchan/82742185103965x.shtml?utm_source=market&amp;prd=x0NAXiR1wlSETnm4cICGeqFIkmFTYpQOs%2FD1vjH0i6w%3D&amp;houseId=3991157049252867&amp;urlParamsMap=3053230614D404344D306BF57F032E991EE4926AE895E610298291E46A460E916D20F94F99757863154E927CF1EE0D5A6374BE53D48460C5E44A365FD54CEC92572044C96712FC9E60BE97CD9AF43FE5AE8AB0BFEE5C8FB276DC035C06AD30B13E4AF83B85BA7CEC84FD180BE7AECA1430DE6EF9CD5772F27439677B6BF73F6897541D511C5216D1B1B3AF6A4CA70F27DF1FBF186D12CF7937D276796A678591719B487E47196AD6834191D086998F7C&amp;gpos=5&amp;legourl=%2F%2Flegoclick.58.com%2Fjump%3Ftarget%3DszqBpB3draOWUvYfuh78uvPCmy3frjcLPjcQrjNQnjnOPWR3sMPCIAd_TyEVrjnkn1KBPWnVP1DkniYYnj0LsH--uWbVuAPhryNOryEknHPbTHNYn1DknW03P1bOn19dTED1rHbQnHNLnjEOnWNzrjmLTHnQPjmkTHnQPHTkTHD_nHmKnikvrjDkTHDLPWDzrj93rHN3rH0KPT7AEdqEEdqHyNwjgSyr98pcfdqniRPNgYGmTHDKnEDKsHDKsEDQrH0OnHDdrjc3rH9YrHNYrj9zTHmK0A7zmyd1n1NvrWc_0A7zmyd1nWT1rWD_Uy-6UbGGrWDznjTkg1bOrHbOrHbKnED1PyuBn1NkradBuj-hsHEYP1mVmyPBnadbPj9QmWmOmvuhn1bKnHbLrHDQPH9zrHT3rH9QPWNLrTDQrH0OnHDdrjcOnjmkPHn3n1m3TEDKTEDKsEDKTE7jpLIKy7IMigFfuAuDHhRAEY6YEN7M5HYKnHTvsWDzna3QnHm8nWTzTHTKnTDKnikQP97exEDQnjT1PTDQnjTYnj0vTHuhuHTvujuBsH7huyDVPAnQPBdBn1-hsHu-rHR-nWmvnjIWPTDKnTDKTHTKnikvrjDksjm3rjcKnE78IyQ_TyRWuhc3nAmQmHu6ujT3PvE&amp;referinfo=false&amp;spm=&amp;positionType=legojingxuanhouse&amp;lgtid_shangyetie=6fe06d6b-1fea-4c16-b39f-6e95e26607c4&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18</t>
    <phoneticPr fontId="134" type="noConversion"/>
  </si>
  <si>
    <t>丙二类</t>
    <phoneticPr fontId="134" type="noConversion"/>
  </si>
  <si>
    <t>https://bj.58.com/fangchan/84919213339485x.shtml?utm_source=market&amp;prd=x0NAXiR1wlSETnm4cICGemeAtlHq4cAwBVmqYmz0tG0%3D&amp;houseId=4269816663399432&amp;urlParamsMap=3053230614D404344D306BF57F032E991EE4926AE895E610298291E46A460E916D20F94F99757863B1AEE64029817A265E349128539ED5439E8119BC4E11FD85AD3DCFA25B4F1888996B16AE5017B581249BB70E338D2582740FAF213745C14191F4F0186690D402D7DD417F64AE99E077F00718F16EB7FF541E677040DA19533E6A319CE1FE75A6F05AB0F54B1C721AF372766926CBA4C9CE3A44320FC47E44719B487E47196AD658C38A57B04963B0&amp;gpos=4&amp;legotopurl=%2F%2Flegoclick.58.com%2Fjump%3Ftarget%3DszqBpB3draOWUvYfuh78uvPCmy3frjEOnHbznHn1n1bYrjR3sMPCIAd_TyEVnj9Quj91mhcVnWubnBYYPjcksyckrH9Vmv7huyndPWNQnWFhTHDkn1cvPHn3PWcLnjTQrEDKPjcvrH9QPWmvn1nOrHE1n9DkTHDknTDQsjDvTHD_PW9QnTDQP1mQnW93rjnYPHc3THEKPH9VUA-1IZGbsXyR68i3h8y0_rilGkDQTHDKTiYQTiYKnHbLPWDLrHELP1TOnWn1rH0QnkDvTgK60h7V01ndPWCzsZK60h7V01ckn1CQsA-1Rh-krWDKnEDOPhm1ujRbniYzmhcQsHELuHmVmWPBriYzn1FhnAu-mWNknyDKnHbLPWDLrHELP1ckrH03rjEQPkDQrH0vnH0OPj0LnH9kPjEkPH0vTEDKTEDKsEDKTE7jpLIKy7IMigFfuAuDHhRAEY6YEN7M5HYKnHTvsWDzna3QnHm8nWTzTHTKnTDKnikQP97exEDQnjTKnHTknWbknTD3myN3rH6bmiY3uWb1sHE1uyNVrjEduaYQrHnOPyP6mhEOn1cKTHTKTEDkTHD_PW9QnakQrHE3n9DQTyOdUAkKuWK6P17-PHu6mvnQuhnQPT&amp;referinfo=false&amp;spm=&amp;positionType=legotophouse&amp;lgtid_shangyetie=8ae898da-8f93-43ee-845d-19395cabd932&amp;cocoTestType=coco_area_expand_test&amp;legoCocoTestType=coco_area_expand_test&amp;filterJson=eyJRVVlVIjpbeyJrZXkiOiIiLCJsYWJlbCI6IumhuuS5iSIsInZhbCI6InNodW55aSJ9XX0&amp;jx_abtest=ZWljX3N5ZGNfcGNfcmVjb21tZW5kX3Rlc3QscHRyX2ZhbmdfYnVkZ2V0X2JvdHRvbXwxLGNvY29fYXJlYV9leHBhbmRfdGVzdCx1c2VyX3BoYXNlX2w&amp;list_type=main&amp;PGTID=0d305770-0000-1269-5dd8-c19bd73ad94c&amp;ClickID=10</t>
    <phoneticPr fontId="134" type="noConversion"/>
  </si>
  <si>
    <t>层高</t>
    <phoneticPr fontId="134" type="noConversion"/>
  </si>
  <si>
    <t>南法信</t>
    <phoneticPr fontId="134" type="noConversion"/>
  </si>
  <si>
    <r>
      <t>1000</t>
    </r>
    <r>
      <rPr>
        <sz val="11"/>
        <color theme="1"/>
        <rFont val="宋体"/>
        <family val="3"/>
        <charset val="134"/>
        <scheme val="minor"/>
      </rPr>
      <t>-3000</t>
    </r>
    <phoneticPr fontId="134" type="noConversion"/>
  </si>
  <si>
    <t>【7图】丙二消防丨高标库丨可分租丨可生产丨高配置,北京顺义杨镇厂房/仓库/土地/车位出租-北京58同城</t>
  </si>
  <si>
    <t>杨镇</t>
    <phoneticPr fontId="134" type="noConversion"/>
  </si>
  <si>
    <t>国有</t>
    <phoneticPr fontId="134" type="noConversion"/>
  </si>
  <si>
    <r>
      <t>1</t>
    </r>
    <r>
      <rPr>
        <sz val="11"/>
        <color theme="1"/>
        <rFont val="宋体"/>
        <family val="3"/>
        <charset val="134"/>
        <scheme val="minor"/>
      </rPr>
      <t>000-60000</t>
    </r>
    <phoneticPr fontId="134" type="noConversion"/>
  </si>
  <si>
    <t>马坡</t>
    <phoneticPr fontId="134" type="noConversion"/>
  </si>
  <si>
    <r>
      <t>2</t>
    </r>
    <r>
      <rPr>
        <sz val="11"/>
        <color theme="1"/>
        <rFont val="宋体"/>
        <family val="3"/>
        <charset val="134"/>
        <scheme val="minor"/>
      </rPr>
      <t>000-20000</t>
    </r>
    <phoneticPr fontId="134" type="noConversion"/>
  </si>
  <si>
    <t>【9图】标准高台库2000平米起租丨价格低手续全丨可分租,北京顺义马坡厂房/仓库/土地/车位出租-北京58同城</t>
  </si>
  <si>
    <t>工业</t>
    <phoneticPr fontId="134" type="noConversion"/>
  </si>
  <si>
    <t>南彩镇</t>
    <phoneticPr fontId="134" type="noConversion"/>
  </si>
  <si>
    <r>
      <t>1</t>
    </r>
    <r>
      <rPr>
        <sz val="11"/>
        <color theme="1"/>
        <rFont val="宋体"/>
        <family val="3"/>
        <charset val="134"/>
        <scheme val="minor"/>
      </rPr>
      <t>000-13000</t>
    </r>
    <phoneticPr fontId="134" type="noConversion"/>
  </si>
  <si>
    <t>【8图】顺义营13000平高台库房出租 丙2设施可分租,北京顺义南彩厂房/仓库/土地/车位出租-北京58同城</t>
  </si>
  <si>
    <t>仓库</t>
    <phoneticPr fontId="134" type="noConversion"/>
  </si>
  <si>
    <t>比较法</t>
    <phoneticPr fontId="134" type="noConversion"/>
  </si>
  <si>
    <t>成本法</t>
    <phoneticPr fontId="134" type="noConversion"/>
  </si>
  <si>
    <t>方法</t>
    <phoneticPr fontId="134" type="noConversion"/>
  </si>
  <si>
    <t>单价</t>
    <phoneticPr fontId="134" type="noConversion"/>
  </si>
  <si>
    <t>权重</t>
    <phoneticPr fontId="134" type="noConversion"/>
  </si>
  <si>
    <t>单价</t>
    <phoneticPr fontId="134" type="noConversion"/>
  </si>
  <si>
    <t>仓储</t>
    <phoneticPr fontId="31" type="noConversion"/>
  </si>
  <si>
    <t>层高</t>
    <phoneticPr fontId="31" type="noConversion"/>
  </si>
  <si>
    <t>丙二类</t>
    <phoneticPr fontId="31" type="noConversion"/>
  </si>
  <si>
    <t>多层</t>
    <phoneticPr fontId="31" type="noConversion"/>
  </si>
  <si>
    <t>七通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</si>
</sst>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9"/>
      <name val="等线"/>
      <family val="3"/>
      <charset val="134"/>
    </font>
    <font>
      <sz val="11"/>
      <color rgb="FF000000"/>
      <name val="等线"/>
      <family val="3"/>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95" fillId="0" borderId="0"/>
    <xf numFmtId="43" fontId="274" fillId="0" borderId="0" applyFont="0" applyFill="0" applyBorder="0" applyAlignment="0" applyProtection="0">
      <alignment vertical="center"/>
    </xf>
    <xf numFmtId="0" fontId="274" fillId="0" borderId="0"/>
    <xf numFmtId="0" fontId="275" fillId="0" borderId="0" applyNumberFormat="0" applyFill="0" applyBorder="0" applyAlignment="0" applyProtection="0">
      <alignment vertical="center"/>
    </xf>
  </cellStyleXfs>
  <cellXfs count="38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3" fillId="0" borderId="1" xfId="1" applyFont="1" applyBorder="1" applyAlignment="1">
      <alignment horizontal="center" vertical="center" wrapText="1"/>
    </xf>
    <xf numFmtId="0" fontId="164" fillId="0" borderId="1" xfId="1" applyFont="1" applyBorder="1" applyAlignment="1">
      <alignment horizontal="center" vertical="center" wrapText="1"/>
    </xf>
    <xf numFmtId="179" fontId="164" fillId="0" borderId="1" xfId="1" applyNumberFormat="1" applyFont="1" applyBorder="1" applyAlignment="1">
      <alignment horizontal="center" vertical="center" wrapText="1"/>
    </xf>
    <xf numFmtId="0" fontId="53" fillId="0" borderId="1" xfId="1" applyFont="1" applyBorder="1" applyAlignment="1">
      <alignment horizontal="center" vertical="center" wrapText="1"/>
    </xf>
    <xf numFmtId="0" fontId="163" fillId="7" borderId="1" xfId="1" applyFont="1" applyFill="1" applyBorder="1" applyAlignment="1">
      <alignment horizontal="center" vertical="center" wrapText="1"/>
    </xf>
    <xf numFmtId="2" fontId="164" fillId="0" borderId="1" xfId="1" applyNumberFormat="1" applyFont="1" applyBorder="1" applyAlignment="1">
      <alignment horizontal="center" vertical="center" wrapText="1"/>
    </xf>
    <xf numFmtId="0" fontId="163" fillId="0" borderId="1" xfId="1" applyFont="1" applyFill="1" applyBorder="1" applyAlignment="1">
      <alignment horizontal="center" vertical="center" wrapText="1"/>
    </xf>
    <xf numFmtId="0" fontId="164" fillId="0" borderId="1" xfId="1" applyFont="1" applyFill="1" applyBorder="1" applyAlignment="1">
      <alignment horizontal="center" vertical="center" wrapText="1"/>
    </xf>
    <xf numFmtId="176" fontId="164" fillId="0" borderId="1" xfId="1" applyNumberFormat="1" applyFont="1" applyBorder="1" applyAlignment="1">
      <alignment horizontal="center" vertical="center" wrapText="1"/>
    </xf>
    <xf numFmtId="0" fontId="95" fillId="0" borderId="0" xfId="1">
      <alignment vertical="center"/>
    </xf>
    <xf numFmtId="0" fontId="95" fillId="0" borderId="1" xfId="19" applyBorder="1"/>
    <xf numFmtId="2" fontId="95" fillId="0" borderId="0" xfId="1" applyNumberFormat="1">
      <alignment vertical="center"/>
    </xf>
    <xf numFmtId="179" fontId="95" fillId="0" borderId="0" xfId="1" applyNumberFormat="1">
      <alignment vertical="center"/>
    </xf>
    <xf numFmtId="10" fontId="272" fillId="0" borderId="0" xfId="1" applyNumberFormat="1" applyFont="1">
      <alignment vertical="center"/>
    </xf>
    <xf numFmtId="10" fontId="95" fillId="0" borderId="0" xfId="1" applyNumberFormat="1">
      <alignment vertical="center"/>
    </xf>
    <xf numFmtId="0" fontId="272" fillId="0" borderId="0" xfId="1" applyFont="1" applyAlignment="1">
      <alignment vertical="center" wrapText="1"/>
    </xf>
    <xf numFmtId="0" fontId="95" fillId="0" borderId="0" xfId="19"/>
    <xf numFmtId="9" fontId="95" fillId="0" borderId="0" xfId="1" applyNumberFormat="1">
      <alignment vertical="center"/>
    </xf>
    <xf numFmtId="0" fontId="95" fillId="0" borderId="0" xfId="0" applyFont="1" applyAlignment="1">
      <alignment horizontal="center" vertical="center"/>
    </xf>
    <xf numFmtId="0" fontId="95" fillId="0" borderId="0" xfId="0" applyFont="1">
      <alignment vertical="center"/>
    </xf>
    <xf numFmtId="0" fontId="0" fillId="0" borderId="0" xfId="0" applyAlignment="1">
      <alignment horizontal="center" vertical="center"/>
    </xf>
    <xf numFmtId="0" fontId="275" fillId="0" borderId="0" xfId="22">
      <alignment vertical="center"/>
    </xf>
    <xf numFmtId="0" fontId="95" fillId="5" borderId="0" xfId="0" applyFont="1" applyFill="1" applyAlignment="1">
      <alignment horizontal="center" vertical="center"/>
    </xf>
    <xf numFmtId="0" fontId="0" fillId="5" borderId="0" xfId="0" applyFill="1" applyAlignment="1">
      <alignment horizontal="center" vertical="center"/>
    </xf>
    <xf numFmtId="14" fontId="44" fillId="0" borderId="70" xfId="0" applyNumberFormat="1" applyFont="1" applyFill="1" applyBorder="1" applyAlignment="1" applyProtection="1">
      <alignment horizontal="center" vertical="center" wrapText="1"/>
      <protection locked="0"/>
    </xf>
    <xf numFmtId="14" fontId="44" fillId="0" borderId="2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95" fillId="0" borderId="0" xfId="0" applyFont="1" applyFill="1" applyAlignment="1">
      <alignment horizontal="center" vertical="center"/>
    </xf>
    <xf numFmtId="0" fontId="0" fillId="0" borderId="0" xfId="0" applyFill="1" applyAlignment="1">
      <alignment horizontal="center" vertical="center"/>
    </xf>
    <xf numFmtId="0" fontId="128" fillId="0" borderId="41" xfId="0" applyNumberFormat="1" applyFont="1" applyFill="1" applyBorder="1" applyAlignment="1" applyProtection="1">
      <alignment horizontal="center" vertical="center" wrapText="1"/>
      <protection locked="0"/>
    </xf>
    <xf numFmtId="0" fontId="94" fillId="0" borderId="38"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0" fillId="0" borderId="0" xfId="0"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2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3">
    <cellStyle name="百分比" xfId="17" builtinId="5"/>
    <cellStyle name="百分比 2" xfId="14"/>
    <cellStyle name="常规" xfId="0" builtinId="0"/>
    <cellStyle name="常规 10" xfId="21"/>
    <cellStyle name="常规 11" xfId="18"/>
    <cellStyle name="常规 16" xfId="10"/>
    <cellStyle name="常规 2" xfId="1"/>
    <cellStyle name="常规 2 2" xfId="8"/>
    <cellStyle name="常规 2 2 2 2 3" xfId="15"/>
    <cellStyle name="常规 3" xfId="2"/>
    <cellStyle name="常规 3 2" xfId="3"/>
    <cellStyle name="常规 4" xfId="4"/>
    <cellStyle name="常规 4 2" xfId="19"/>
    <cellStyle name="常规 5" xfId="5"/>
    <cellStyle name="常规 6" xfId="6"/>
    <cellStyle name="常规 6 2" xfId="9"/>
    <cellStyle name="常规 6 2 2" xfId="16"/>
    <cellStyle name="常规 6 2 3" xfId="13"/>
    <cellStyle name="常规 7" xfId="7"/>
    <cellStyle name="常规 8" xfId="11"/>
    <cellStyle name="常规 9" xfId="12"/>
    <cellStyle name="超链接" xfId="22" builtinId="8"/>
    <cellStyle name="千位分隔 2" xfId="2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8</xdr:col>
      <xdr:colOff>10571</xdr:colOff>
      <xdr:row>25</xdr:row>
      <xdr:rowOff>99060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280160"/>
          <a:ext cx="5870351" cy="3390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6</xdr:col>
      <xdr:colOff>293621</xdr:colOff>
      <xdr:row>11</xdr:row>
      <xdr:rowOff>148320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3951220" cy="2160000"/>
        </a:xfrm>
        <a:prstGeom prst="rect">
          <a:avLst/>
        </a:prstGeom>
      </xdr:spPr>
    </xdr:pic>
    <xdr:clientData/>
  </xdr:twoCellAnchor>
  <xdr:twoCellAnchor editAs="oneCell">
    <xdr:from>
      <xdr:col>0</xdr:col>
      <xdr:colOff>0</xdr:colOff>
      <xdr:row>12</xdr:row>
      <xdr:rowOff>7620</xdr:rowOff>
    </xdr:from>
    <xdr:to>
      <xdr:col>14</xdr:col>
      <xdr:colOff>220464</xdr:colOff>
      <xdr:row>31</xdr:row>
      <xdr:rowOff>132900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02180"/>
          <a:ext cx="8754864" cy="3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23425;\2.&#32508;&#21512;\4.&#20854;&#20182;\2021\2021-1-0560&#38376;&#22836;&#27807;&#35199;&#23665;&#21360;&#20849;&#26377;&#20135;&#26435;\F02&#19987;&#23478;&#24847;&#35265;&#20462;&#25913;\&#38376;&#22836;&#27807;&#20849;&#26377;&#20135;&#26435;\2019&#26032;\Documents%20and%20Settings\All%20Users\Documents\pp&#22791;&#20221;\pei\&#27979;&#31639;&#34920;\&#23545;&#20844;&#20107;&#19994;&#37096;&#8212;&#30005;&#31639;&#34920;-&#25151;&#22320;&#20135;-&#21333;&#228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23425;\2.&#32508;&#21512;\4.&#20854;&#20182;\2021\2021-1-0560&#38376;&#22836;&#27807;&#35199;&#23665;&#21360;&#20849;&#26377;&#20135;&#26435;\F02&#19987;&#23478;&#24847;&#35265;&#20462;&#25913;\&#27979;&#31639;-&#20849;&#26377;&#20135;&#26435;-10.1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丽湾"/>
      <sheetName val="可比案例2比较法-惠民家园"/>
      <sheetName val="可比案例3比较法-皓月园"/>
      <sheetName val="系统读取表"/>
      <sheetName val="可比案例4"/>
      <sheetName val="建委网站及中指水平"/>
      <sheetName val="剩余年限"/>
      <sheetName val="低价格案例"/>
      <sheetName val="面积统计"/>
    </sheetNames>
    <sheetDataSet>
      <sheetData sheetId="0">
        <row r="2">
          <cell r="J2" t="str">
            <v>钢混</v>
          </cell>
          <cell r="M2" t="str">
            <v>有</v>
          </cell>
        </row>
        <row r="3">
          <cell r="J3" t="str">
            <v>混合</v>
          </cell>
          <cell r="M3" t="str">
            <v>无</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hyperlink" Target="https://bj.58.com/fangchan/84113144285021x.shtml?utm_source=market&amp;prd=x0NAXiR1wlSETnm4cICGet8RGWJZfmfIrmbhJq%2BCOeE%3D&amp;houseId=4166639824429062&amp;urlParamsMap=3053230614D404344D306BF57F032E991EE4926AE895E610298291E46A460E916D20F94F997578634BAC27F9ADA09A2A9A0CD81EE09A392F15DE89E1A91067E88DE5B6211330E738CF331ACC444FA606E7B06E448E8CD50593296859E17D4F73719B487E47196AD69A2953CBCBDD1565&amp;gpos=26&amp;positionType=promationinfo&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43" TargetMode="External"/><Relationship Id="rId2" Type="http://schemas.openxmlformats.org/officeDocument/2006/relationships/hyperlink" Target="https://bj.58.com/fangchan/84665503830491x.shtml?utm_source=market&amp;prd=x0NAXiR1wlSETnm4cICGegycuR3ddWBKTL2bRF7l4vI%3D&amp;houseId=4237341846248460&amp;urlParamsMap=3053230614D404344D306BF57F032E991EE4926AE895E610298291E46A460E916D20F94F99757863154E927CF1EE0D5A6374BE53D48460C5E44A365FD54CEC92572044C96712FC9E60BE97CD9AF43FE5AE8AB0BFEE5C8FB276DC035C06AD30B13E4AF83B85BA7CEC84FD180BE7AECA1488704F8AE26803842D8D490BDB977FFF2A8C9EC464F72CE65BB206C50AA38878F391D4C8BA65B46B30B72C4D7AD4D9C4719B487E47196AD69B04314B59FED8EE&amp;gpos=12&amp;legourl=%2F%2Flegoclick.58.com%2Fjump%3Ftarget%3DszqBpB3draOWUvYfuh78uvPCmy3frjEvPWNdnjn3n1TYrH73sMPCIAd_TyEVrjnkn1KBPWnVP1DkniYYnj0LsH--uWbVuAPhryNOryEknHPbTHNYn1DknW03P1bOn19dTEDYnWnLn1EQrjEvnWE3PjmkTHnQPjmkTHnQPHTkTHD_nHmKnikvrjDkTHDLPWDzrj93rHN3rH9KnHDKwbPxNDPxNd-DEd4-WCshBsqxHD-HR7q2yTDQTHDKTiYQTiYKnHbLP1bQrHbkPWmLPjE3n1cknEDvTgK60h7V01ndPWCzsZK60h7V01ckn1CQsAdGmyO2pHCQnWTkn7tOrHbOrHbOTHDKnhR-nhmvrjmVrjnzmzYYmyD3syFWm10VujFWnAELnHcQmHDdTHDOP10OnHbOnjmLrjndPHDYrjbKnHbLP1bQrHbkPW0dPjTOn1TdPkDKTEDKTiYKTEDKEvVLER6guY-zUvwhwDO-wbPcID7Ku1YqTHDkPB3QnWT8nHDvsWckn9DkTHTKTHD_nHmKXLYKnHTkn1EKnHTkPjTLP97bm1PBrHDQradbuH03sHEYuj9VmHDOuiYYnjnQnHTLPvEkmyNKTHTKTEDkTHD_PW9QnakLPjnzTHDKUMR_UT7BmWnkmhE3uWP-nvu6rj91&amp;referinfo=false&amp;spm=&amp;positionType=legojingxuanhouse&amp;lgtid_shangyetie=dc3b9118-de78-44d8-a19e-40311077d0ae&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28" TargetMode="External"/><Relationship Id="rId1" Type="http://schemas.openxmlformats.org/officeDocument/2006/relationships/hyperlink" Target="https://bj.58.com/fangchan/82882233359322x.shtml?utm_source=market&amp;prd=x0NAXiR1wlSETnm4cICGemM0XmbyITMWudxFT0qICO4%3D&amp;houseId=4009083225926657&amp;urlParamsMap=3053230614D404344D306BF57F032E991EE4926AE895E610298291E46A460E916D20F94F99757863154E927CF1EE0D5A6374BE53D48460C5E44A365FD54CEC92572044C96712FC9E60BE97CD9AF43FE5AE8AB0BFEE5C8FB276DC035C06AD30B13E4AF83B85BA7CEC84FD180BE7AECA1411D15C51C9C9C512B236326BAD1B364DF815D37ACC509498151AD67A364C66DEED512756F0EAC5B32CCB1CDBA8DC2750719B487E47196AD6834191D086998F7C&amp;gpos=8&amp;legourl=%2F%2Flegoclick.58.com%2Fjump%3Ftarget%3DszqBpB3draOWUvYfuh78uvPCmy3frjc3rjczn1n1PHb1nWF3sMPCIAd_TyEVrjnkn1KBPWnVP1DkniYYnj0LsH--uWbVuAPhryNOryEknHPbTHNYn1DknW03P1bOn19dTEDYnjTOnj91nWcdrHcvPWNLTHcvrHNkTHcLnjTkTHD_nHmKnikvrjDkTHDLPWDzrj93rHN3rH9KPk7AEdqEEdqHyNwjgSyr98pcfdqniRPNgYGmTHDKnEDKsHDKsEDQrH9knHb1P10zrjcvn103nWEkTHmK0A7zmyd1n1NvrWc_0A7zmyd1nWT1rWD_Uy-6UbGGrWDznjTkg1bOrHbOrHbKnEDLnhwBn1nzPBYzPWT1sHEOrjNVrHuWPzYzmHuWmh7brjK6uWDKnHb3njDOn10LnWb1PHE1rjn1PkDQrH9knHb1P10zrHTvnjmdrHcQTEDKTEDKsEDKTE7jpLIKy7IMigFfuAuDHhRAEY6YEN7M5HYKnHTvsWDzna3QnHm8nWTzTHTKnTDKnikQP97exEDQnjT1PTDQnjTYnj0vTHTzujbzP1RWsHT3rjTVPj01mzY3PH0dsyNduj7BnADOuj7brTDKnTDKTHTKnikvrjDksjDQPjNzTHDKUMR_UTDdnHFWP1RBnh7-uyE1nvNQ&amp;referinfo=false&amp;spm=&amp;positionType=legojingxuanhouse&amp;lgtid_shangyetie=02d9275c-0880-473c-8575-e5d1b0a9d1d8&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17" TargetMode="External"/><Relationship Id="rId4"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估价对象为房地产，为所有。根据《国有土地使用证》[]，估价对象（分摊）出让国有建设用地使用权面积为6666.7平方米，建筑面积为16683.08平方米。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估价对象为房地产,属开发建设的，该项目尚在开发建设中。根据《国有土地使用证》[]，估价对象（分摊）出让国有建设用地使用权面积为6666.7平方米，规划建筑面积为16683.08平方米。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2025年10月22日（评估专业人员实地查勘之日）</v>
      </c>
    </row>
    <row r="13" spans="1:2" s="1203" customFormat="1">
      <c r="A13" s="1201" t="s">
        <v>529</v>
      </c>
      <c r="B13" s="1202" t="str">
        <f>'预评函-1'!A18</f>
        <v>本次估价的“房地产价值”是指在正常市场情况下，在价值时点2025年10月22日，估价对象规划用途为，土地取得方式为划拨，假定未设立法定优先受偿款下的房地产市场价值。</v>
      </c>
    </row>
    <row r="14" spans="1:2" s="1203" customFormat="1">
      <c r="A14" s="1201" t="s">
        <v>530</v>
      </c>
      <c r="B14" s="120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本次评估采用的主估价方法为基准地价系数修正法和基准地价系数修正法。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ht="31.2">
      <c r="A42" s="1201" t="s">
        <v>590</v>
      </c>
      <c r="B42" s="1202" t="str">
        <f>'预评函-3'!B2</f>
        <v>建筑面积</v>
      </c>
    </row>
    <row r="43" spans="1:2" s="1203" customFormat="1">
      <c r="A43" s="1201" t="s">
        <v>591</v>
      </c>
      <c r="B43" s="1202">
        <f>'预评函-3'!B4</f>
        <v>16683.080000000002</v>
      </c>
    </row>
    <row r="44" spans="1:2" s="1203" customFormat="1" ht="31.2">
      <c r="A44" s="1201" t="s">
        <v>575</v>
      </c>
      <c r="B44" s="1202" t="str">
        <f>'预评函-3'!C2</f>
        <v>(分摊)土地面积</v>
      </c>
    </row>
    <row r="45" spans="1:2" s="1203" customFormat="1">
      <c r="A45" s="1201" t="s">
        <v>547</v>
      </c>
      <c r="B45" s="1202">
        <f>'预评函-3'!C4</f>
        <v>6666.7</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8" width="15.109375" style="1551" customWidth="1"/>
    <col min="29" max="16384" width="9" style="1507"/>
  </cols>
  <sheetData>
    <row r="1" spans="1:28" s="1545" customFormat="1" ht="43.2">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3402</v>
      </c>
      <c r="AA1" s="1542" t="s">
        <v>3401</v>
      </c>
      <c r="AB1" s="1542" t="s">
        <v>3</v>
      </c>
    </row>
    <row r="2" spans="1:28">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3408</v>
      </c>
      <c r="Z2" s="1551" t="s">
        <v>2452</v>
      </c>
      <c r="AA2" s="1551" t="s">
        <v>3409</v>
      </c>
      <c r="AB2" s="1551" t="s">
        <v>2479</v>
      </c>
    </row>
    <row r="3" spans="1:28">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3410</v>
      </c>
    </row>
    <row r="6" spans="1:28">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3339</v>
      </c>
      <c r="X7" s="1551" t="s">
        <v>2449</v>
      </c>
      <c r="Z7" s="1551" t="s">
        <v>2462</v>
      </c>
      <c r="AB7" s="1551" t="s">
        <v>2488</v>
      </c>
    </row>
    <row r="8" spans="1:28">
      <c r="A8" s="1546" t="s">
        <v>1026</v>
      </c>
      <c r="B8" s="1546" t="s">
        <v>1027</v>
      </c>
      <c r="C8" s="1547" t="s">
        <v>319</v>
      </c>
      <c r="F8" s="1548" t="s">
        <v>1028</v>
      </c>
      <c r="H8" s="1548" t="s">
        <v>2577</v>
      </c>
      <c r="I8" s="1548" t="s">
        <v>3340</v>
      </c>
      <c r="X8" s="1551" t="s">
        <v>3411</v>
      </c>
      <c r="Z8" s="1551" t="s">
        <v>2464</v>
      </c>
      <c r="AB8" s="1551" t="s">
        <v>2490</v>
      </c>
    </row>
    <row r="9" spans="1:28">
      <c r="A9" s="1546" t="s">
        <v>1029</v>
      </c>
      <c r="B9" s="1546" t="s">
        <v>1030</v>
      </c>
      <c r="C9" s="1547" t="s">
        <v>320</v>
      </c>
      <c r="F9" s="1548" t="s">
        <v>1031</v>
      </c>
      <c r="H9" s="1548"/>
      <c r="I9" s="1551" t="s">
        <v>3341</v>
      </c>
      <c r="X9" s="1551" t="s">
        <v>3412</v>
      </c>
      <c r="Z9" s="1551" t="s">
        <v>2466</v>
      </c>
      <c r="AB9" s="1551" t="s">
        <v>2492</v>
      </c>
    </row>
    <row r="10" spans="1:28">
      <c r="A10" s="1546" t="s">
        <v>1032</v>
      </c>
      <c r="B10" s="1546" t="s">
        <v>1033</v>
      </c>
      <c r="C10" s="1547" t="s">
        <v>321</v>
      </c>
      <c r="F10" s="1548" t="s">
        <v>2578</v>
      </c>
      <c r="I10" s="1551" t="s">
        <v>3342</v>
      </c>
      <c r="Z10" s="1551" t="s">
        <v>2468</v>
      </c>
      <c r="AB10" s="1551" t="s">
        <v>2494</v>
      </c>
    </row>
    <row r="11" spans="1:28">
      <c r="A11" s="1546" t="s">
        <v>1034</v>
      </c>
      <c r="B11" s="1546" t="s">
        <v>1035</v>
      </c>
      <c r="C11" s="1547" t="s">
        <v>322</v>
      </c>
      <c r="F11" s="1548" t="s">
        <v>13</v>
      </c>
      <c r="I11" s="1551" t="s">
        <v>3343</v>
      </c>
      <c r="Z11" s="1551" t="s">
        <v>2470</v>
      </c>
      <c r="AB11" s="1551" t="s">
        <v>2496</v>
      </c>
    </row>
    <row r="12" spans="1:28">
      <c r="A12" s="1546" t="s">
        <v>1036</v>
      </c>
      <c r="B12" s="1546" t="s">
        <v>1037</v>
      </c>
      <c r="C12" s="1547" t="s">
        <v>323</v>
      </c>
      <c r="I12" s="1551" t="s">
        <v>3344</v>
      </c>
      <c r="Z12" s="1551" t="s">
        <v>2472</v>
      </c>
      <c r="AB12" s="1551" t="s">
        <v>2498</v>
      </c>
    </row>
    <row r="13" spans="1:28">
      <c r="A13" s="1546" t="s">
        <v>1038</v>
      </c>
      <c r="B13" s="1546" t="s">
        <v>1039</v>
      </c>
      <c r="C13" s="1547" t="s">
        <v>324</v>
      </c>
      <c r="I13" s="1551" t="s">
        <v>3345</v>
      </c>
      <c r="Z13" s="1551" t="s">
        <v>2474</v>
      </c>
    </row>
    <row r="14" spans="1:28">
      <c r="A14" s="1546" t="s">
        <v>1040</v>
      </c>
      <c r="B14" s="1546" t="s">
        <v>1041</v>
      </c>
      <c r="C14" s="1548" t="s">
        <v>13</v>
      </c>
      <c r="I14" s="1551" t="s">
        <v>3346</v>
      </c>
      <c r="Z14" s="1551" t="s">
        <v>2476</v>
      </c>
    </row>
    <row r="15" spans="1:28">
      <c r="A15" s="1546" t="s">
        <v>1042</v>
      </c>
      <c r="B15" s="1546" t="s">
        <v>1043</v>
      </c>
      <c r="C15" s="1547"/>
      <c r="I15" s="1551" t="s">
        <v>3347</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5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0"/>
      <c r="B54" s="1554" t="s">
        <v>385</v>
      </c>
      <c r="C54" s="1551" t="s">
        <v>583</v>
      </c>
    </row>
    <row r="55" spans="1:4">
      <c r="A55" s="3550"/>
      <c r="B55" s="1554" t="s">
        <v>386</v>
      </c>
      <c r="C55" s="1551" t="s">
        <v>584</v>
      </c>
    </row>
    <row r="56" spans="1:4">
      <c r="A56" s="3550"/>
      <c r="B56" s="1554" t="s">
        <v>387</v>
      </c>
      <c r="C56" s="1551" t="s">
        <v>588</v>
      </c>
    </row>
    <row r="57" spans="1:4">
      <c r="A57" s="355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51" t="s">
        <v>2580</v>
      </c>
      <c r="J2" s="3551"/>
      <c r="K2" s="3551"/>
      <c r="L2" s="3551"/>
      <c r="M2" s="3551"/>
      <c r="N2" s="3551"/>
      <c r="O2" s="3551"/>
      <c r="P2" s="3551"/>
      <c r="Q2" s="3551"/>
      <c r="R2" s="3551"/>
    </row>
    <row r="3" spans="1:18">
      <c r="A3" s="3020" t="s">
        <v>2501</v>
      </c>
      <c r="B3" s="3021">
        <f>项目基本情况!D3</f>
        <v>45952</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1.1499999999999999</v>
      </c>
      <c r="D5" s="3025">
        <f>IF(ISERROR(ROUND(POWER(1+E5,A5-C5)*(POWER(1+E5,C5)-1)/(POWER(1+E5,A5)-1),3)),0,ROUND(POWER(1+E5,A5-C5)*(POWER(1+E5,C5)-1)/(POWER(1+E5,A5)-1),4))</f>
        <v>5.57E-2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11.16</v>
      </c>
      <c r="D6" s="3025">
        <f>IF(ISERROR(ROUND(POWER(1+E6,A6-C6)*(POWER(1+E6,C6)-1)/(POWER(1+E6,A6)-1),3)),0,ROUND(POWER(1+E6,A6-C6)*(POWER(1+E6,C6)-1)/(POWER(1+E6,A6)-1),4))</f>
        <v>0.41249999999999998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31.18</v>
      </c>
      <c r="D7" s="3025">
        <f>IF(ISERROR(ROUND(POWER(1+E7,A7-C7)*(POWER(1+E7,C7)-1)/(POWER(1+E7,A7)-1),3)),0,ROUND(POWER(1+E7,A7-C7)*(POWER(1+E7,C7)-1)/(POWER(1+E7,A7)-1),4))</f>
        <v>0.754</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3384</v>
      </c>
    </row>
    <row r="50" spans="1:4">
      <c r="A50" s="3449" t="s">
        <v>3385</v>
      </c>
      <c r="B50" s="3449" t="s">
        <v>3386</v>
      </c>
      <c r="C50" s="3449" t="s">
        <v>3387</v>
      </c>
      <c r="D50" s="3449" t="s">
        <v>3388</v>
      </c>
    </row>
    <row r="51" spans="1:4">
      <c r="A51" s="3449" t="s">
        <v>3389</v>
      </c>
      <c r="B51" s="3022">
        <f>B52+B53</f>
        <v>15000</v>
      </c>
      <c r="C51" s="3450">
        <f>D51/B51</f>
        <v>2666.6666666666665</v>
      </c>
      <c r="D51" s="3022">
        <f>D52+D53</f>
        <v>40000000</v>
      </c>
    </row>
    <row r="52" spans="1:4">
      <c r="A52" s="3451" t="s">
        <v>3390</v>
      </c>
      <c r="B52" s="3452">
        <v>10000</v>
      </c>
      <c r="C52" s="3452">
        <v>1500</v>
      </c>
      <c r="D52" s="3453">
        <f>C52*B52</f>
        <v>15000000</v>
      </c>
    </row>
    <row r="53" spans="1:4">
      <c r="A53" s="3451" t="s">
        <v>3391</v>
      </c>
      <c r="B53" s="3452">
        <v>5000</v>
      </c>
      <c r="C53" s="3452">
        <v>5000</v>
      </c>
      <c r="D53" s="3453">
        <f>C53*B53</f>
        <v>25000000</v>
      </c>
    </row>
    <row r="54" spans="1:4">
      <c r="A54" s="3449" t="s">
        <v>3392</v>
      </c>
      <c r="B54" s="3022">
        <f>B51</f>
        <v>15000</v>
      </c>
      <c r="C54" s="3029">
        <v>700</v>
      </c>
      <c r="D54" s="3022">
        <f t="shared" ref="D54:D55" si="5">C54*B54</f>
        <v>10500000</v>
      </c>
    </row>
    <row r="55" spans="1:4">
      <c r="A55" s="3449" t="s">
        <v>3393</v>
      </c>
      <c r="B55" s="3022">
        <f>B51</f>
        <v>15000</v>
      </c>
      <c r="C55" s="3029">
        <v>1500</v>
      </c>
      <c r="D55" s="3022">
        <f t="shared" si="5"/>
        <v>22500000</v>
      </c>
    </row>
    <row r="56" spans="1:4">
      <c r="A56" s="3449" t="s">
        <v>3394</v>
      </c>
      <c r="B56" s="3022">
        <f>B51</f>
        <v>15000</v>
      </c>
      <c r="C56" s="3454">
        <f>C51+C54+C55</f>
        <v>4866.6666666666661</v>
      </c>
      <c r="D56" s="3022">
        <f>D51+D54+D55</f>
        <v>73000000</v>
      </c>
    </row>
    <row r="58" spans="1:4">
      <c r="A58" s="3449" t="s">
        <v>3395</v>
      </c>
      <c r="B58" s="3455">
        <v>0.05</v>
      </c>
      <c r="C58" s="3022">
        <f>C56*(1+B58)</f>
        <v>5110</v>
      </c>
      <c r="D58" s="3022">
        <f>D56*B58</f>
        <v>3650000</v>
      </c>
    </row>
    <row r="60" spans="1:4">
      <c r="A60" s="3449" t="s">
        <v>3396</v>
      </c>
      <c r="B60" s="3029">
        <v>3500</v>
      </c>
      <c r="C60" s="3029">
        <f>C53</f>
        <v>5000</v>
      </c>
      <c r="D60" s="3022">
        <f>C60*B60</f>
        <v>17500000</v>
      </c>
    </row>
    <row r="62" spans="1:4">
      <c r="A62" s="3449" t="s">
        <v>3397</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9" sqref="L19"/>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52" t="str">
        <f>IF(B10="北京市","北京市",C10)&amp;F10&amp;IF(结果表!G1="在建","出让国有建设用地使用权及在建建筑物",IF(结果表!G1="土地","出让国有建设用地使用权",))&amp;B9&amp;"预评估"</f>
        <v>预评估</v>
      </c>
      <c r="C1" s="3553"/>
      <c r="D1" s="3553"/>
      <c r="E1" s="3553"/>
      <c r="F1" s="3553"/>
      <c r="G1" s="3553"/>
      <c r="H1" s="3553"/>
      <c r="I1" s="355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f>D3</f>
        <v>45952</v>
      </c>
      <c r="C3" s="2374" t="s">
        <v>2171</v>
      </c>
      <c r="D3" s="2373">
        <v>45952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55" t="s">
        <v>2177</v>
      </c>
      <c r="E8" s="2391"/>
      <c r="F8" s="2392"/>
      <c r="G8" s="2663"/>
      <c r="H8" s="2663"/>
      <c r="I8" s="2663"/>
      <c r="J8" s="2439"/>
      <c r="K8" s="2614"/>
      <c r="L8" s="2613"/>
      <c r="M8" s="2613"/>
      <c r="N8" s="2439"/>
      <c r="O8" s="2450"/>
      <c r="P8" s="2439"/>
      <c r="Q8" s="2439"/>
      <c r="R8" s="2439"/>
    </row>
    <row r="9" spans="1:30" ht="13.8" thickBot="1">
      <c r="A9" s="2393" t="s">
        <v>2178</v>
      </c>
      <c r="B9" s="2394"/>
      <c r="C9" s="2395"/>
      <c r="D9" s="3556"/>
      <c r="E9" s="2394"/>
      <c r="F9" s="2396"/>
      <c r="G9" s="2665"/>
      <c r="H9" s="2665"/>
      <c r="I9" s="2665"/>
      <c r="J9" s="2439"/>
      <c r="K9" s="2616"/>
      <c r="L9" s="2613"/>
      <c r="M9" s="2613"/>
      <c r="N9" s="2439"/>
      <c r="O9" s="2450"/>
      <c r="P9" s="2439"/>
      <c r="Q9" s="2439"/>
      <c r="R9" s="2439"/>
    </row>
    <row r="10" spans="1:30" ht="13.8"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3416</v>
      </c>
      <c r="B13" s="2407" t="s">
        <v>2190</v>
      </c>
      <c r="C13" s="856"/>
      <c r="D13" s="856"/>
      <c r="E13" s="856"/>
      <c r="F13" s="856"/>
      <c r="G13" s="856">
        <v>64194</v>
      </c>
      <c r="H13" s="856"/>
      <c r="I13" s="856"/>
      <c r="J13" s="3062"/>
      <c r="K13" s="2613"/>
      <c r="L13" s="2613"/>
      <c r="M13" s="2439"/>
      <c r="N13" s="2450"/>
      <c r="O13" s="2439"/>
      <c r="P13" s="2439"/>
      <c r="Q13" s="2439"/>
      <c r="AD13" s="1745"/>
    </row>
    <row r="14" spans="1:30">
      <c r="A14" s="1081"/>
      <c r="B14" s="2407" t="s">
        <v>2191</v>
      </c>
      <c r="C14" s="2408"/>
      <c r="D14" s="2408"/>
      <c r="E14" s="2408"/>
      <c r="F14" s="2408"/>
      <c r="G14" s="2408">
        <v>50</v>
      </c>
      <c r="H14" s="2408">
        <v>50</v>
      </c>
      <c r="I14" s="2408"/>
      <c r="J14" s="3063"/>
      <c r="K14" s="2613"/>
      <c r="L14" s="2613"/>
      <c r="M14" s="2439"/>
      <c r="N14" s="2450"/>
      <c r="O14" s="2439"/>
      <c r="P14" s="2439"/>
      <c r="Q14" s="2439"/>
      <c r="AD14" s="1745"/>
    </row>
    <row r="15" spans="1:30">
      <c r="A15" s="320"/>
      <c r="B15" s="2409" t="s">
        <v>2192</v>
      </c>
      <c r="C15" s="2410">
        <f>IF(A13="出让",IF(C13="","",ROUNDDOWN(MIN((C13-$D$3)/365,C14),2)),C14)</f>
        <v>0</v>
      </c>
      <c r="D15" s="2410">
        <f>IF(A13="出让",IF(D13="","",ROUNDDOWN(MIN((D13-$D$3)/365,D14),2)),D14)</f>
        <v>0</v>
      </c>
      <c r="E15" s="2410">
        <f>IF(A13="出让",IF(E13="","",ROUNDDOWN(MIN((E13-$D$3)/365,E14),2)),E14)</f>
        <v>0</v>
      </c>
      <c r="F15" s="2410">
        <f>IF(A13="出让",IF(F13="","",ROUNDDOWN(MIN((F13-$D$3)/365,F14),2)),F14)</f>
        <v>0</v>
      </c>
      <c r="G15" s="2410">
        <f>IF(A13="出让",IF(G13="","",ROUNDDOWN(MIN((G13-$D$3)/365,G14),2)),G14)</f>
        <v>50</v>
      </c>
      <c r="H15" s="2410">
        <f>IF(A13="出让",IF(H13="","",ROUNDDOWN(MIN((H13-$D$3)/365,H14),2)),H14)</f>
        <v>50</v>
      </c>
      <c r="I15" s="2410">
        <f>IF(A13="出让",IF(I13="","",ROUNDDOWN(MIN((I13-$D$3)/365,I14),2)),I14)</f>
        <v>0</v>
      </c>
      <c r="J15" s="3064"/>
      <c r="K15" s="2451"/>
      <c r="L15" s="2451"/>
      <c r="M15" s="2509"/>
      <c r="N15" s="2451"/>
      <c r="O15" s="2509"/>
      <c r="P15" s="2439"/>
      <c r="Q15" s="2439"/>
      <c r="AD15" s="1745"/>
    </row>
    <row r="16" spans="1:30">
      <c r="A16" s="2400" t="s">
        <v>2193</v>
      </c>
      <c r="B16" s="3562"/>
      <c r="C16" s="3563"/>
      <c r="D16" s="3564"/>
      <c r="E16" s="2413" t="s">
        <v>2194</v>
      </c>
      <c r="F16" s="3565"/>
      <c r="G16" s="3566"/>
      <c r="H16" s="3566"/>
      <c r="I16" s="3567"/>
      <c r="J16" s="2439"/>
      <c r="K16" s="2617"/>
      <c r="L16" s="2451"/>
      <c r="M16" s="2451"/>
      <c r="N16" s="2509"/>
      <c r="O16" s="2451"/>
      <c r="P16" s="2509"/>
      <c r="Q16" s="2439"/>
      <c r="R16" s="2439"/>
    </row>
    <row r="17" spans="1:28">
      <c r="A17" s="313" t="s">
        <v>2195</v>
      </c>
      <c r="B17" s="302" t="s">
        <v>2196</v>
      </c>
      <c r="C17" s="8">
        <f>'数据-汇总表'!E3</f>
        <v>16683.080000000002</v>
      </c>
      <c r="D17" s="2322" t="s">
        <v>2197</v>
      </c>
      <c r="E17" s="3568" t="s">
        <v>2198</v>
      </c>
      <c r="F17" s="3569"/>
      <c r="G17" s="3569"/>
      <c r="H17" s="3569"/>
      <c r="I17" s="3570"/>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6666.7</v>
      </c>
      <c r="D18" s="1092" t="s">
        <v>2201</v>
      </c>
      <c r="E18" s="3571" t="s">
        <v>2202</v>
      </c>
      <c r="F18" s="3572"/>
      <c r="G18" s="3572"/>
      <c r="H18" s="3572"/>
      <c r="I18" s="3573"/>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58" t="s">
        <v>2206</v>
      </c>
      <c r="C20" s="3559"/>
      <c r="D20" s="3560" t="s">
        <v>2207</v>
      </c>
      <c r="E20" s="3561"/>
      <c r="F20" s="2647" t="s">
        <v>1056</v>
      </c>
      <c r="G20" s="2664"/>
      <c r="H20" s="2664"/>
      <c r="I20" s="2664"/>
      <c r="J20" s="2439"/>
      <c r="K20" s="355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5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5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7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7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7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76"/>
      <c r="B30" s="302" t="s">
        <v>2218</v>
      </c>
      <c r="C30" s="3577"/>
      <c r="D30" s="3578"/>
      <c r="E30" s="2664"/>
      <c r="F30" s="2664"/>
      <c r="G30" s="2664"/>
      <c r="H30" s="2664"/>
      <c r="I30" s="2664"/>
      <c r="J30" s="2439"/>
      <c r="K30" s="2616"/>
      <c r="L30" s="2613"/>
      <c r="M30" s="2613"/>
      <c r="N30" s="2439"/>
      <c r="O30" s="2450"/>
      <c r="P30" s="2439"/>
      <c r="Q30" s="2439"/>
      <c r="R30" s="2439"/>
      <c r="S30" s="2439"/>
      <c r="T30" s="2439"/>
      <c r="U30" s="2439"/>
      <c r="V30" s="2439"/>
    </row>
    <row r="31" spans="1:28">
      <c r="A31" s="357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8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8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74" t="s">
        <v>2228</v>
      </c>
      <c r="T34" s="2428" t="str">
        <f>NUMBERSTRING(7-K34,1)&amp;"通"</f>
        <v>七通</v>
      </c>
      <c r="U34" s="2439"/>
      <c r="V34" s="2439"/>
    </row>
    <row r="35" spans="1:30">
      <c r="A35" s="2429"/>
      <c r="B35" s="3581" t="s">
        <v>2229</v>
      </c>
      <c r="C35" s="3581"/>
      <c r="D35" s="3581"/>
      <c r="E35" s="358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304</v>
      </c>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t="s">
        <v>264</v>
      </c>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v>6666.7</v>
      </c>
      <c r="B3" s="11">
        <f>IF(C3="否",G5-AT5,G5)</f>
        <v>16683.080000000002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16683.080000000002</v>
      </c>
      <c r="H5" s="13">
        <f t="shared" ref="H5:AT5" si="0">SUM(H13:H656)</f>
        <v>16683.080000000002</v>
      </c>
      <c r="I5" s="13">
        <f t="shared" si="0"/>
        <v>16683.080000000002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16683.080000000002</v>
      </c>
      <c r="BA5" s="15">
        <f t="shared" si="1"/>
        <v>16683.080000000002</v>
      </c>
      <c r="BB5" s="15">
        <f t="shared" si="1"/>
        <v>16683.080000000002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6666.7</v>
      </c>
      <c r="F6" s="13" t="s">
        <v>0</v>
      </c>
      <c r="G6" s="13" t="s">
        <v>1</v>
      </c>
      <c r="H6" s="17">
        <f>SUMIF(I$12:AB$12,"总值",I6:AB6)</f>
        <v>6666.7</v>
      </c>
      <c r="I6" s="13">
        <f t="shared" ref="I6:AB6" si="2">ROUND($A$3*I5/$B$3,2)</f>
        <v>6666.7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6666.7</v>
      </c>
      <c r="AZ6" s="13" t="s">
        <v>2</v>
      </c>
      <c r="BA6" s="13">
        <f>ROUND($AY$6*BA5/$AZ$5,2)</f>
        <v>6666.7</v>
      </c>
      <c r="BB6" s="13">
        <f>ROUND($AY$6*BB5/$AZ$5,2)</f>
        <v>6666.7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3417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3331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仓储</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3418</v>
      </c>
      <c r="E13" s="13">
        <f>IF($C$3="是",ROUND($A$3*G13/$B$3,2),ROUND($A$3*(G13-AT13)/$B$3,2))</f>
        <v>6666.7</v>
      </c>
      <c r="F13" s="29"/>
      <c r="G13" s="30">
        <f>H13+AC13+AT13</f>
        <v>16683.080000000002</v>
      </c>
      <c r="H13" s="17">
        <f>SUMIF(I$12:AB$12,"总值",I13:AB13)</f>
        <v>16683.080000000002</v>
      </c>
      <c r="I13" s="1626">
        <v>16683.080000000002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6666.7</v>
      </c>
      <c r="AZ13" s="13">
        <f>BA13+BL13</f>
        <v>16683.080000000002</v>
      </c>
      <c r="BA13" s="13">
        <f>SUM(BB13:BK13)</f>
        <v>16683.080000000002</v>
      </c>
      <c r="BB13" s="13">
        <f>IF($D13="是",I13-J13,0)</f>
        <v>16683.080000000002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91" t="s">
        <v>1131</v>
      </c>
      <c r="B2" s="3591"/>
      <c r="C2" s="3591"/>
      <c r="D2" s="796" t="s">
        <v>1107</v>
      </c>
      <c r="E2" s="1639" t="s">
        <v>1108</v>
      </c>
      <c r="F2" s="2659"/>
      <c r="G2" s="2650"/>
      <c r="H2" s="2651"/>
      <c r="I2" s="2325" t="s">
        <v>1132</v>
      </c>
      <c r="J2" s="2659"/>
      <c r="K2" s="2659"/>
      <c r="L2" s="2659"/>
      <c r="M2" s="2659"/>
      <c r="N2" s="2661"/>
      <c r="O2" s="2659"/>
      <c r="P2" s="2659"/>
    </row>
    <row r="3" spans="1:16" ht="15" thickBot="1">
      <c r="A3" s="3592" t="s">
        <v>1105</v>
      </c>
      <c r="B3" s="3592"/>
      <c r="C3" s="3592"/>
      <c r="D3" s="43">
        <f>'数据-基础表'!AY6</f>
        <v>6666.7</v>
      </c>
      <c r="E3" s="43">
        <f>'数据-基础表'!AZ5</f>
        <v>16683.080000000002</v>
      </c>
      <c r="F3" s="2659"/>
      <c r="G3" s="1145"/>
      <c r="H3" s="1026" t="s">
        <v>1106</v>
      </c>
      <c r="I3" s="855">
        <f>ROUND('数据-基础表'!B3/'数据-基础表'!A3,2)</f>
        <v>2.5</v>
      </c>
      <c r="J3" s="2659"/>
      <c r="K3" s="2659"/>
      <c r="L3" s="2659"/>
      <c r="M3" s="2659"/>
      <c r="N3" s="2661"/>
      <c r="O3" s="2659"/>
      <c r="P3" s="2659"/>
    </row>
    <row r="4" spans="1:16" ht="14.4">
      <c r="A4" s="3593"/>
      <c r="B4" s="3594"/>
      <c r="C4" s="3595"/>
      <c r="D4" s="1641" t="s">
        <v>1107</v>
      </c>
      <c r="E4" s="1642" t="s">
        <v>1108</v>
      </c>
      <c r="F4" s="2659"/>
      <c r="G4" s="2652" t="s">
        <v>1133</v>
      </c>
      <c r="H4" s="1026" t="s">
        <v>1113</v>
      </c>
      <c r="I4" s="855">
        <f>ROUND(SUMIF('数据-基础表'!I9:AS9,"地上",'数据-基础表'!I5:AS5)/'数据-基础表'!A3,2)</f>
        <v>2.5</v>
      </c>
      <c r="J4" s="2659"/>
      <c r="K4" s="2659"/>
      <c r="L4" s="2659"/>
      <c r="M4" s="2659"/>
      <c r="N4" s="2661"/>
      <c r="O4" s="2659"/>
      <c r="P4" s="2659"/>
    </row>
    <row r="5" spans="1:16" ht="14.4">
      <c r="A5" s="44" t="s">
        <v>1109</v>
      </c>
      <c r="B5" s="3596" t="s">
        <v>1110</v>
      </c>
      <c r="C5" s="3596"/>
      <c r="D5" s="45">
        <f>ROUND($D$3*E5/$E$3,2)</f>
        <v>0</v>
      </c>
      <c r="E5" s="46">
        <f>SUMIF('数据-基础表'!$11:$11,"住宅",'数据-基础表'!$5:$5)</f>
        <v>0</v>
      </c>
      <c r="F5" s="2659"/>
      <c r="G5" s="1145"/>
      <c r="H5" s="1026" t="s">
        <v>1106</v>
      </c>
      <c r="I5" s="855">
        <f>ROUND(E31/D31,2)</f>
        <v>2.5</v>
      </c>
      <c r="J5" s="2659"/>
      <c r="K5" s="2659"/>
      <c r="L5" s="2659"/>
      <c r="M5" s="2659"/>
      <c r="N5" s="2659"/>
      <c r="O5" s="2659"/>
      <c r="P5" s="2659"/>
    </row>
    <row r="6" spans="1:16" ht="15" thickBot="1">
      <c r="A6" s="1644"/>
      <c r="B6" s="3596" t="s">
        <v>1111</v>
      </c>
      <c r="C6" s="3596"/>
      <c r="D6" s="45">
        <f>ROUND($D$3*E6/$E$3,2)</f>
        <v>6666.7</v>
      </c>
      <c r="E6" s="46">
        <f>E3-E5</f>
        <v>16683.080000000002</v>
      </c>
      <c r="F6" s="2659"/>
      <c r="G6" s="2653" t="s">
        <v>1112</v>
      </c>
      <c r="H6" s="1146" t="s">
        <v>1113</v>
      </c>
      <c r="I6" s="2654">
        <f>ROUND(F31/D31,2)</f>
        <v>2.5</v>
      </c>
      <c r="J6" s="2659"/>
      <c r="K6" s="2659"/>
      <c r="L6" s="2659"/>
      <c r="M6" s="2659"/>
      <c r="N6" s="2659"/>
      <c r="O6" s="2659"/>
      <c r="P6" s="2659"/>
    </row>
    <row r="7" spans="1:16" ht="15" thickBot="1">
      <c r="A7" s="3588"/>
      <c r="B7" s="3589"/>
      <c r="C7" s="3590"/>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6666.7</v>
      </c>
      <c r="E8" s="48">
        <f>SUMIF('数据-基础表'!BB10:BK10,"地上",'数据-基础表'!BB5:BK5)</f>
        <v>16683.080000000002</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6666.7</v>
      </c>
      <c r="E16" s="50">
        <f>SUM(E8:E15)</f>
        <v>16683.080000000002</v>
      </c>
      <c r="F16" s="2659"/>
      <c r="G16" s="2660"/>
      <c r="H16" s="1648" t="s">
        <v>1135</v>
      </c>
      <c r="I16" s="1649"/>
      <c r="J16" s="1139"/>
      <c r="K16" s="3585" t="s">
        <v>1135</v>
      </c>
      <c r="L16" s="3586"/>
      <c r="M16" s="3586"/>
      <c r="N16" s="3586"/>
      <c r="O16" s="3586"/>
      <c r="P16" s="3587"/>
    </row>
    <row r="17" spans="1:19" ht="14.4">
      <c r="A17" s="1650" t="s">
        <v>1136</v>
      </c>
      <c r="B17" s="1651" t="s">
        <v>1137</v>
      </c>
      <c r="C17" s="1652" t="s">
        <v>1138</v>
      </c>
      <c r="D17" s="1653" t="s">
        <v>1126</v>
      </c>
      <c r="E17" s="1654" t="s">
        <v>1127</v>
      </c>
      <c r="F17" s="1655"/>
      <c r="G17" s="1656"/>
      <c r="H17" s="1657" t="s">
        <v>1139</v>
      </c>
      <c r="I17" s="1658" t="s">
        <v>1124</v>
      </c>
      <c r="J17" s="1139"/>
      <c r="K17" s="3582" t="s">
        <v>1140</v>
      </c>
      <c r="L17" s="3583"/>
      <c r="M17" s="3584"/>
      <c r="N17" s="3582" t="s">
        <v>1141</v>
      </c>
      <c r="O17" s="3583"/>
      <c r="P17" s="3584"/>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3434</v>
      </c>
      <c r="D19" s="45">
        <f>ROUND($D$3*E19/$E$3,2)</f>
        <v>6666.7</v>
      </c>
      <c r="E19" s="53">
        <f t="shared" ref="E19:E26" si="1">SUM(F19:G19)</f>
        <v>16683.080000000002</v>
      </c>
      <c r="F19" s="2795">
        <f>'数据-基础表'!I13</f>
        <v>16683.080000000002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6666.7</v>
      </c>
      <c r="S19" s="1027">
        <f t="shared" si="5"/>
        <v>16683.080000000002</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6666.7</v>
      </c>
      <c r="E27" s="1141">
        <f>IF(SUM(E19:E26)='数据-基础表'!BA5,SUM(E19:E26),IF(F27="地上面积有误","面积有误","地下面积有误"))</f>
        <v>16683.080000000002</v>
      </c>
      <c r="F27" s="1140">
        <f>IF(SUM(F19:F26)=E8,SUM(F19:F26),"地上面积有误")</f>
        <v>16683.080000000002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6666.7</v>
      </c>
      <c r="S27" s="1026">
        <f>IF(SUM(S19:S26)=$E$3,SUM(S19:S26),SUM(S19:S26)&amp;"误差"&amp;ROUND(SUM(S19:S26)-E3,2))</f>
        <v>16683.080000000002</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6666.7</v>
      </c>
      <c r="E31" s="676">
        <f>E27+E30</f>
        <v>16683.080000000002</v>
      </c>
      <c r="F31" s="677">
        <f>F27+F30</f>
        <v>16683.080000000002</v>
      </c>
      <c r="G31" s="678">
        <f>G27+G30</f>
        <v>0</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AK6" sqref="AK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45952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仓储</v>
      </c>
      <c r="B6" s="1713" t="str">
        <f>IF(A6=0,"","经营性")</f>
        <v>经营性</v>
      </c>
      <c r="C6" s="1714" t="s">
        <v>3</v>
      </c>
      <c r="D6" s="858">
        <f>SUMIF(项目基本情况!C$12:I$12,C6,项目基本情况!C$14:I$14)</f>
        <v>50</v>
      </c>
      <c r="E6" s="857">
        <f>IF(B6="","",SUMIF(项目基本情况!C$12:I$12,C6,项目基本情况!C$13:I$13))</f>
        <v>0</v>
      </c>
      <c r="F6" s="64">
        <f>SUMIF(项目基本情况!C$12:I$12,C6,项目基本情况!C$15:I$15)</f>
        <v>50</v>
      </c>
      <c r="G6" s="65">
        <f>IF(ISERROR(ROUND(POWER(1+H6,D6-F6)*(POWER(1+H6,F6)-1)/(POWER(1+H6,D6)-1),3)),0,ROUND(POWER(1+H6,D6-F6)*(POWER(1+H6,F6)-1)/(POWER(1+H6,D6)-1),3))</f>
        <v>1</v>
      </c>
      <c r="H6" s="732">
        <v>0.05</v>
      </c>
      <c r="I6" s="732">
        <v>5.5E-2</v>
      </c>
      <c r="J6" s="66">
        <v>7.0000000000000007E-2</v>
      </c>
      <c r="K6" s="1030">
        <f>SUMIF('数据-汇总表'!C$19:C$33,A6,'数据-汇总表'!E$19:E$33)</f>
        <v>16683.080000000002</v>
      </c>
      <c r="L6" s="733">
        <v>3000</v>
      </c>
      <c r="M6" s="67">
        <f t="shared" ref="M6:M14" si="0">ROUND(K6*L6/10000,0)</f>
        <v>5005</v>
      </c>
      <c r="N6" s="731">
        <f>ROUND(1-(2025-N18)/60,2)</f>
        <v>0.85</v>
      </c>
      <c r="O6" s="67" t="str">
        <f>IF($N$5="成新度","——",ROUND(M6*N6,0))</f>
        <v>——</v>
      </c>
      <c r="P6" s="68" t="str">
        <f>IF($N$5="成新度","——",M6-O6)</f>
        <v>——</v>
      </c>
      <c r="Q6" s="734">
        <v>0.1</v>
      </c>
      <c r="R6" s="69">
        <f ca="1">SUMIF('数据-汇总表'!C$19:C$33,A6,'数据-汇总表'!R$19:R$27)</f>
        <v>6666.7</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v>365</v>
      </c>
      <c r="AJ6" s="77"/>
      <c r="AK6" s="78">
        <v>2E-3</v>
      </c>
      <c r="AL6" s="79">
        <v>1E-3</v>
      </c>
      <c r="AM6" s="80">
        <v>0.01</v>
      </c>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1</v>
      </c>
      <c r="H16" s="90">
        <f>ROUND(SUMPRODUCT(H6:H13,K6:K13)/SUMPRODUCT((H6:H13&gt;0)*(K6:K13)),3)</f>
        <v>0.05</v>
      </c>
      <c r="I16" s="91"/>
      <c r="J16" s="91"/>
      <c r="K16" s="92">
        <f>SUM(K6:K15)</f>
        <v>16683.080000000002</v>
      </c>
      <c r="L16" s="93">
        <f>ROUND(M16*10000/SUM(K6:K14),0)</f>
        <v>3000</v>
      </c>
      <c r="M16" s="93">
        <f>SUM(M6:M14)</f>
        <v>5005</v>
      </c>
      <c r="N16" s="94">
        <f>ROUND(SUMPRODUCT(M6:M14,N6:N14)/M16,3)</f>
        <v>0.85</v>
      </c>
      <c r="O16" s="93">
        <f>SUM(O6:O14)</f>
        <v>0</v>
      </c>
      <c r="P16" s="93">
        <f>SUM(P6:P14)</f>
        <v>0</v>
      </c>
      <c r="Q16" s="95">
        <f>ROUND(SUMPRODUCT(Q6:Q13,K6:K13)/SUMPRODUCT((Q6:Q13&gt;0)*(K6:K13)),2)</f>
        <v>0.1</v>
      </c>
      <c r="R16" s="1034">
        <f ca="1">SUM(R6:R13)</f>
        <v>6666.7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2016</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1.5</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315</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315</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3380</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3381</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3382</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3.0599999999999999E-2</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0.05</v>
      </c>
      <c r="C44" s="2803" t="s">
        <v>3383</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97" t="s">
        <v>2286</v>
      </c>
      <c r="B1" s="3598"/>
      <c r="C1" s="3598"/>
      <c r="D1" s="3598"/>
      <c r="E1" s="3598"/>
      <c r="F1" s="3598"/>
      <c r="G1" s="359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41" sqref="C41"/>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16683.080000000002</v>
      </c>
      <c r="C1" s="2686"/>
      <c r="D1" s="2686"/>
      <c r="E1" s="2686"/>
      <c r="F1" s="2686"/>
      <c r="G1" s="2687"/>
      <c r="H1" s="2688"/>
      <c r="I1" s="2688"/>
      <c r="J1" s="2688"/>
      <c r="K1" s="2688"/>
    </row>
    <row r="2" spans="1:11" ht="16.2">
      <c r="A2" s="2512" t="s">
        <v>653</v>
      </c>
      <c r="B2" s="2512">
        <f>SUM(C14:C23)</f>
        <v>6666.7</v>
      </c>
      <c r="C2" s="2686"/>
      <c r="D2" s="2686"/>
      <c r="E2" s="2686"/>
      <c r="F2" s="2686"/>
      <c r="G2" s="2687"/>
      <c r="H2" s="2688"/>
      <c r="I2" s="2688"/>
      <c r="J2" s="2688"/>
      <c r="K2" s="2688"/>
    </row>
    <row r="3" spans="1:11" ht="15.6">
      <c r="A3" s="2512" t="s">
        <v>662</v>
      </c>
      <c r="B3" s="2514">
        <f>项目基本情况!D3</f>
        <v>45952</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SUM(D14:D23)</f>
        <v>0</v>
      </c>
      <c r="C5" s="2512">
        <f ca="1">IF(B5=D14,结果表!H102,ROUND(B5*10000/$B$1,0))</f>
        <v>0</v>
      </c>
      <c r="D5" s="2512">
        <f>ROUND(B5*10000/$B$2,0)</f>
        <v>0</v>
      </c>
      <c r="E5" s="2686"/>
      <c r="F5" s="2687"/>
      <c r="G5" s="2687"/>
      <c r="H5" s="2688"/>
      <c r="I5" s="2688"/>
      <c r="J5" s="2688"/>
      <c r="K5" s="2688"/>
    </row>
    <row r="6" spans="1:11" ht="15.6">
      <c r="A6" s="2512" t="s">
        <v>656</v>
      </c>
      <c r="B6" s="2512">
        <f>SUM(G14:G23)</f>
        <v>0</v>
      </c>
      <c r="C6" s="2512">
        <f ca="1">IF(B6=G14,结果表!H108,ROUND(B6*10000/$B$1,0))</f>
        <v>0</v>
      </c>
      <c r="D6" s="2512">
        <f>ROUND(B6*10000/$B$2,0)</f>
        <v>0</v>
      </c>
      <c r="E6" s="2686"/>
      <c r="F6" s="2687"/>
      <c r="G6" s="2687"/>
      <c r="H6" s="2688"/>
      <c r="I6" s="2688"/>
      <c r="J6" s="2688"/>
      <c r="K6" s="2688"/>
    </row>
    <row r="7" spans="1:11" ht="15.6">
      <c r="A7" s="2512" t="s">
        <v>664</v>
      </c>
      <c r="B7" s="2512">
        <f>SUM(H14:H23)</f>
        <v>0</v>
      </c>
      <c r="C7" s="2512" t="str">
        <f>IF(B7=H14,结果表!H110,ROUND(B7*10000/$B$1,0))</f>
        <v>——</v>
      </c>
      <c r="D7" s="2512">
        <f>ROUND(B7*10000/$B$2,0)</f>
        <v>0</v>
      </c>
      <c r="E7" s="2686"/>
      <c r="F7" s="2687"/>
      <c r="G7" s="2687"/>
      <c r="H7" s="2688"/>
      <c r="I7" s="2688"/>
      <c r="J7" s="2688"/>
      <c r="K7" s="2688"/>
    </row>
    <row r="8" spans="1:11" ht="15.6">
      <c r="A8" s="2512" t="s">
        <v>587</v>
      </c>
      <c r="B8" s="2512">
        <f>SUM(I14:I23)</f>
        <v>0</v>
      </c>
      <c r="C8" s="2512" t="str">
        <f>IF(B8=I14,结果表!H112,ROUND(B8*10000/$B$1,0))</f>
        <v>——</v>
      </c>
      <c r="D8" s="2512">
        <f>ROUND(B8*10000/$B$2,0)</f>
        <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4871</v>
      </c>
      <c r="C10" s="2512" t="s">
        <v>3353</v>
      </c>
      <c r="D10" s="2512" t="s">
        <v>3354</v>
      </c>
      <c r="E10" s="3441">
        <v>0.56000000000000005</v>
      </c>
      <c r="F10" s="3445" t="s">
        <v>3355</v>
      </c>
      <c r="G10" s="3442">
        <v>7.0000000000000007E-2</v>
      </c>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'数据-取费表'!K16</f>
        <v>16683.080000000002</v>
      </c>
      <c r="C14" s="2518">
        <f>'数据-汇总表'!D19</f>
        <v>6666.7</v>
      </c>
      <c r="D14" s="2518"/>
      <c r="E14" s="2518">
        <f>B10</f>
        <v>4871</v>
      </c>
      <c r="F14" s="2518">
        <f>ROUND(D14*10000/C14,0)</f>
        <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E76" sqref="E76:H7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66" t="str">
        <f>项目基本情况!S2</f>
        <v>房地产</v>
      </c>
      <c r="B2" s="3667"/>
      <c r="C2" s="3667"/>
      <c r="D2" s="3667"/>
      <c r="E2" s="3667"/>
      <c r="F2" s="3667"/>
      <c r="G2" s="3667"/>
      <c r="H2" s="3667"/>
      <c r="I2" s="3668"/>
    </row>
    <row r="3" spans="1:12" ht="13.2">
      <c r="A3" s="3670" t="s">
        <v>1264</v>
      </c>
      <c r="B3" s="3671"/>
      <c r="C3" s="3671"/>
      <c r="D3" s="3671"/>
      <c r="E3" s="3671"/>
      <c r="F3" s="3671"/>
      <c r="G3" s="3671"/>
      <c r="H3" s="3671"/>
      <c r="I3" s="3671"/>
    </row>
    <row r="4" spans="1:12" ht="14.4">
      <c r="A4" s="1754" t="s">
        <v>1265</v>
      </c>
      <c r="B4" s="1755" t="s">
        <v>1266</v>
      </c>
      <c r="C4" s="1756"/>
      <c r="D4" s="1756"/>
      <c r="E4" s="3675" t="s">
        <v>1267</v>
      </c>
      <c r="F4" s="3676"/>
      <c r="G4" s="3676"/>
      <c r="H4" s="3676"/>
      <c r="I4" s="367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614" t="s">
        <v>1268</v>
      </c>
      <c r="B5" s="3669">
        <v>25</v>
      </c>
      <c r="C5" s="3672"/>
      <c r="D5" s="3660"/>
      <c r="E5" s="131" t="s">
        <v>1269</v>
      </c>
      <c r="F5" s="1757"/>
      <c r="G5" s="1757"/>
      <c r="H5" s="1757"/>
      <c r="I5" s="1373"/>
    </row>
    <row r="6" spans="1:12" ht="13.2">
      <c r="A6" s="3614"/>
      <c r="B6" s="3669"/>
      <c r="C6" s="3674"/>
      <c r="D6" s="3660"/>
      <c r="E6" s="131" t="s">
        <v>1270</v>
      </c>
      <c r="F6" s="1757"/>
      <c r="G6" s="1757"/>
      <c r="H6" s="1757"/>
      <c r="I6" s="1373"/>
    </row>
    <row r="7" spans="1:12" ht="13.2">
      <c r="A7" s="3614"/>
      <c r="B7" s="3669"/>
      <c r="C7" s="3673"/>
      <c r="D7" s="3660"/>
      <c r="E7" s="131" t="s">
        <v>1271</v>
      </c>
      <c r="F7" s="1757"/>
      <c r="G7" s="1757"/>
      <c r="H7" s="1757"/>
      <c r="I7" s="1373"/>
    </row>
    <row r="8" spans="1:12" ht="13.2">
      <c r="A8" s="3614" t="s">
        <v>1272</v>
      </c>
      <c r="B8" s="3669">
        <v>15</v>
      </c>
      <c r="C8" s="3672"/>
      <c r="D8" s="3660"/>
      <c r="E8" s="131" t="s">
        <v>1273</v>
      </c>
      <c r="F8" s="1757"/>
      <c r="G8" s="1757"/>
      <c r="H8" s="1757"/>
      <c r="I8" s="1373"/>
    </row>
    <row r="9" spans="1:12" ht="13.2">
      <c r="A9" s="3614"/>
      <c r="B9" s="3669"/>
      <c r="C9" s="3673"/>
      <c r="D9" s="3660"/>
      <c r="E9" s="131" t="s">
        <v>1274</v>
      </c>
      <c r="F9" s="1757"/>
      <c r="G9" s="1757"/>
      <c r="H9" s="1757"/>
      <c r="I9" s="1373"/>
    </row>
    <row r="10" spans="1:12" ht="13.2">
      <c r="A10" s="3614" t="s">
        <v>1275</v>
      </c>
      <c r="B10" s="3669">
        <v>15</v>
      </c>
      <c r="C10" s="3672"/>
      <c r="D10" s="3660"/>
      <c r="E10" s="131" t="s">
        <v>1276</v>
      </c>
      <c r="F10" s="1757"/>
      <c r="G10" s="1757"/>
      <c r="H10" s="1757"/>
      <c r="I10" s="1373"/>
    </row>
    <row r="11" spans="1:12" ht="13.2">
      <c r="A11" s="3614"/>
      <c r="B11" s="3669"/>
      <c r="C11" s="3673"/>
      <c r="D11" s="3660"/>
      <c r="E11" s="131" t="s">
        <v>1277</v>
      </c>
      <c r="F11" s="1757"/>
      <c r="G11" s="1757"/>
      <c r="H11" s="1757"/>
      <c r="I11" s="1373"/>
    </row>
    <row r="12" spans="1:12" ht="13.2">
      <c r="A12" s="3614" t="s">
        <v>1278</v>
      </c>
      <c r="B12" s="3669">
        <v>15</v>
      </c>
      <c r="C12" s="3672"/>
      <c r="D12" s="3660"/>
      <c r="E12" s="131" t="s">
        <v>1279</v>
      </c>
      <c r="F12" s="1757"/>
      <c r="G12" s="1757"/>
      <c r="H12" s="1757"/>
      <c r="I12" s="1373"/>
    </row>
    <row r="13" spans="1:12" ht="13.2">
      <c r="A13" s="3614"/>
      <c r="B13" s="3669"/>
      <c r="C13" s="3673"/>
      <c r="D13" s="3660"/>
      <c r="E13" s="131" t="s">
        <v>1280</v>
      </c>
      <c r="F13" s="1757"/>
      <c r="G13" s="1757"/>
      <c r="H13" s="1757"/>
      <c r="I13" s="1373"/>
    </row>
    <row r="14" spans="1:12" ht="13.2">
      <c r="A14" s="3614" t="s">
        <v>1281</v>
      </c>
      <c r="B14" s="3669">
        <v>30</v>
      </c>
      <c r="C14" s="3672"/>
      <c r="D14" s="3660"/>
      <c r="E14" s="131" t="s">
        <v>1282</v>
      </c>
      <c r="F14" s="1757"/>
      <c r="G14" s="1757"/>
      <c r="H14" s="1757"/>
      <c r="I14" s="1373"/>
    </row>
    <row r="15" spans="1:12" ht="13.2">
      <c r="A15" s="3614"/>
      <c r="B15" s="3669"/>
      <c r="C15" s="3674"/>
      <c r="D15" s="3660"/>
      <c r="E15" s="131" t="s">
        <v>1283</v>
      </c>
      <c r="F15" s="1757"/>
      <c r="G15" s="1757"/>
      <c r="H15" s="1757"/>
      <c r="I15" s="1373"/>
    </row>
    <row r="16" spans="1:12" ht="13.2">
      <c r="A16" s="3614"/>
      <c r="B16" s="3669"/>
      <c r="C16" s="3673"/>
      <c r="D16" s="3660"/>
      <c r="E16" s="131" t="s">
        <v>1284</v>
      </c>
      <c r="F16" s="1757"/>
      <c r="G16" s="1757"/>
      <c r="H16" s="1757"/>
      <c r="I16" s="1373"/>
    </row>
    <row r="17" spans="1:36" ht="14.4">
      <c r="A17" s="1758" t="s">
        <v>1285</v>
      </c>
      <c r="B17" s="56"/>
      <c r="C17" s="132">
        <f>SUM(C5:C16)</f>
        <v>0</v>
      </c>
      <c r="D17" s="132">
        <f>SUM(D5:D16)</f>
        <v>0</v>
      </c>
      <c r="E17" s="129"/>
      <c r="F17" s="129"/>
      <c r="G17" s="129"/>
      <c r="H17" s="129"/>
      <c r="I17" s="129"/>
      <c r="K17" s="302"/>
      <c r="L17" s="302" t="s">
        <v>1286</v>
      </c>
      <c r="M17" s="302" t="s">
        <v>1287</v>
      </c>
    </row>
    <row r="18" spans="1:36" ht="31.95" customHeight="1" thickBot="1">
      <c r="A18" s="1759" t="s">
        <v>1288</v>
      </c>
      <c r="B18" s="1760"/>
      <c r="C18" s="133" t="e">
        <f>ROUND(C17/SUM(C17:D17),2)</f>
        <v>#DIV/0!</v>
      </c>
      <c r="D18" s="133" t="e">
        <f>1-C18</f>
        <v>#DIV/0!</v>
      </c>
      <c r="E18" s="3691" t="s">
        <v>2131</v>
      </c>
      <c r="F18" s="3692"/>
      <c r="G18" s="3692"/>
      <c r="H18" s="3692"/>
      <c r="I18" s="3692"/>
      <c r="K18" s="302" t="s">
        <v>1289</v>
      </c>
      <c r="L18" s="302">
        <f>IF(C1="",'数据-汇总表'!E3,SUMIF(项目类型,C1,'数据-汇总表'!E17:E26)+SUMIF(项目类型,C1,'数据-汇总表'!I17:I26))</f>
        <v>16683.080000000002</v>
      </c>
      <c r="M18" s="302">
        <f>IF(C1="",'数据-汇总表'!E3,SUMIF(项目类型,C1,'数据-汇总表'!E17:E26))</f>
        <v>16683.080000000002</v>
      </c>
    </row>
    <row r="19" spans="1:36" ht="14.4">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6666.7</v>
      </c>
      <c r="M19" s="302">
        <f>IF(C1="",'数据-汇总表'!D3,SUMIF(项目类型,C1,'数据-汇总表'!D17:D26))</f>
        <v>6666.7</v>
      </c>
    </row>
    <row r="20" spans="1:36" ht="14.4">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8" thickBot="1">
      <c r="A23" s="1747"/>
      <c r="B23" s="1747"/>
      <c r="C23" s="1747"/>
      <c r="D23" s="1747"/>
      <c r="E23" s="129"/>
      <c r="F23" s="129"/>
      <c r="G23" s="129"/>
      <c r="H23" s="129"/>
      <c r="I23" s="129"/>
    </row>
    <row r="24" spans="1:36" ht="14.4">
      <c r="A24" s="3684" t="s">
        <v>1299</v>
      </c>
      <c r="B24" s="1762" t="s">
        <v>1291</v>
      </c>
      <c r="C24" s="136">
        <f>IF(B30=0,0,D30)</f>
        <v>0</v>
      </c>
      <c r="D24" s="1769"/>
      <c r="E24" s="129"/>
      <c r="F24" s="129"/>
      <c r="G24" s="129"/>
      <c r="H24" s="129"/>
      <c r="I24" s="129"/>
    </row>
    <row r="25" spans="1:36" ht="14.4">
      <c r="A25" s="368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t="e">
        <f ca="1">IF(D32="总价",G19-C24,G20-C25)</f>
        <v>#REF!</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61" t="s">
        <v>1312</v>
      </c>
      <c r="B36" s="1787" t="s">
        <v>1313</v>
      </c>
      <c r="C36" s="145"/>
      <c r="D36" s="1788"/>
      <c r="E36" s="1789"/>
      <c r="F36" s="1790"/>
      <c r="G36" s="129"/>
      <c r="H36" s="129"/>
      <c r="I36" s="129"/>
    </row>
    <row r="37" spans="1:15" ht="15" thickBot="1">
      <c r="A37" s="3662"/>
      <c r="B37" s="1674" t="s">
        <v>1314</v>
      </c>
      <c r="C37" s="147"/>
      <c r="D37" s="1139"/>
      <c r="E37" s="1139"/>
      <c r="F37" s="1790"/>
      <c r="G37" s="129"/>
      <c r="H37" s="129"/>
      <c r="I37" s="129"/>
    </row>
    <row r="38" spans="1:15" ht="15" thickBot="1">
      <c r="A38" s="3663"/>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81" t="s">
        <v>1326</v>
      </c>
      <c r="B45" s="3682"/>
      <c r="C45" s="3683"/>
      <c r="D45" s="155" t="e">
        <f ca="1">ROUND(H101*F45,0)</f>
        <v>#REF!</v>
      </c>
      <c r="E45" s="156" t="s">
        <v>1327</v>
      </c>
      <c r="F45" s="157">
        <v>1</v>
      </c>
      <c r="G45" s="158" t="s">
        <v>1328</v>
      </c>
      <c r="H45" s="129"/>
      <c r="I45" s="129"/>
      <c r="J45" s="3601" t="s">
        <v>1329</v>
      </c>
      <c r="K45" s="3601"/>
      <c r="L45" s="3601"/>
      <c r="M45" s="3601"/>
      <c r="N45" s="3601"/>
      <c r="O45" s="3601"/>
    </row>
    <row r="46" spans="1:15" ht="14.25" customHeight="1">
      <c r="A46" s="3678" t="s">
        <v>1330</v>
      </c>
      <c r="B46" s="3679"/>
      <c r="C46" s="3679"/>
      <c r="D46" s="3679"/>
      <c r="E46" s="3679"/>
      <c r="F46" s="3679"/>
      <c r="G46" s="3680"/>
      <c r="H46" s="1806"/>
      <c r="I46" s="159"/>
      <c r="J46" s="2523">
        <v>1</v>
      </c>
      <c r="K46" s="3602" t="s">
        <v>1331</v>
      </c>
      <c r="L46" s="3602"/>
      <c r="M46" s="3603"/>
      <c r="N46" s="3603"/>
      <c r="O46" s="3603"/>
    </row>
    <row r="47" spans="1:15" ht="12" customHeight="1">
      <c r="A47" s="160" t="s">
        <v>1332</v>
      </c>
      <c r="B47" s="161"/>
      <c r="C47" s="162"/>
      <c r="D47" s="1087" t="s">
        <v>1333</v>
      </c>
      <c r="E47" s="302" t="s">
        <v>1334</v>
      </c>
      <c r="F47" s="163" t="s">
        <v>1335</v>
      </c>
      <c r="G47" s="2546" t="s">
        <v>1336</v>
      </c>
      <c r="H47" s="2547"/>
      <c r="I47" s="159"/>
      <c r="J47" s="2523">
        <v>2</v>
      </c>
      <c r="K47" s="3602" t="s">
        <v>1337</v>
      </c>
      <c r="L47" s="3602"/>
      <c r="M47" s="3604">
        <f>'数据-取费表'!B2</f>
        <v>45952</v>
      </c>
      <c r="N47" s="3604"/>
      <c r="O47" s="3604"/>
    </row>
    <row r="48" spans="1:15" ht="26.4">
      <c r="A48" s="3664" t="s">
        <v>1338</v>
      </c>
      <c r="B48" s="3665"/>
      <c r="C48" s="366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2" t="s">
        <v>1340</v>
      </c>
      <c r="L48" s="3602"/>
      <c r="M48" s="3605" t="e">
        <f ca="1">H101</f>
        <v>#REF!</v>
      </c>
      <c r="N48" s="3605"/>
      <c r="O48" s="3605"/>
    </row>
    <row r="49" spans="1:35" ht="25.5" customHeight="1">
      <c r="A49" s="2333" t="s">
        <v>1341</v>
      </c>
      <c r="B49" s="3650" t="s">
        <v>1342</v>
      </c>
      <c r="C49" s="3650"/>
      <c r="D49" s="1590">
        <v>0</v>
      </c>
      <c r="E49" s="324" t="s">
        <v>1343</v>
      </c>
      <c r="F49" s="2424" t="s">
        <v>28</v>
      </c>
      <c r="G49" s="3633"/>
      <c r="H49" s="2310" t="s">
        <v>2134</v>
      </c>
      <c r="I49" s="2311"/>
      <c r="J49" s="2523">
        <v>4</v>
      </c>
      <c r="K49" s="3602" t="str">
        <f>IF(项目基本情况!E8="房地产抵押价值","房地产抵押价值","抵押担保权已注销时的房地产抵押价值")</f>
        <v>抵押担保权已注销时的房地产抵押价值</v>
      </c>
      <c r="L49" s="3602"/>
      <c r="M49" s="3605" t="str">
        <f>IF(项目基本情况!E8="房地产抵押价值",H107,H109)</f>
        <v>——</v>
      </c>
      <c r="N49" s="3605"/>
      <c r="O49" s="3605"/>
    </row>
    <row r="50" spans="1:35" ht="25.5" customHeight="1">
      <c r="A50" s="2551"/>
      <c r="B50" s="3650" t="s">
        <v>1344</v>
      </c>
      <c r="C50" s="3650"/>
      <c r="D50" s="2552"/>
      <c r="E50" s="332"/>
      <c r="F50" s="2424"/>
      <c r="G50" s="3634"/>
      <c r="H50" s="2312" t="s">
        <v>2135</v>
      </c>
      <c r="I50" s="2311"/>
      <c r="J50" s="3601" t="s">
        <v>1345</v>
      </c>
      <c r="K50" s="3601"/>
      <c r="L50" s="3601"/>
      <c r="M50" s="3601"/>
      <c r="N50" s="3601"/>
      <c r="O50" s="3601"/>
    </row>
    <row r="51" spans="1:35" ht="20.399999999999999" customHeight="1">
      <c r="A51" s="2553"/>
      <c r="B51" s="3650" t="s">
        <v>1346</v>
      </c>
      <c r="C51" s="3650"/>
      <c r="D51" s="1087"/>
      <c r="E51" s="327"/>
      <c r="F51" s="2424"/>
      <c r="G51" s="3635"/>
      <c r="H51" s="2312" t="s">
        <v>2136</v>
      </c>
      <c r="I51" s="2311"/>
      <c r="J51" s="2524" t="s">
        <v>1347</v>
      </c>
      <c r="K51" s="3602" t="s">
        <v>1348</v>
      </c>
      <c r="L51" s="3602"/>
      <c r="M51" s="2524" t="s">
        <v>1349</v>
      </c>
      <c r="N51" s="2524" t="s">
        <v>1350</v>
      </c>
      <c r="O51" s="2524" t="s">
        <v>1351</v>
      </c>
    </row>
    <row r="52" spans="1:35" ht="24" customHeight="1">
      <c r="A52" s="2335" t="s">
        <v>1352</v>
      </c>
      <c r="B52" s="3650" t="s">
        <v>1353</v>
      </c>
      <c r="C52" s="3650"/>
      <c r="D52" s="1087" t="e">
        <f ca="1">ROUND(D45*'数据-取费表'!B41/(1+'数据-取费表'!C42),0)</f>
        <v>#REF!</v>
      </c>
      <c r="E52" s="2334" t="s">
        <v>1354</v>
      </c>
      <c r="F52" s="2554">
        <f>'数据-取费表'!B41</f>
        <v>5.5000000000000007E-2</v>
      </c>
      <c r="G52" s="2555"/>
      <c r="H52" s="2544"/>
      <c r="I52" s="1807"/>
      <c r="J52" s="2523">
        <v>1</v>
      </c>
      <c r="K52" s="3627" t="s">
        <v>1355</v>
      </c>
      <c r="L52" s="3627"/>
      <c r="M52" s="2525" t="b">
        <f>D48</f>
        <v>0</v>
      </c>
      <c r="N52" s="2523" t="str">
        <f>E48</f>
        <v>销售额×税（费）率</v>
      </c>
      <c r="O52" s="2526">
        <f>F48</f>
        <v>5.5000000000000007E-2</v>
      </c>
    </row>
    <row r="53" spans="1:35" ht="12" customHeight="1">
      <c r="A53" s="2335" t="s">
        <v>1356</v>
      </c>
      <c r="B53" s="3651" t="s">
        <v>2291</v>
      </c>
      <c r="C53" s="3652"/>
      <c r="D53" s="1087" t="e">
        <f ca="1">ROUND(D45*'数据-取费表'!B41/(1+'数据-取费表'!C42),0)</f>
        <v>#REF!</v>
      </c>
      <c r="E53" s="2334" t="s">
        <v>1354</v>
      </c>
      <c r="F53" s="2554">
        <f>'数据-取费表'!B41</f>
        <v>5.5000000000000007E-2</v>
      </c>
      <c r="G53" s="2555"/>
      <c r="H53" s="2544"/>
      <c r="I53" s="1807"/>
      <c r="J53" s="2523">
        <v>2</v>
      </c>
      <c r="K53" s="3627" t="s">
        <v>1357</v>
      </c>
      <c r="L53" s="3627"/>
      <c r="M53" s="2525" t="e">
        <f t="shared" ref="M53:O54" ca="1" si="0">D55</f>
        <v>#REF!</v>
      </c>
      <c r="N53" s="2523" t="str">
        <f t="shared" si="0"/>
        <v>销售额×税（费）率</v>
      </c>
      <c r="O53" s="2526" t="str">
        <f t="shared" si="0"/>
        <v>免征</v>
      </c>
    </row>
    <row r="54" spans="1:35" ht="12" customHeight="1">
      <c r="A54" s="2335" t="s">
        <v>1358</v>
      </c>
      <c r="B54" s="3651" t="s">
        <v>2292</v>
      </c>
      <c r="C54" s="3652"/>
      <c r="D54" s="1087" t="e">
        <f ca="1">C68</f>
        <v>#REF!</v>
      </c>
      <c r="E54" s="327" t="s">
        <v>1359</v>
      </c>
      <c r="F54" s="2554">
        <f>'数据-取费表'!B41</f>
        <v>5.5000000000000007E-2</v>
      </c>
      <c r="G54" s="2555"/>
      <c r="H54" s="2556"/>
      <c r="I54" s="1807"/>
      <c r="J54" s="2523">
        <v>3</v>
      </c>
      <c r="K54" s="3627" t="s">
        <v>1360</v>
      </c>
      <c r="L54" s="3627"/>
      <c r="M54" s="2525" t="e">
        <f t="shared" ca="1" si="0"/>
        <v>#REF!</v>
      </c>
      <c r="N54" s="2523" t="str">
        <f t="shared" si="0"/>
        <v>增值额×税（费）率</v>
      </c>
      <c r="O54" s="2527" t="str">
        <f t="shared" si="0"/>
        <v>免征</v>
      </c>
    </row>
    <row r="55" spans="1:35" ht="24" customHeight="1">
      <c r="A55" s="3687" t="s">
        <v>1361</v>
      </c>
      <c r="B55" s="3665"/>
      <c r="C55" s="3665"/>
      <c r="D55" s="2324" t="e">
        <f ca="1">IF(H55="个人住宅",0,ROUND(D45*I55,0))</f>
        <v>#REF!</v>
      </c>
      <c r="E55" s="2334" t="s">
        <v>1362</v>
      </c>
      <c r="F55" s="2554" t="str">
        <f>IF(H55="正常",I55,"免征")</f>
        <v>免征</v>
      </c>
      <c r="G55" s="2555"/>
      <c r="H55" s="2550"/>
      <c r="I55" s="165">
        <f>'数据-取费表'!B49</f>
        <v>5.0000000000000001E-4</v>
      </c>
      <c r="J55" s="2523">
        <f>IF(H59="非个人房产","",4)</f>
        <v>4</v>
      </c>
      <c r="K55" s="3627" t="str">
        <f>IF(H59="非个人房产","——","个人所得税")</f>
        <v>个人所得税</v>
      </c>
      <c r="L55" s="3627"/>
      <c r="M55" s="2528" t="e">
        <f ca="1">D59</f>
        <v>#REF!</v>
      </c>
      <c r="N55" s="2040" t="str">
        <f>E59</f>
        <v>差额计税</v>
      </c>
      <c r="O55" s="2529">
        <f>F59</f>
        <v>0.01</v>
      </c>
    </row>
    <row r="56" spans="1:35" ht="25.2">
      <c r="A56" s="3687" t="s">
        <v>1363</v>
      </c>
      <c r="B56" s="3665"/>
      <c r="C56" s="3665"/>
      <c r="D56" s="2324" t="e">
        <f ca="1">IF(H56="个人住宅",D57,D58)</f>
        <v>#REF!</v>
      </c>
      <c r="E56" s="2334" t="s">
        <v>1364</v>
      </c>
      <c r="F56" s="2554" t="str">
        <f>IF(H56="正常",F58,"免征")</f>
        <v>免征</v>
      </c>
      <c r="G56" s="2557" t="s">
        <v>1365</v>
      </c>
      <c r="H56" s="2558"/>
      <c r="I56" s="1808"/>
      <c r="J56" s="2523" t="str">
        <f>IF(项目基本情况!K6="上海银行",IF(J55="",4,J55+1),"")</f>
        <v/>
      </c>
      <c r="K56" s="3608" t="str">
        <f>IF(项目基本情况!K6="上海银行","其他处置费用","")</f>
        <v/>
      </c>
      <c r="L56" s="3609"/>
      <c r="M56" s="2525" t="str">
        <f>IF(项目基本情况!K6="上海银行",M69,"")</f>
        <v/>
      </c>
      <c r="N56" s="3608" t="str">
        <f>IF(项目基本情况!K6="上海银行","包含处置中涉及的律师、诉讼、拍卖、评估等费用","")</f>
        <v/>
      </c>
      <c r="O56" s="3611"/>
    </row>
    <row r="57" spans="1:35" ht="13.2">
      <c r="A57" s="2335" t="s">
        <v>1341</v>
      </c>
      <c r="B57" s="3651" t="s">
        <v>1366</v>
      </c>
      <c r="C57" s="3652"/>
      <c r="D57" s="1590">
        <v>0</v>
      </c>
      <c r="E57" s="324" t="s">
        <v>1343</v>
      </c>
      <c r="F57" s="302"/>
      <c r="G57" s="2555"/>
      <c r="H57" s="2559"/>
      <c r="I57" s="1808"/>
      <c r="J57" s="3627">
        <f>IF(AND(J55="",J56=""),4,IF(项目基本情况!K6="上海银行",结果表!J56+1,结果表!J55+1))</f>
        <v>5</v>
      </c>
      <c r="K57" s="3627" t="s">
        <v>1367</v>
      </c>
      <c r="L57" s="2530" t="s">
        <v>1368</v>
      </c>
      <c r="M57" s="2531"/>
      <c r="N57" s="2532">
        <f ca="1">SUMIF(M52:M56,"&lt;9e307")</f>
        <v>0</v>
      </c>
      <c r="O57" s="2533"/>
      <c r="P57" s="2690" t="e">
        <f ca="1">N57/M49</f>
        <v>#VALUE!</v>
      </c>
    </row>
    <row r="58" spans="1:35" ht="25.2">
      <c r="A58" s="2335" t="s">
        <v>1352</v>
      </c>
      <c r="B58" s="3651" t="s">
        <v>1369</v>
      </c>
      <c r="C58" s="3650"/>
      <c r="D58" s="2324" t="e">
        <f ca="1">IF(H58="转让取得",C81,C97)</f>
        <v>#REF!</v>
      </c>
      <c r="E58" s="2334" t="s">
        <v>1364</v>
      </c>
      <c r="F58" s="302" t="s">
        <v>28</v>
      </c>
      <c r="G58" s="2555"/>
      <c r="H58" s="2558"/>
      <c r="I58" s="1808"/>
      <c r="J58" s="3627"/>
      <c r="K58" s="3627"/>
      <c r="L58" s="2530" t="s">
        <v>1370</v>
      </c>
      <c r="M58" s="2534"/>
      <c r="N58" s="2535" t="str">
        <f ca="1">NUMBERSTRING(INT(N57*10000),2)&amp;"元整"</f>
        <v>零元整</v>
      </c>
      <c r="O58" s="2536"/>
    </row>
    <row r="59" spans="1:35" ht="24.6" thickBot="1">
      <c r="A59" s="3631" t="s">
        <v>1371</v>
      </c>
      <c r="B59" s="3632"/>
      <c r="C59" s="3632"/>
      <c r="D59" s="2560">
        <f ca="1">IF(H59="非个人房产","——",IF(H59="个人住宅（满五唯一有凭证）",0,IF(H59="个人其他（无凭证）",ROUND(D45/(1+'数据-取费表'!C42)*F59,0),ROUND(C67*F59,0))))</f>
        <v>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9">
        <f>J57+1</f>
        <v>6</v>
      </c>
      <c r="K59" s="3627" t="s">
        <v>1372</v>
      </c>
      <c r="L59" s="2523" t="s">
        <v>1368</v>
      </c>
      <c r="M59" s="2537"/>
      <c r="N59" s="2538" t="e">
        <f ca="1">M49-N57</f>
        <v>#VALUE!</v>
      </c>
      <c r="O59" s="2539"/>
    </row>
    <row r="60" spans="1:35" ht="12" customHeight="1">
      <c r="A60" s="1809"/>
      <c r="B60" s="1747"/>
      <c r="C60" s="1747"/>
      <c r="D60" s="1747"/>
      <c r="E60" s="1578"/>
      <c r="F60" s="1808"/>
      <c r="G60" s="1808"/>
      <c r="H60" s="1810"/>
      <c r="I60" s="129"/>
      <c r="J60" s="3630"/>
      <c r="K60" s="3627"/>
      <c r="L60" s="2530" t="s">
        <v>1370</v>
      </c>
      <c r="M60" s="2534"/>
      <c r="N60" s="2535" t="e">
        <f ca="1">NUMBERSTRING(INT(N59*10000),2)&amp;"元整"</f>
        <v>#VALUE!</v>
      </c>
      <c r="O60" s="2536"/>
    </row>
    <row r="61" spans="1:35" ht="13.8" thickBot="1">
      <c r="A61" s="3686" t="s">
        <v>1373</v>
      </c>
      <c r="B61" s="3686"/>
      <c r="C61" s="3686"/>
      <c r="D61" s="3686"/>
      <c r="E61" s="3686"/>
      <c r="F61" s="1808"/>
      <c r="G61" s="1808"/>
      <c r="H61" s="1810"/>
      <c r="I61" s="129"/>
      <c r="J61" s="2523">
        <f>J59+1</f>
        <v>7</v>
      </c>
      <c r="K61" s="3627" t="s">
        <v>1374</v>
      </c>
      <c r="L61" s="3627"/>
      <c r="M61" s="2540"/>
      <c r="N61" s="2541" t="e">
        <f ca="1">ROUND(N59*10000/'数据-汇总表'!E3,0)</f>
        <v>#VALUE!</v>
      </c>
      <c r="O61" s="2542"/>
    </row>
    <row r="62" spans="1:35" ht="13.2">
      <c r="A62" s="3646" t="s">
        <v>1375</v>
      </c>
      <c r="B62" s="3647"/>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1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1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1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1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1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61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1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54" t="s">
        <v>1394</v>
      </c>
      <c r="B70" s="3655"/>
      <c r="C70" s="3655"/>
      <c r="D70" s="3655"/>
      <c r="E70" s="3655"/>
      <c r="F70" s="3655"/>
      <c r="G70" s="3655"/>
      <c r="H70" s="365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46" t="s">
        <v>1375</v>
      </c>
      <c r="B71" s="364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51" t="s">
        <v>1402</v>
      </c>
      <c r="F76" s="3650"/>
      <c r="G76" s="3650"/>
      <c r="H76" s="365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643" t="s">
        <v>1406</v>
      </c>
      <c r="F78" s="3644"/>
      <c r="G78" s="3644"/>
      <c r="H78" s="364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54" t="s">
        <v>1410</v>
      </c>
      <c r="B83" s="3655"/>
      <c r="C83" s="3655"/>
      <c r="D83" s="3655"/>
      <c r="E83" s="3655"/>
      <c r="F83" s="3655"/>
      <c r="G83" s="3655"/>
      <c r="H83" s="365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46" t="s">
        <v>1375</v>
      </c>
      <c r="B84" s="364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12" t="s">
        <v>2129</v>
      </c>
      <c r="H90" s="361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43" t="s">
        <v>1419</v>
      </c>
      <c r="F91" s="3644"/>
      <c r="G91" s="364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43" t="s">
        <v>1422</v>
      </c>
      <c r="F92" s="3644"/>
      <c r="G92" s="3644"/>
      <c r="H92" s="364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643" t="s">
        <v>1406</v>
      </c>
      <c r="F93" s="3644"/>
      <c r="G93" s="3644"/>
      <c r="H93" s="364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88" t="s">
        <v>1426</v>
      </c>
      <c r="F94" s="3689"/>
      <c r="G94" s="3689"/>
      <c r="H94" s="369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93" t="s">
        <v>1428</v>
      </c>
      <c r="B100" s="3594"/>
      <c r="C100" s="3594"/>
      <c r="D100" s="3628"/>
      <c r="E100" s="3594" t="s">
        <v>1429</v>
      </c>
      <c r="F100" s="3594"/>
      <c r="G100" s="3594"/>
      <c r="H100" s="3628"/>
      <c r="I100" s="129"/>
    </row>
    <row r="101" spans="1:35" ht="18.75" customHeight="1">
      <c r="A101" s="3636" t="s">
        <v>1430</v>
      </c>
      <c r="B101" s="3637"/>
      <c r="C101" s="2585">
        <f>C4</f>
        <v>0</v>
      </c>
      <c r="D101" s="2586">
        <f>D4</f>
        <v>0</v>
      </c>
      <c r="E101" s="3606" t="s">
        <v>1431</v>
      </c>
      <c r="F101" s="3607"/>
      <c r="G101" s="1827" t="s">
        <v>1432</v>
      </c>
      <c r="H101" s="2595" t="e">
        <f ca="1">H118</f>
        <v>#REF!</v>
      </c>
      <c r="I101" s="129"/>
    </row>
    <row r="102" spans="1:35" ht="18.75" customHeight="1">
      <c r="A102" s="3638" t="s">
        <v>1433</v>
      </c>
      <c r="B102" s="2584" t="s">
        <v>1432</v>
      </c>
      <c r="C102" s="2585" t="e">
        <f ca="1">IF(D32="楼面单价",ROUND(C19,0),C19)</f>
        <v>#REF!</v>
      </c>
      <c r="D102" s="2586" t="e">
        <f ca="1">IF(D32="楼面单价",ROUND(D19,0),D19)</f>
        <v>#REF!</v>
      </c>
      <c r="E102" s="3606"/>
      <c r="F102" s="3607"/>
      <c r="G102" s="1827" t="s">
        <v>1434</v>
      </c>
      <c r="H102" s="2555" t="e">
        <f ca="1">I118</f>
        <v>#REF!</v>
      </c>
      <c r="I102" s="129"/>
    </row>
    <row r="103" spans="1:35" ht="42.75" customHeight="1">
      <c r="A103" s="3638"/>
      <c r="B103" s="2584" t="s">
        <v>1434</v>
      </c>
      <c r="C103" s="2587" t="e">
        <f ca="1">C20</f>
        <v>#REF!</v>
      </c>
      <c r="D103" s="2588" t="e">
        <f ca="1">D20</f>
        <v>#REF!</v>
      </c>
      <c r="E103" s="3599" t="s">
        <v>1435</v>
      </c>
      <c r="F103" s="3600"/>
      <c r="G103" s="1828" t="s">
        <v>1436</v>
      </c>
      <c r="H103" s="2595">
        <f>IF(D36="正常操作",H104+H105+H106,H105+H106)</f>
        <v>0</v>
      </c>
      <c r="I103" s="129"/>
    </row>
    <row r="104" spans="1:35" ht="18.75" customHeight="1">
      <c r="A104" s="363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4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39" t="str">
        <f>IF(项目基本情况!E8="已注销","——","3.房地产抵押价值")</f>
        <v>3.房地产抵押价值</v>
      </c>
      <c r="F107" s="3607"/>
      <c r="G107" s="1827" t="s">
        <v>1432</v>
      </c>
      <c r="H107" s="2595" t="e">
        <f ca="1">IF(E107="——","——",H101-H103)</f>
        <v>#REF!</v>
      </c>
      <c r="I107" s="129"/>
    </row>
    <row r="108" spans="1:35" ht="18.75" customHeight="1">
      <c r="A108" s="129"/>
      <c r="B108" s="129"/>
      <c r="C108" s="129"/>
      <c r="D108" s="129"/>
      <c r="E108" s="3639"/>
      <c r="F108" s="3607"/>
      <c r="G108" s="1827" t="s">
        <v>1434</v>
      </c>
      <c r="H108" s="2555">
        <f ca="1">IF(H107=H101,H102,ROUND(H107*10000/'数据-汇总表'!E3,0))</f>
        <v>0</v>
      </c>
      <c r="I108" s="129"/>
    </row>
    <row r="109" spans="1:35" ht="18.75" customHeight="1">
      <c r="A109" s="129"/>
      <c r="B109" s="129"/>
      <c r="C109" s="129"/>
      <c r="D109" s="129"/>
      <c r="E109" s="3639" t="str">
        <f>IF(项目基本情况!E8="已注销及未注销","4.抵押担保权已注销时的房地产抵押价值",IF(项目基本情况!E8="已注销","3.抵押担保权已注销时的房地产抵押价值","——"))</f>
        <v>——</v>
      </c>
      <c r="F109" s="3607"/>
      <c r="G109" s="1827" t="s">
        <v>1432</v>
      </c>
      <c r="H109" s="2598" t="str">
        <f>IF(E109="——","——",H101-H105-H106)</f>
        <v>——</v>
      </c>
      <c r="I109" s="129"/>
    </row>
    <row r="110" spans="1:35" ht="18.75" customHeight="1">
      <c r="A110" s="129"/>
      <c r="B110" s="129"/>
      <c r="C110" s="129"/>
      <c r="D110" s="129"/>
      <c r="E110" s="3639"/>
      <c r="F110" s="3607"/>
      <c r="G110" s="1827" t="s">
        <v>1434</v>
      </c>
      <c r="H110" s="2555" t="str">
        <f>IF(H109="——","——",ROUND(H109*10000/'数据-汇总表'!E3,0))</f>
        <v>——</v>
      </c>
      <c r="I110" s="129"/>
    </row>
    <row r="111" spans="1:35" ht="18.75" customHeight="1">
      <c r="A111" s="129"/>
      <c r="B111" s="129"/>
      <c r="C111" s="129"/>
      <c r="D111" s="129"/>
      <c r="E111" s="3640" t="str">
        <f>IF(项目基本情况!E9="抵押净值",IF(OR(项目基本情况!E8="已注销",项目基本情况!E8="房地产抵押价值"),"4.抵押净值","5.抵押净值"),"——")</f>
        <v>——</v>
      </c>
      <c r="F111" s="3626"/>
      <c r="G111" s="1827" t="s">
        <v>1432</v>
      </c>
      <c r="H111" s="2595" t="str">
        <f>IF(E111="——","——",N59)</f>
        <v>——</v>
      </c>
      <c r="I111" s="129"/>
    </row>
    <row r="112" spans="1:35" ht="18.75" customHeight="1" thickBot="1">
      <c r="A112" s="129"/>
      <c r="B112" s="129"/>
      <c r="C112" s="129"/>
      <c r="D112" s="129"/>
      <c r="E112" s="3641"/>
      <c r="F112" s="3642"/>
      <c r="G112" s="1830" t="s">
        <v>1434</v>
      </c>
      <c r="H112" s="2599" t="str">
        <f>IF(E111="——","——",N61)</f>
        <v>——</v>
      </c>
      <c r="I112" s="129"/>
    </row>
    <row r="113" spans="1:27" ht="18.75" customHeight="1">
      <c r="A113" s="129"/>
      <c r="B113" s="129"/>
      <c r="C113" s="129"/>
      <c r="D113" s="129"/>
      <c r="E113" s="3649" t="s">
        <v>1440</v>
      </c>
      <c r="F113" s="3649"/>
      <c r="G113" s="3649"/>
      <c r="H113" s="3649"/>
      <c r="I113" s="129"/>
    </row>
    <row r="114" spans="1:27" ht="3.75" customHeight="1">
      <c r="A114" s="1747"/>
      <c r="B114" s="1747"/>
      <c r="C114" s="1747"/>
      <c r="D114" s="1747"/>
      <c r="E114" s="1809"/>
      <c r="F114" s="1809"/>
      <c r="G114" s="1809"/>
      <c r="H114" s="1809"/>
      <c r="I114" s="1747"/>
    </row>
    <row r="115" spans="1:27" ht="18.75" customHeight="1">
      <c r="A115" s="3657" t="s">
        <v>1442</v>
      </c>
      <c r="B115" s="3658"/>
      <c r="C115" s="3658"/>
      <c r="D115" s="3658"/>
      <c r="E115" s="3658"/>
      <c r="F115" s="3658"/>
      <c r="G115" s="3658"/>
      <c r="H115" s="3658"/>
      <c r="I115" s="3659"/>
    </row>
    <row r="116" spans="1:27" ht="27" customHeight="1">
      <c r="A116" s="3614" t="s">
        <v>1443</v>
      </c>
      <c r="B116" s="3618" t="s">
        <v>1444</v>
      </c>
      <c r="C116" s="3618" t="s">
        <v>1445</v>
      </c>
      <c r="D116" s="3624" t="s">
        <v>1446</v>
      </c>
      <c r="E116" s="3625"/>
      <c r="F116" s="3656" t="s">
        <v>1447</v>
      </c>
      <c r="G116" s="3656"/>
      <c r="H116" s="3614" t="s">
        <v>1448</v>
      </c>
      <c r="I116" s="3614"/>
    </row>
    <row r="117" spans="1:27" ht="18.75" customHeight="1">
      <c r="A117" s="3614"/>
      <c r="B117" s="3619"/>
      <c r="C117" s="3619"/>
      <c r="D117" s="2329" t="s">
        <v>1449</v>
      </c>
      <c r="E117" s="2329" t="s">
        <v>1450</v>
      </c>
      <c r="F117" s="2329" t="s">
        <v>1449</v>
      </c>
      <c r="G117" s="2329" t="s">
        <v>1451</v>
      </c>
      <c r="H117" s="2329" t="s">
        <v>1449</v>
      </c>
      <c r="I117" s="2329" t="s">
        <v>1451</v>
      </c>
    </row>
    <row r="118" spans="1:27" ht="24.75" customHeight="1">
      <c r="A118" s="2600" t="str">
        <f>项目基本情况!S2</f>
        <v>房地产</v>
      </c>
      <c r="B118" s="2329">
        <f>M18</f>
        <v>16683.080000000002</v>
      </c>
      <c r="C118" s="2329">
        <f>M19</f>
        <v>6666.7</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14" t="s">
        <v>1452</v>
      </c>
      <c r="B119" s="3614"/>
      <c r="C119" s="3614"/>
      <c r="D119" s="3620" t="e">
        <f ca="1">NUMBERSTRING(INT(D118*10000),2)&amp;"元整"</f>
        <v>#REF!</v>
      </c>
      <c r="E119" s="3621"/>
      <c r="F119" s="3620" t="e">
        <f ca="1">NUMBERSTRING(INT(F118*10000),2)&amp;"元整"</f>
        <v>#REF!</v>
      </c>
      <c r="G119" s="3621"/>
      <c r="H119" s="3620" t="e">
        <f ca="1">NUMBERSTRING(INT(H118*10000),2)&amp;"元整"</f>
        <v>#REF!</v>
      </c>
      <c r="I119" s="3621"/>
    </row>
    <row r="120" spans="1:27" ht="18.75" customHeight="1">
      <c r="A120" s="3615" t="str">
        <f>IF(项目基本情况!B9="房地产市场价值","",MID(E103,3,LEN(E103)-2))</f>
        <v>估价师知悉的法定优先受偿款</v>
      </c>
      <c r="B120" s="3616"/>
      <c r="C120" s="3617"/>
      <c r="D120" s="3615">
        <f>H103</f>
        <v>0</v>
      </c>
      <c r="E120" s="3616"/>
      <c r="F120" s="3616"/>
      <c r="G120" s="3616"/>
      <c r="H120" s="3616"/>
      <c r="I120" s="361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0" t="s">
        <v>1452</v>
      </c>
      <c r="B121" s="3622"/>
      <c r="C121" s="3621"/>
      <c r="D121" s="3620" t="str">
        <f>IF(D120=0,"零元整",NUMBERSTRING(INT(D120*10000),2)&amp;"元整")</f>
        <v>零元整</v>
      </c>
      <c r="E121" s="3622"/>
      <c r="F121" s="3622"/>
      <c r="G121" s="3622"/>
      <c r="H121" s="3622"/>
      <c r="I121" s="3621"/>
      <c r="AA121" s="725"/>
    </row>
    <row r="122" spans="1:27" ht="18.75" customHeight="1">
      <c r="A122" s="3626" t="str">
        <f>IF(项目基本情况!B9="房地产市场价值","",MID(E107,3,LEN(E107)-2))</f>
        <v>房地产抵押价值</v>
      </c>
      <c r="B122" s="3626"/>
      <c r="C122" s="3626"/>
      <c r="D122" s="3615" t="e">
        <f ca="1">H107</f>
        <v>#REF!</v>
      </c>
      <c r="E122" s="3616"/>
      <c r="F122" s="3616"/>
      <c r="G122" s="3616"/>
      <c r="H122" s="3616"/>
      <c r="I122" s="3617"/>
      <c r="AA122" s="725"/>
    </row>
    <row r="123" spans="1:27" ht="18.75" customHeight="1">
      <c r="A123" s="3614" t="s">
        <v>1452</v>
      </c>
      <c r="B123" s="3614"/>
      <c r="C123" s="3614"/>
      <c r="D123" s="3620" t="e">
        <f ca="1">NUMBERSTRING(INT(D122*10000),2)&amp;"元整"</f>
        <v>#REF!</v>
      </c>
      <c r="E123" s="3622"/>
      <c r="F123" s="3622"/>
      <c r="G123" s="3622"/>
      <c r="H123" s="3622"/>
      <c r="I123" s="3621"/>
      <c r="AA123" s="725"/>
    </row>
    <row r="124" spans="1:27" ht="18.75" customHeight="1">
      <c r="A124" s="3626" t="str">
        <f>IF(项目基本情况!B9="房地产市场价值","",MID(E109,3,LEN(E109)-2))</f>
        <v/>
      </c>
      <c r="B124" s="3626"/>
      <c r="C124" s="3626"/>
      <c r="D124" s="3615" t="str">
        <f>H109</f>
        <v>——</v>
      </c>
      <c r="E124" s="3616"/>
      <c r="F124" s="3616"/>
      <c r="G124" s="3616"/>
      <c r="H124" s="3616"/>
      <c r="I124" s="3617"/>
      <c r="AA124" s="725"/>
    </row>
    <row r="125" spans="1:27" ht="18.75" customHeight="1">
      <c r="A125" s="3614" t="s">
        <v>1452</v>
      </c>
      <c r="B125" s="3614"/>
      <c r="C125" s="3614"/>
      <c r="D125" s="3620" t="e">
        <f>NUMBERSTRING(INT(D124*10000),2)&amp;"元整"</f>
        <v>#VALUE!</v>
      </c>
      <c r="E125" s="3622"/>
      <c r="F125" s="3622"/>
      <c r="G125" s="3622"/>
      <c r="H125" s="3622"/>
      <c r="I125" s="3621"/>
      <c r="AA125" s="725"/>
    </row>
    <row r="126" spans="1:27" ht="18.75" customHeight="1">
      <c r="A126" s="3626" t="str">
        <f>IF(项目基本情况!B9="房地产市场价值","",MID(E111,3,LEN(E111)-2))</f>
        <v/>
      </c>
      <c r="B126" s="3626"/>
      <c r="C126" s="3626"/>
      <c r="D126" s="3615" t="str">
        <f>H111</f>
        <v>——</v>
      </c>
      <c r="E126" s="3616"/>
      <c r="F126" s="3616"/>
      <c r="G126" s="3616"/>
      <c r="H126" s="3616"/>
      <c r="I126" s="3617"/>
      <c r="AA126" s="725"/>
    </row>
    <row r="127" spans="1:27" ht="18.75" customHeight="1">
      <c r="A127" s="3614" t="s">
        <v>1452</v>
      </c>
      <c r="B127" s="3614"/>
      <c r="C127" s="3614"/>
      <c r="D127" s="3620" t="e">
        <f>NUMBERSTRING(INT(D126*10000),2)&amp;"元整"</f>
        <v>#VALUE!</v>
      </c>
      <c r="E127" s="3622"/>
      <c r="F127" s="3622"/>
      <c r="G127" s="3622"/>
      <c r="H127" s="3622"/>
      <c r="I127" s="3621"/>
      <c r="AA127" s="725"/>
    </row>
    <row r="128" spans="1:27" ht="21.75" customHeight="1">
      <c r="A128" s="3623" t="s">
        <v>1453</v>
      </c>
      <c r="B128" s="3623"/>
      <c r="C128" s="3623"/>
      <c r="D128" s="3623"/>
      <c r="E128" s="3623"/>
      <c r="F128" s="3623"/>
      <c r="G128" s="3623"/>
      <c r="H128" s="3623"/>
      <c r="I128" s="362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62" sqref="M62"/>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6652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3987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334</v>
      </c>
      <c r="D10" s="845">
        <f ca="1">IF(B1="",'数据-汇总表'!E6,IF(INDIRECT("'数据-取费表'!c"&amp;$G$1)="住宅",INDIRECT("'数据-取费表'!s"&amp;$G$1),INDIRECT("'数据-取费表'!k"&amp;$G$1)+INDIRECT("'数据-取费表'!s"&amp;$G$1)))</f>
        <v>16683.080000000002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526</v>
      </c>
      <c r="D19" s="849">
        <f ca="1">D9+D10</f>
        <v>16683.080000000002</v>
      </c>
      <c r="E19" s="211">
        <f>'数据-取费表'!B31</f>
        <v>315</v>
      </c>
      <c r="F19" s="231"/>
      <c r="G19" s="1856"/>
    </row>
    <row r="20" spans="1:7" s="214" customFormat="1" ht="13.5" customHeight="1">
      <c r="A20" s="255" t="s">
        <v>1493</v>
      </c>
      <c r="B20" s="210" t="s">
        <v>1494</v>
      </c>
      <c r="C20" s="232">
        <f ca="1">ROUND((C5+C19)*F20,0)</f>
        <v>11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24</v>
      </c>
      <c r="D22" s="235">
        <f ca="1">C26</f>
        <v>5.0000000000000001E-4</v>
      </c>
      <c r="E22" s="236" t="s">
        <v>1498</v>
      </c>
      <c r="F22" s="237">
        <f ca="1">'数据-取费表'!B40</f>
        <v>3.0599999999999999E-2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24</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6.4">
      <c r="A27" s="255" t="s">
        <v>1512</v>
      </c>
      <c r="B27" s="244" t="s">
        <v>1513</v>
      </c>
      <c r="C27" s="245">
        <f ca="1">C28</f>
        <v>54</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54</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665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5689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5005</v>
      </c>
      <c r="D34" s="217"/>
      <c r="E34" s="220"/>
      <c r="F34" s="257">
        <f ca="1">IF('数据-取费表'!B24=0,1,IF(B1="",'数据-取费表'!N16,INDIRECT("'数据-取费表'!n"&amp;$G$1)))</f>
        <v>1</v>
      </c>
      <c r="G34" s="219" t="s">
        <v>1526</v>
      </c>
    </row>
    <row r="35" spans="1:7" ht="13.5" customHeight="1">
      <c r="A35" s="780" t="s">
        <v>351</v>
      </c>
      <c r="B35" s="215" t="s">
        <v>1527</v>
      </c>
      <c r="C35" s="220">
        <f ca="1">ROUND(C34*F35,0)</f>
        <v>250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334</v>
      </c>
      <c r="D37" s="217">
        <f ca="1">D19</f>
        <v>16683.080000000002</v>
      </c>
      <c r="E37" s="249">
        <f>'数据-取费表'!B35</f>
        <v>200</v>
      </c>
      <c r="F37" s="259"/>
      <c r="G37" s="261" t="s">
        <v>1532</v>
      </c>
    </row>
    <row r="38" spans="1:7" ht="13.5" customHeight="1">
      <c r="A38" s="780" t="s">
        <v>354</v>
      </c>
      <c r="B38" s="215" t="s">
        <v>1533</v>
      </c>
      <c r="C38" s="220">
        <f ca="1">ROUND(C34*F38,0)</f>
        <v>100</v>
      </c>
      <c r="D38" s="220"/>
      <c r="E38" s="220"/>
      <c r="F38" s="259">
        <f>'数据-取费表'!B36</f>
        <v>0.02</v>
      </c>
      <c r="G38" s="219" t="s">
        <v>1528</v>
      </c>
    </row>
    <row r="39" spans="1:7" s="214" customFormat="1" ht="13.5" customHeight="1">
      <c r="A39" s="255" t="s">
        <v>1534</v>
      </c>
      <c r="B39" s="210" t="s">
        <v>1535</v>
      </c>
      <c r="C39" s="232">
        <f ca="1">ROUND(C33*F20,0)</f>
        <v>114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133</v>
      </c>
      <c r="D41" s="235">
        <f ca="1">C44</f>
        <v>5.0000000000000001E-4</v>
      </c>
      <c r="E41" s="236" t="s">
        <v>1539</v>
      </c>
      <c r="F41" s="237">
        <f ca="1">F22</f>
        <v>3.0599999999999999E-2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130</v>
      </c>
      <c r="D42" s="238"/>
      <c r="E42" s="238"/>
      <c r="F42" s="239"/>
      <c r="G42" s="3693" t="s">
        <v>1544</v>
      </c>
    </row>
    <row r="43" spans="1:7" ht="13.5" customHeight="1">
      <c r="A43" s="780" t="s">
        <v>347</v>
      </c>
      <c r="B43" s="215" t="s">
        <v>1545</v>
      </c>
      <c r="C43" s="238">
        <f ca="1">ROUND(IF('数据-取费表'!B22&lt;=1,C39*F22*'数据-取费表'!B21/2,C39*(POWER((1+F22),'数据-取费表'!B21/2)-1)),0)</f>
        <v>3</v>
      </c>
      <c r="D43" s="238"/>
      <c r="E43" s="238"/>
      <c r="F43" s="239"/>
      <c r="G43" s="3694"/>
    </row>
    <row r="44" spans="1:7" ht="13.5" customHeight="1">
      <c r="A44" s="780" t="s">
        <v>348</v>
      </c>
      <c r="B44" s="215" t="s">
        <v>1546</v>
      </c>
      <c r="C44" s="238">
        <f ca="1">ROUND(IF('数据-取费表'!B22&lt;=1,C40*F22*'数据-取费表'!B21/2,C40*(POWER((1+F22),'数据-取费表'!B21/2)-1)),4)</f>
        <v>5.0000000000000001E-4</v>
      </c>
      <c r="D44" s="238"/>
      <c r="E44" s="238"/>
      <c r="F44" s="239"/>
      <c r="G44" s="3695"/>
    </row>
    <row r="45" spans="1:7" s="214" customFormat="1" ht="13.5" customHeight="1">
      <c r="A45" s="255" t="s">
        <v>1547</v>
      </c>
      <c r="B45" s="244" t="s">
        <v>1513</v>
      </c>
      <c r="C45" s="245">
        <f ca="1">C46</f>
        <v>580</v>
      </c>
      <c r="D45" s="235">
        <f ca="1">C47</f>
        <v>2E-3</v>
      </c>
      <c r="E45" s="236" t="s">
        <v>1539</v>
      </c>
      <c r="F45" s="246">
        <f ca="1">F27</f>
        <v>0.1</v>
      </c>
      <c r="G45" s="247" t="s">
        <v>1548</v>
      </c>
    </row>
    <row r="46" spans="1:7" s="214" customFormat="1" ht="13.5" customHeight="1">
      <c r="A46" s="780" t="s">
        <v>346</v>
      </c>
      <c r="B46" s="248" t="s">
        <v>1549</v>
      </c>
      <c r="C46" s="249">
        <f ca="1">ROUND((C33+C39)*F27,0)</f>
        <v>580</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7044</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5987</v>
      </c>
      <c r="D51" s="232"/>
      <c r="E51" s="232"/>
      <c r="F51" s="264"/>
      <c r="G51" s="234" t="s">
        <v>1560</v>
      </c>
    </row>
    <row r="52" spans="1:7" s="208" customFormat="1" ht="16.8" thickBot="1">
      <c r="A52" s="265" t="s">
        <v>1561</v>
      </c>
      <c r="B52" s="266"/>
      <c r="C52" s="267">
        <f ca="1">C31+C51</f>
        <v>6652</v>
      </c>
      <c r="D52" s="266"/>
      <c r="E52" s="266"/>
      <c r="F52" s="266"/>
      <c r="G52" s="268"/>
    </row>
    <row r="55" spans="1:7" ht="15">
      <c r="B55" s="270" t="s">
        <v>1562</v>
      </c>
      <c r="C55" s="271"/>
    </row>
    <row r="56" spans="1:7">
      <c r="B56" s="273" t="s">
        <v>802</v>
      </c>
      <c r="C56" s="275">
        <f ca="1">1-C57</f>
        <v>9.9999999999999978E-2</v>
      </c>
    </row>
    <row r="57" spans="1:7">
      <c r="B57" s="273" t="s">
        <v>803</v>
      </c>
      <c r="C57" s="274">
        <f ca="1">ROUND(C51/C52,3)</f>
        <v>0.9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10" t="str">
        <f>项目基本情况!B1</f>
        <v>预评估</v>
      </c>
      <c r="C37" s="3510"/>
      <c r="D37" s="3510"/>
      <c r="E37" s="3510"/>
      <c r="F37" s="3510"/>
      <c r="G37" s="3510"/>
      <c r="H37" s="3510"/>
      <c r="I37" s="351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zoomScale="110" zoomScaleNormal="110" workbookViewId="0">
      <selection activeCell="C21" sqref="C21"/>
    </sheetView>
  </sheetViews>
  <sheetFormatPr defaultColWidth="22.88671875" defaultRowHeight="14.4"/>
  <cols>
    <col min="1" max="1" width="8" style="3487" customWidth="1"/>
    <col min="2" max="2" width="18.44140625" style="3487" customWidth="1"/>
    <col min="3" max="3" width="15.44140625" style="3487" customWidth="1"/>
    <col min="4" max="4" width="55" style="3487" customWidth="1"/>
    <col min="5" max="5" width="22.109375" style="3487" customWidth="1"/>
    <col min="6" max="6" width="16.109375" style="3487" customWidth="1"/>
    <col min="7" max="7" width="11" style="3487" customWidth="1"/>
    <col min="8" max="16384" width="22.88671875" style="3487"/>
  </cols>
  <sheetData>
    <row r="1" spans="1:10">
      <c r="A1" s="3478" t="s">
        <v>3437</v>
      </c>
      <c r="B1" s="3478" t="s">
        <v>3438</v>
      </c>
      <c r="C1" s="3478" t="s">
        <v>3439</v>
      </c>
      <c r="D1" s="3479" t="s">
        <v>3440</v>
      </c>
      <c r="F1" s="3487" t="s">
        <v>3461</v>
      </c>
      <c r="H1" s="3488" t="s">
        <v>3458</v>
      </c>
      <c r="I1" s="3488"/>
    </row>
    <row r="2" spans="1:10" ht="48.6" customHeight="1">
      <c r="A2" s="3479">
        <v>1</v>
      </c>
      <c r="B2" s="3478" t="s">
        <v>3441</v>
      </c>
      <c r="C2" s="3480">
        <f ca="1">ROUND(E2/G2,2)</f>
        <v>200.52</v>
      </c>
      <c r="D2" s="3481" t="s">
        <v>3459</v>
      </c>
      <c r="E2" s="3489">
        <f ca="1">(基准地价修正!C33-基准地价修正!C34+F2)*基准地价修正!D33/10000</f>
        <v>10026.118104000001</v>
      </c>
      <c r="F2" s="3490">
        <f ca="1">'成本法 (元)'!C49/E4</f>
        <v>4221.7524581791849</v>
      </c>
      <c r="G2" s="3487">
        <v>50</v>
      </c>
      <c r="H2" s="3488"/>
      <c r="I2" s="3488">
        <v>16683.080000000002</v>
      </c>
    </row>
    <row r="3" spans="1:10">
      <c r="A3" s="3479">
        <v>2</v>
      </c>
      <c r="B3" s="3478" t="s">
        <v>3442</v>
      </c>
      <c r="C3" s="3480">
        <f ca="1">C4+C5+C6</f>
        <v>20.036118104000003</v>
      </c>
      <c r="D3" s="3479" t="s">
        <v>3443</v>
      </c>
      <c r="H3" s="3488"/>
      <c r="I3" s="3488"/>
      <c r="J3" s="3487">
        <f>I1-I2</f>
        <v>-16683.080000000002</v>
      </c>
    </row>
    <row r="4" spans="1:10" ht="26.4">
      <c r="A4" s="3479">
        <v>2.1</v>
      </c>
      <c r="B4" s="3482" t="s">
        <v>3444</v>
      </c>
      <c r="C4" s="3480">
        <f>F4</f>
        <v>10.01</v>
      </c>
      <c r="D4" s="3479" t="s">
        <v>3462</v>
      </c>
      <c r="E4" s="3487">
        <f>'数据-基础表'!I13</f>
        <v>16683.080000000002</v>
      </c>
      <c r="F4" s="3487">
        <f>ROUND(E4*0.5*12/10000,2)</f>
        <v>10.01</v>
      </c>
      <c r="I4" s="3487">
        <f>I2*20000</f>
        <v>333661600.00000006</v>
      </c>
    </row>
    <row r="5" spans="1:10" ht="24">
      <c r="A5" s="3479">
        <v>2.2000000000000002</v>
      </c>
      <c r="B5" s="3484" t="s">
        <v>3445</v>
      </c>
      <c r="C5" s="3483">
        <f ca="1">E2*F5</f>
        <v>10.026118104000002</v>
      </c>
      <c r="D5" s="3478" t="s">
        <v>3463</v>
      </c>
      <c r="E5" s="3489"/>
      <c r="F5" s="3491">
        <v>1E-3</v>
      </c>
    </row>
    <row r="6" spans="1:10" ht="38.4">
      <c r="A6" s="3479">
        <v>2.2999999999999998</v>
      </c>
      <c r="B6" s="3484" t="s">
        <v>3446</v>
      </c>
      <c r="C6" s="3479">
        <f>ROUND(E6*F6*12/10000,2)</f>
        <v>0</v>
      </c>
      <c r="D6" s="3479" t="s">
        <v>3447</v>
      </c>
      <c r="E6" s="3487">
        <f>E4</f>
        <v>16683.080000000002</v>
      </c>
      <c r="F6" s="3487">
        <v>0</v>
      </c>
    </row>
    <row r="7" spans="1:10">
      <c r="A7" s="3479">
        <v>3</v>
      </c>
      <c r="B7" s="3484" t="s">
        <v>3448</v>
      </c>
      <c r="C7" s="3479">
        <f ca="1">C8+C9+C10</f>
        <v>25.58</v>
      </c>
      <c r="D7" s="3479" t="s">
        <v>3449</v>
      </c>
    </row>
    <row r="8" spans="1:10">
      <c r="A8" s="3479">
        <v>3.1</v>
      </c>
      <c r="B8" s="3484" t="s">
        <v>3450</v>
      </c>
      <c r="C8" s="3479">
        <f>E8*F8</f>
        <v>3.2</v>
      </c>
      <c r="D8" s="3479"/>
      <c r="E8" s="3487">
        <v>320</v>
      </c>
      <c r="F8" s="3495">
        <v>0.01</v>
      </c>
      <c r="G8" s="3487" t="s">
        <v>3456</v>
      </c>
    </row>
    <row r="9" spans="1:10" ht="57.6">
      <c r="A9" s="3479">
        <v>3.2</v>
      </c>
      <c r="B9" s="3484" t="s">
        <v>3451</v>
      </c>
      <c r="C9" s="3485">
        <v>0</v>
      </c>
      <c r="D9" s="3478" t="s">
        <v>3465</v>
      </c>
      <c r="F9" s="3492">
        <v>2.9899999999999999E-2</v>
      </c>
      <c r="G9" s="3493" t="s">
        <v>3464</v>
      </c>
      <c r="H9" s="3487">
        <f ca="1">ROUND(C2*0.7*2.99%,2)</f>
        <v>4.2</v>
      </c>
    </row>
    <row r="10" spans="1:10" ht="28.8">
      <c r="A10" s="3479">
        <v>3.3</v>
      </c>
      <c r="B10" s="3484" t="s">
        <v>3452</v>
      </c>
      <c r="C10" s="3486">
        <f ca="1">ROUND((C2+C3+C8+C9)*0.1,2)</f>
        <v>22.38</v>
      </c>
      <c r="D10" s="3479"/>
      <c r="E10" s="3493" t="s">
        <v>3457</v>
      </c>
      <c r="F10" s="3487">
        <f ca="1">(C2+C3+C7)</f>
        <v>246.13611810399999</v>
      </c>
    </row>
    <row r="11" spans="1:10" ht="20.25" customHeight="1">
      <c r="A11" s="3479">
        <v>4</v>
      </c>
      <c r="B11" s="3478" t="s">
        <v>3453</v>
      </c>
      <c r="C11" s="3480">
        <f ca="1">C2+C3+C7</f>
        <v>246.13611810399999</v>
      </c>
      <c r="D11" s="3479" t="s">
        <v>3454</v>
      </c>
    </row>
    <row r="12" spans="1:10" ht="26.4">
      <c r="A12" s="3479">
        <v>5</v>
      </c>
      <c r="B12" s="3478" t="s">
        <v>3455</v>
      </c>
      <c r="C12" s="3483">
        <f ca="1">ROUND(C11*10000/I2/365,2)</f>
        <v>0.4</v>
      </c>
      <c r="D12" s="3479" t="s">
        <v>3460</v>
      </c>
    </row>
    <row r="16" spans="1:10">
      <c r="H16" s="3494"/>
    </row>
  </sheetData>
  <phoneticPr fontId="134" type="noConversion"/>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
  <sheetViews>
    <sheetView tabSelected="1" workbookViewId="0">
      <selection activeCell="E5" sqref="E5"/>
    </sheetView>
  </sheetViews>
  <sheetFormatPr defaultRowHeight="14.4"/>
  <cols>
    <col min="5" max="5" width="11.77734375" customWidth="1"/>
  </cols>
  <sheetData>
    <row r="1" spans="2:5">
      <c r="B1" s="3497" t="s">
        <v>3498</v>
      </c>
      <c r="C1" s="3497" t="s">
        <v>3499</v>
      </c>
      <c r="D1" s="3497" t="s">
        <v>3500</v>
      </c>
      <c r="E1" s="3497" t="s">
        <v>3501</v>
      </c>
    </row>
    <row r="2" spans="2:5">
      <c r="B2" s="3497" t="s">
        <v>3496</v>
      </c>
      <c r="C2">
        <f>'比较法-仓储'!C36</f>
        <v>0.67</v>
      </c>
      <c r="D2">
        <v>0.8</v>
      </c>
      <c r="E2" s="3696">
        <f ca="1">ROUND(C2*D2+C3*D3,2)</f>
        <v>0.62</v>
      </c>
    </row>
    <row r="3" spans="2:5">
      <c r="B3" s="3497" t="s">
        <v>3497</v>
      </c>
      <c r="C3">
        <f ca="1">成本分析!C12</f>
        <v>0.4</v>
      </c>
      <c r="D3">
        <f>1-D2</f>
        <v>0.19999999999999996</v>
      </c>
      <c r="E3" s="3696"/>
    </row>
  </sheetData>
  <mergeCells count="1">
    <mergeCell ref="E2:E3"/>
  </mergeCells>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10" zoomScale="85" zoomScaleNormal="70" zoomScaleSheetLayoutView="85" workbookViewId="0">
      <selection activeCell="G51" sqref="G51"/>
    </sheetView>
  </sheetViews>
  <sheetFormatPr defaultColWidth="9" defaultRowHeight="13.8"/>
  <cols>
    <col min="1" max="1" width="10.44140625" style="357" customWidth="1"/>
    <col min="2" max="2" width="15.77734375" style="357" customWidth="1"/>
    <col min="3" max="3" width="17.6640625" style="357" customWidth="1"/>
    <col min="4" max="4" width="12.21875" style="357" customWidth="1"/>
    <col min="5" max="5" width="16.109375" style="357" customWidth="1"/>
    <col min="6" max="6" width="12.21875" style="357" customWidth="1"/>
    <col min="7" max="7" width="16.109375" style="357" customWidth="1"/>
    <col min="8" max="8" width="12.21875" style="357" customWidth="1"/>
    <col min="9" max="9" width="16.10937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3331</v>
      </c>
      <c r="C1" s="1224" t="s">
        <v>1662</v>
      </c>
      <c r="D1" s="1225" t="s">
        <v>3331</v>
      </c>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IF(C2="——",C37,ROUND(B2*10000/D3,0))</f>
        <v>0.67</v>
      </c>
      <c r="C3" s="354" t="s">
        <v>1768</v>
      </c>
      <c r="D3" s="353">
        <f>SUMIF('数据-汇总表'!$C19:$C33,D1,'数据-汇总表'!$E19:$E33)</f>
        <v>16683.080000000002</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5" t="s">
        <v>1770</v>
      </c>
      <c r="D4" s="3716"/>
      <c r="E4" s="3717" t="s">
        <v>1771</v>
      </c>
      <c r="F4" s="3718"/>
      <c r="G4" s="3715" t="s">
        <v>1772</v>
      </c>
      <c r="H4" s="3716"/>
      <c r="I4" s="3715" t="s">
        <v>1773</v>
      </c>
      <c r="J4" s="3716"/>
      <c r="K4" s="559" t="s">
        <v>1774</v>
      </c>
      <c r="L4" s="2715"/>
      <c r="M4" s="2716"/>
      <c r="N4" s="2716"/>
      <c r="O4" s="2716"/>
      <c r="P4" s="3719" t="s">
        <v>1775</v>
      </c>
      <c r="Q4" s="3720"/>
      <c r="R4" s="3702" t="s">
        <v>1771</v>
      </c>
      <c r="S4" s="3703"/>
      <c r="T4" s="3702" t="s">
        <v>1772</v>
      </c>
      <c r="U4" s="3703"/>
      <c r="V4" s="3727" t="s">
        <v>1773</v>
      </c>
      <c r="W4" s="3727"/>
      <c r="X4" s="1355"/>
      <c r="Y4" s="3702" t="s">
        <v>1775</v>
      </c>
      <c r="Z4" s="3703"/>
      <c r="AA4" s="3697" t="s">
        <v>1771</v>
      </c>
      <c r="AB4" s="3698" t="s">
        <v>1772</v>
      </c>
      <c r="AC4" s="3697" t="s">
        <v>1773</v>
      </c>
    </row>
    <row r="5" spans="1:29">
      <c r="A5" s="358"/>
      <c r="B5" s="359"/>
      <c r="C5" s="3708" t="s">
        <v>1673</v>
      </c>
      <c r="D5" s="3709"/>
      <c r="E5" s="3706" t="str">
        <f>Sheet4!A4</f>
        <v>杨镇</v>
      </c>
      <c r="F5" s="3707"/>
      <c r="G5" s="3708" t="str">
        <f>Sheet4!A5</f>
        <v>马坡</v>
      </c>
      <c r="H5" s="3709"/>
      <c r="I5" s="3708" t="str">
        <f>Sheet4!A6</f>
        <v>南彩镇</v>
      </c>
      <c r="J5" s="3709"/>
      <c r="K5" s="559"/>
      <c r="L5" s="2715"/>
      <c r="M5" s="2716"/>
      <c r="N5" s="2716"/>
      <c r="O5" s="2716"/>
      <c r="P5" s="3721"/>
      <c r="Q5" s="3722"/>
      <c r="R5" s="3704"/>
      <c r="S5" s="3705"/>
      <c r="T5" s="3704"/>
      <c r="U5" s="3705"/>
      <c r="V5" s="3727"/>
      <c r="W5" s="3727"/>
      <c r="X5" s="1355"/>
      <c r="Y5" s="3704"/>
      <c r="Z5" s="3705"/>
      <c r="AA5" s="3698"/>
      <c r="AB5" s="3698"/>
      <c r="AC5" s="3698"/>
    </row>
    <row r="6" spans="1:29" ht="15" thickBot="1">
      <c r="A6" s="360"/>
      <c r="B6" s="361"/>
      <c r="C6" s="3710" t="s">
        <v>1677</v>
      </c>
      <c r="D6" s="3711"/>
      <c r="E6" s="3712" t="s">
        <v>1677</v>
      </c>
      <c r="F6" s="3713"/>
      <c r="G6" s="3710" t="s">
        <v>1677</v>
      </c>
      <c r="H6" s="3711"/>
      <c r="I6" s="3710" t="s">
        <v>1677</v>
      </c>
      <c r="J6" s="3711"/>
      <c r="K6" s="559" t="s">
        <v>1678</v>
      </c>
      <c r="L6" s="2715"/>
      <c r="M6" s="2716"/>
      <c r="N6" s="2716"/>
      <c r="O6" s="2716"/>
      <c r="P6" s="3723"/>
      <c r="Q6" s="3724"/>
      <c r="R6" s="3704"/>
      <c r="S6" s="3705"/>
      <c r="T6" s="3725"/>
      <c r="U6" s="3726"/>
      <c r="V6" s="3727"/>
      <c r="W6" s="3727"/>
      <c r="X6" s="1355"/>
      <c r="Y6" s="3725"/>
      <c r="Z6" s="3726"/>
      <c r="AA6" s="3699"/>
      <c r="AB6" s="3699"/>
      <c r="AC6" s="3699"/>
    </row>
    <row r="7" spans="1:29" s="108" customFormat="1" ht="15" thickBot="1">
      <c r="A7" s="362" t="s">
        <v>1679</v>
      </c>
      <c r="B7" s="363"/>
      <c r="C7" s="364">
        <f>'数据-取费表'!B2</f>
        <v>45952</v>
      </c>
      <c r="D7" s="365">
        <v>100</v>
      </c>
      <c r="E7" s="3502">
        <f>C7</f>
        <v>45952</v>
      </c>
      <c r="F7" s="367">
        <f>SUMIF(46:46,YEAR(E7)&amp;"-"&amp;MONTH(E7),47:47)</f>
        <v>100</v>
      </c>
      <c r="G7" s="3503">
        <f>C7</f>
        <v>45952</v>
      </c>
      <c r="H7" s="365">
        <f>SUMIF(46:46,YEAR(G7)&amp;"-"&amp;MONTH(G7),47:47)</f>
        <v>100</v>
      </c>
      <c r="I7" s="3502">
        <f>C7</f>
        <v>45952</v>
      </c>
      <c r="J7" s="365">
        <f>SUMIF(46:46,YEAR(I7)&amp;"-"&amp;MONTH(I7),47:47)</f>
        <v>100</v>
      </c>
      <c r="K7" s="560"/>
      <c r="L7" s="2717"/>
      <c r="M7" s="2718"/>
      <c r="N7" s="2718"/>
      <c r="O7" s="2718"/>
      <c r="P7" s="3700" t="s">
        <v>1680</v>
      </c>
      <c r="Q7" s="3728"/>
      <c r="R7" s="701" t="s">
        <v>14</v>
      </c>
      <c r="S7" s="702">
        <f t="shared" ref="S7:S14" si="0">F7</f>
        <v>100</v>
      </c>
      <c r="T7" s="701" t="s">
        <v>14</v>
      </c>
      <c r="U7" s="702">
        <f t="shared" ref="U7:U14" si="1">H7</f>
        <v>100</v>
      </c>
      <c r="V7" s="701" t="s">
        <v>14</v>
      </c>
      <c r="W7" s="702">
        <f t="shared" ref="W7:W14" si="2">J7</f>
        <v>100</v>
      </c>
      <c r="X7" s="703"/>
      <c r="Y7" s="3700" t="s">
        <v>1680</v>
      </c>
      <c r="Z7" s="3701"/>
      <c r="AA7" s="704">
        <f>D7/F7</f>
        <v>1</v>
      </c>
      <c r="AB7" s="704">
        <f>D7/H7</f>
        <v>1</v>
      </c>
      <c r="AC7" s="704">
        <f>D7/J7</f>
        <v>1</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4" si="3">D8/F8</f>
        <v>1</v>
      </c>
      <c r="AB8" s="704">
        <f t="shared" ref="AB8:AB34" si="4">D8/H8</f>
        <v>1</v>
      </c>
      <c r="AC8" s="704">
        <f t="shared" ref="AC8:AC34" si="5">D8/J8</f>
        <v>1</v>
      </c>
    </row>
    <row r="9" spans="1:29" s="108" customFormat="1" ht="14.4">
      <c r="A9" s="369" t="s">
        <v>1684</v>
      </c>
      <c r="B9" s="63" t="s">
        <v>1685</v>
      </c>
      <c r="C9" s="3504" t="s">
        <v>3502</v>
      </c>
      <c r="D9" s="126">
        <v>100</v>
      </c>
      <c r="E9" s="373" t="s">
        <v>3331</v>
      </c>
      <c r="F9" s="372">
        <f>SUMIF(51:51,E9,52:52)-SUMIF(51:51,C9,52:52)+100</f>
        <v>100</v>
      </c>
      <c r="G9" s="373" t="s">
        <v>3331</v>
      </c>
      <c r="H9" s="126">
        <f>SUMIF(51:51,G9,52:52)-SUMIF(51:51,C9,52:52)+100</f>
        <v>100</v>
      </c>
      <c r="I9" s="373" t="s">
        <v>3331</v>
      </c>
      <c r="J9" s="126">
        <f>SUMIF(51:51,I9,52:52)-SUMIF(51:51,C9,52:52)+100</f>
        <v>100</v>
      </c>
      <c r="K9" s="560"/>
      <c r="L9" s="2717"/>
      <c r="M9" s="2718"/>
      <c r="N9" s="2718"/>
      <c r="O9" s="2772"/>
      <c r="P9" s="3714" t="s">
        <v>1686</v>
      </c>
      <c r="Q9" s="1343" t="str">
        <f t="shared" ref="Q9:Q14" si="6">B9</f>
        <v>用途</v>
      </c>
      <c r="R9" s="701" t="s">
        <v>14</v>
      </c>
      <c r="S9" s="702">
        <f t="shared" si="0"/>
        <v>100</v>
      </c>
      <c r="T9" s="701" t="s">
        <v>14</v>
      </c>
      <c r="U9" s="702">
        <f t="shared" si="1"/>
        <v>100</v>
      </c>
      <c r="V9" s="701" t="s">
        <v>14</v>
      </c>
      <c r="W9" s="702">
        <f t="shared" si="2"/>
        <v>100</v>
      </c>
      <c r="X9" s="703"/>
      <c r="Y9" s="3669"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4"/>
      <c r="Q10" s="1343" t="str">
        <f t="shared" si="6"/>
        <v>土地使用年限（年）</v>
      </c>
      <c r="R10" s="701" t="s">
        <v>14</v>
      </c>
      <c r="S10" s="702">
        <f t="shared" si="0"/>
        <v>100</v>
      </c>
      <c r="T10" s="701" t="s">
        <v>14</v>
      </c>
      <c r="U10" s="702">
        <f t="shared" si="1"/>
        <v>100</v>
      </c>
      <c r="V10" s="701" t="s">
        <v>14</v>
      </c>
      <c r="W10" s="702">
        <f t="shared" si="2"/>
        <v>100</v>
      </c>
      <c r="X10" s="703"/>
      <c r="Y10" s="366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4"/>
      <c r="Q11" s="1343">
        <f t="shared" si="6"/>
        <v>111</v>
      </c>
      <c r="R11" s="701" t="s">
        <v>14</v>
      </c>
      <c r="S11" s="702">
        <f t="shared" si="0"/>
        <v>100</v>
      </c>
      <c r="T11" s="701" t="s">
        <v>14</v>
      </c>
      <c r="U11" s="702">
        <f t="shared" si="1"/>
        <v>100</v>
      </c>
      <c r="V11" s="701" t="s">
        <v>14</v>
      </c>
      <c r="W11" s="702">
        <f t="shared" si="2"/>
        <v>100</v>
      </c>
      <c r="X11" s="703"/>
      <c r="Y11" s="366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4"/>
      <c r="Q12" s="1343">
        <f t="shared" si="6"/>
        <v>111</v>
      </c>
      <c r="R12" s="701" t="s">
        <v>14</v>
      </c>
      <c r="S12" s="702">
        <f t="shared" si="0"/>
        <v>100</v>
      </c>
      <c r="T12" s="701" t="s">
        <v>14</v>
      </c>
      <c r="U12" s="702">
        <f t="shared" si="1"/>
        <v>100</v>
      </c>
      <c r="V12" s="701" t="s">
        <v>14</v>
      </c>
      <c r="W12" s="702">
        <f t="shared" si="2"/>
        <v>100</v>
      </c>
      <c r="X12" s="703"/>
      <c r="Y12" s="3669"/>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4"/>
      <c r="Q13" s="1343">
        <f t="shared" si="6"/>
        <v>111</v>
      </c>
      <c r="R13" s="701" t="s">
        <v>14</v>
      </c>
      <c r="S13" s="702">
        <f t="shared" si="0"/>
        <v>100</v>
      </c>
      <c r="T13" s="701" t="s">
        <v>14</v>
      </c>
      <c r="U13" s="702">
        <f t="shared" si="1"/>
        <v>100</v>
      </c>
      <c r="V13" s="701" t="s">
        <v>14</v>
      </c>
      <c r="W13" s="702">
        <f t="shared" si="2"/>
        <v>100</v>
      </c>
      <c r="X13" s="703"/>
      <c r="Y13" s="3669"/>
      <c r="Z13" s="52">
        <f t="shared" si="7"/>
        <v>111</v>
      </c>
      <c r="AA13" s="704">
        <f t="shared" si="3"/>
        <v>1</v>
      </c>
      <c r="AB13" s="704">
        <f t="shared" si="4"/>
        <v>1</v>
      </c>
      <c r="AC13" s="704">
        <f t="shared" si="5"/>
        <v>1</v>
      </c>
    </row>
    <row r="14" spans="1:29" ht="69">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97</v>
      </c>
      <c r="G14" s="395"/>
      <c r="H14" s="392">
        <f>SUMIF(61:61,G15,62:62)-SUMIF(61:61,C15,62:62)+100</f>
        <v>97</v>
      </c>
      <c r="I14" s="393"/>
      <c r="J14" s="392">
        <f>SUMIF(61:61,I15,62:62)-SUMIF(61:61,C15,62:62)+100</f>
        <v>97</v>
      </c>
      <c r="K14" s="563">
        <v>3</v>
      </c>
      <c r="L14" s="2722"/>
      <c r="M14" s="2716"/>
      <c r="N14" s="2716"/>
      <c r="O14" s="2774"/>
      <c r="P14" s="3729" t="s">
        <v>1691</v>
      </c>
      <c r="Q14" s="1352" t="str">
        <f t="shared" si="6"/>
        <v>交通便捷度</v>
      </c>
      <c r="R14" s="705" t="s">
        <v>14</v>
      </c>
      <c r="S14" s="706">
        <f t="shared" si="0"/>
        <v>97</v>
      </c>
      <c r="T14" s="705" t="s">
        <v>14</v>
      </c>
      <c r="U14" s="706">
        <f t="shared" si="1"/>
        <v>97</v>
      </c>
      <c r="V14" s="705" t="s">
        <v>14</v>
      </c>
      <c r="W14" s="706">
        <f t="shared" si="2"/>
        <v>97</v>
      </c>
      <c r="X14" s="1355"/>
      <c r="Y14" s="3729" t="s">
        <v>1691</v>
      </c>
      <c r="Z14" s="1356" t="str">
        <f t="shared" si="7"/>
        <v>交通便捷度</v>
      </c>
      <c r="AA14" s="1353">
        <f t="shared" si="3"/>
        <v>1.0309278350515463</v>
      </c>
      <c r="AB14" s="1353">
        <f t="shared" si="4"/>
        <v>1.0309278350515463</v>
      </c>
      <c r="AC14" s="1353">
        <f t="shared" si="5"/>
        <v>1.0309278350515463</v>
      </c>
    </row>
    <row r="15" spans="1:29" ht="15">
      <c r="A15" s="379"/>
      <c r="B15" s="397"/>
      <c r="C15" s="398" t="s">
        <v>3430</v>
      </c>
      <c r="D15" s="399"/>
      <c r="E15" s="398" t="s">
        <v>3431</v>
      </c>
      <c r="F15" s="400"/>
      <c r="G15" s="398" t="s">
        <v>3431</v>
      </c>
      <c r="H15" s="401"/>
      <c r="I15" s="398" t="s">
        <v>3431</v>
      </c>
      <c r="J15" s="399"/>
      <c r="K15" s="564"/>
      <c r="L15" s="2722"/>
      <c r="M15" s="2716"/>
      <c r="N15" s="2716"/>
      <c r="O15" s="2774"/>
      <c r="P15" s="3730"/>
      <c r="Q15" s="1352"/>
      <c r="R15" s="705"/>
      <c r="S15" s="706"/>
      <c r="T15" s="705"/>
      <c r="U15" s="706"/>
      <c r="V15" s="705"/>
      <c r="W15" s="706"/>
      <c r="X15" s="1355"/>
      <c r="Y15" s="3730"/>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97</v>
      </c>
      <c r="G16" s="410"/>
      <c r="H16" s="406">
        <f>SUMIF(63:63,G17,64:64)-SUMIF(63:63,C17,64:64)+100</f>
        <v>97</v>
      </c>
      <c r="I16" s="408"/>
      <c r="J16" s="406">
        <f>SUMIF(63:63,I17,64:64)-SUMIF(63:63,C17,64:64)+100</f>
        <v>97</v>
      </c>
      <c r="K16" s="563">
        <v>3</v>
      </c>
      <c r="L16" s="2722"/>
      <c r="M16" s="2716"/>
      <c r="N16" s="2716"/>
      <c r="O16" s="2774"/>
      <c r="P16" s="3730"/>
      <c r="Q16" s="1352" t="str">
        <f>B16</f>
        <v>公共配套设施</v>
      </c>
      <c r="R16" s="705" t="s">
        <v>14</v>
      </c>
      <c r="S16" s="706">
        <f>F16</f>
        <v>97</v>
      </c>
      <c r="T16" s="705" t="s">
        <v>14</v>
      </c>
      <c r="U16" s="706">
        <f>H16</f>
        <v>97</v>
      </c>
      <c r="V16" s="705" t="s">
        <v>14</v>
      </c>
      <c r="W16" s="706">
        <f>J16</f>
        <v>97</v>
      </c>
      <c r="X16" s="1355"/>
      <c r="Y16" s="3730"/>
      <c r="Z16" s="1356" t="str">
        <f>Q16</f>
        <v>公共配套设施</v>
      </c>
      <c r="AA16" s="1353">
        <f t="shared" si="3"/>
        <v>1.0309278350515463</v>
      </c>
      <c r="AB16" s="1353">
        <f t="shared" si="4"/>
        <v>1.0309278350515463</v>
      </c>
      <c r="AC16" s="1353">
        <f t="shared" si="5"/>
        <v>1.0309278350515463</v>
      </c>
    </row>
    <row r="17" spans="1:29" ht="15">
      <c r="A17" s="379"/>
      <c r="B17" s="407"/>
      <c r="C17" s="1901" t="s">
        <v>3430</v>
      </c>
      <c r="D17" s="399"/>
      <c r="E17" s="398" t="s">
        <v>3431</v>
      </c>
      <c r="F17" s="400"/>
      <c r="G17" s="398" t="s">
        <v>3431</v>
      </c>
      <c r="H17" s="399"/>
      <c r="I17" s="398" t="s">
        <v>3431</v>
      </c>
      <c r="J17" s="399"/>
      <c r="K17" s="564"/>
      <c r="L17" s="2722"/>
      <c r="M17" s="2716"/>
      <c r="N17" s="2716"/>
      <c r="O17" s="2774"/>
      <c r="P17" s="3730"/>
      <c r="Q17" s="1352"/>
      <c r="R17" s="705"/>
      <c r="S17" s="706"/>
      <c r="T17" s="705"/>
      <c r="U17" s="706"/>
      <c r="V17" s="705"/>
      <c r="W17" s="706"/>
      <c r="X17" s="1355"/>
      <c r="Y17" s="3730"/>
      <c r="Z17" s="1356"/>
      <c r="AA17" s="1353">
        <v>1</v>
      </c>
      <c r="AB17" s="1353">
        <v>1</v>
      </c>
      <c r="AC17" s="1353">
        <v>1</v>
      </c>
    </row>
    <row r="18" spans="1:29" ht="27.6">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v>0</v>
      </c>
      <c r="L18" s="2722"/>
      <c r="M18" s="2716"/>
      <c r="N18" s="2716"/>
      <c r="O18" s="2774"/>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79"/>
      <c r="B19" s="1131"/>
      <c r="C19" s="1901" t="s">
        <v>3506</v>
      </c>
      <c r="D19" s="401"/>
      <c r="E19" s="1901" t="s">
        <v>3506</v>
      </c>
      <c r="F19" s="404"/>
      <c r="G19" s="1901" t="s">
        <v>3506</v>
      </c>
      <c r="H19" s="399"/>
      <c r="I19" s="398" t="s">
        <v>3506</v>
      </c>
      <c r="J19" s="399"/>
      <c r="K19" s="1130"/>
      <c r="L19" s="2722"/>
      <c r="M19" s="2716"/>
      <c r="N19" s="2716"/>
      <c r="O19" s="2774"/>
      <c r="P19" s="3730"/>
      <c r="Q19" s="1352"/>
      <c r="R19" s="705"/>
      <c r="S19" s="706"/>
      <c r="T19" s="705"/>
      <c r="U19" s="706"/>
      <c r="V19" s="705"/>
      <c r="W19" s="706"/>
      <c r="X19" s="1355"/>
      <c r="Y19" s="3730"/>
      <c r="Z19" s="1356"/>
      <c r="AA19" s="1353">
        <v>1</v>
      </c>
      <c r="AB19" s="1353">
        <v>1</v>
      </c>
      <c r="AC19" s="1353">
        <v>1</v>
      </c>
    </row>
    <row r="20" spans="1:29" ht="41.4">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0"/>
      <c r="Q21" s="1352"/>
      <c r="R21" s="705"/>
      <c r="S21" s="706"/>
      <c r="T21" s="705"/>
      <c r="U21" s="706"/>
      <c r="V21" s="705"/>
      <c r="W21" s="706"/>
      <c r="X21" s="1355"/>
      <c r="Y21" s="373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0"/>
      <c r="Q24" s="1352">
        <f t="shared" ref="Q24:Q34"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2" t="s">
        <v>1696</v>
      </c>
      <c r="Z26" s="1356" t="str">
        <f t="shared" ref="Z26:Z34" si="15">Q26</f>
        <v>公共部分装修</v>
      </c>
      <c r="AA26" s="1353">
        <f t="shared" si="3"/>
        <v>1</v>
      </c>
      <c r="AB26" s="1353">
        <f t="shared" si="4"/>
        <v>1</v>
      </c>
      <c r="AC26" s="1353">
        <f t="shared" si="5"/>
        <v>1</v>
      </c>
    </row>
    <row r="27" spans="1:29" s="422" customFormat="1" ht="15">
      <c r="A27" s="419"/>
      <c r="B27" s="375" t="s">
        <v>1839</v>
      </c>
      <c r="C27" s="425">
        <f>'数据-取费表'!N6</f>
        <v>0.85</v>
      </c>
      <c r="D27" s="127">
        <v>100</v>
      </c>
      <c r="E27" s="426">
        <v>0.8</v>
      </c>
      <c r="F27" s="412">
        <f>LOOKUP(E27,80:80,81:81)-LOOKUP(C27,80:80,81:81)+100</f>
        <v>100</v>
      </c>
      <c r="G27" s="427">
        <v>0.8</v>
      </c>
      <c r="H27" s="386">
        <f>LOOKUP(G27,80:80,81:81)-LOOKUP(C27,80:80,81:81)+100</f>
        <v>100</v>
      </c>
      <c r="I27" s="427">
        <v>0.8</v>
      </c>
      <c r="J27" s="386">
        <f>LOOKUP(I27,80:80,81:81)-LOOKUP(C27,80:80,81:81)+100</f>
        <v>100</v>
      </c>
      <c r="K27" s="561">
        <v>1</v>
      </c>
      <c r="L27" s="2721"/>
      <c r="M27" s="2723"/>
      <c r="N27" s="2723"/>
      <c r="O27" s="2775"/>
      <c r="P27" s="3732"/>
      <c r="Q27" s="707" t="str">
        <f t="shared" si="11"/>
        <v>成新率</v>
      </c>
      <c r="R27" s="708" t="s">
        <v>14</v>
      </c>
      <c r="S27" s="709">
        <f t="shared" si="12"/>
        <v>100</v>
      </c>
      <c r="T27" s="708" t="s">
        <v>14</v>
      </c>
      <c r="U27" s="709">
        <f t="shared" si="13"/>
        <v>100</v>
      </c>
      <c r="V27" s="708" t="s">
        <v>14</v>
      </c>
      <c r="W27" s="709">
        <f t="shared" si="14"/>
        <v>100</v>
      </c>
      <c r="X27" s="710"/>
      <c r="Y27" s="3732"/>
      <c r="Z27" s="711" t="str">
        <f t="shared" si="15"/>
        <v>成新率</v>
      </c>
      <c r="AA27" s="1353">
        <f t="shared" si="3"/>
        <v>1</v>
      </c>
      <c r="AB27" s="1353">
        <f t="shared" si="4"/>
        <v>1</v>
      </c>
      <c r="AC27" s="1353">
        <f t="shared" si="5"/>
        <v>1</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2"/>
      <c r="Q28" s="1352" t="str">
        <f t="shared" si="11"/>
        <v>物业等级</v>
      </c>
      <c r="R28" s="705" t="s">
        <v>14</v>
      </c>
      <c r="S28" s="706">
        <f t="shared" si="12"/>
        <v>100</v>
      </c>
      <c r="T28" s="705" t="s">
        <v>14</v>
      </c>
      <c r="U28" s="706">
        <f t="shared" si="13"/>
        <v>100</v>
      </c>
      <c r="V28" s="705" t="s">
        <v>14</v>
      </c>
      <c r="W28" s="706">
        <f t="shared" si="14"/>
        <v>100</v>
      </c>
      <c r="X28" s="1355"/>
      <c r="Y28" s="373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2"/>
      <c r="Q29" s="1352" t="str">
        <f t="shared" si="11"/>
        <v>有无电梯</v>
      </c>
      <c r="R29" s="705" t="s">
        <v>14</v>
      </c>
      <c r="S29" s="706">
        <f t="shared" si="12"/>
        <v>100</v>
      </c>
      <c r="T29" s="705" t="s">
        <v>14</v>
      </c>
      <c r="U29" s="706">
        <f t="shared" si="13"/>
        <v>100</v>
      </c>
      <c r="V29" s="705" t="s">
        <v>14</v>
      </c>
      <c r="W29" s="706">
        <f t="shared" si="14"/>
        <v>100</v>
      </c>
      <c r="X29" s="1355"/>
      <c r="Y29" s="3732"/>
      <c r="Z29" s="1356" t="str">
        <f t="shared" si="15"/>
        <v>有无电梯</v>
      </c>
      <c r="AA29" s="1353">
        <f t="shared" si="3"/>
        <v>1</v>
      </c>
      <c r="AB29" s="1353">
        <f t="shared" si="4"/>
        <v>1</v>
      </c>
      <c r="AC29" s="1353">
        <f t="shared" si="5"/>
        <v>1</v>
      </c>
    </row>
    <row r="30" spans="1:29" ht="15">
      <c r="A30" s="423"/>
      <c r="B30" s="375" t="s">
        <v>1861</v>
      </c>
      <c r="C30" s="420">
        <f>'数据-汇总表'!E6</f>
        <v>16683.080000000002</v>
      </c>
      <c r="D30" s="386">
        <v>100</v>
      </c>
      <c r="E30" s="420">
        <v>1000</v>
      </c>
      <c r="F30" s="412">
        <f>LOOKUP(E30,87:87,88:88)-LOOKUP(C30,87:87,88:88)+100</f>
        <v>102</v>
      </c>
      <c r="G30" s="420">
        <v>2000</v>
      </c>
      <c r="H30" s="386">
        <f>LOOKUP(G30,87:87,88:88)-LOOKUP(C30,87:87,88:88)+100</f>
        <v>102</v>
      </c>
      <c r="I30" s="420">
        <v>1000</v>
      </c>
      <c r="J30" s="386">
        <f>LOOKUP(I30,87:87,88:88)-LOOKUP(C30,87:87,88:88)+100</f>
        <v>102</v>
      </c>
      <c r="K30" s="562"/>
      <c r="L30" s="2722"/>
      <c r="M30" s="2716"/>
      <c r="N30" s="2716"/>
      <c r="O30" s="2774"/>
      <c r="P30" s="3732"/>
      <c r="Q30" s="1352" t="str">
        <f t="shared" si="11"/>
        <v>建筑面积</v>
      </c>
      <c r="R30" s="705" t="s">
        <v>14</v>
      </c>
      <c r="S30" s="706">
        <f t="shared" si="12"/>
        <v>102</v>
      </c>
      <c r="T30" s="705" t="s">
        <v>14</v>
      </c>
      <c r="U30" s="706">
        <f t="shared" si="13"/>
        <v>102</v>
      </c>
      <c r="V30" s="705" t="s">
        <v>14</v>
      </c>
      <c r="W30" s="706">
        <f t="shared" si="14"/>
        <v>102</v>
      </c>
      <c r="X30" s="1355"/>
      <c r="Y30" s="3732"/>
      <c r="Z30" s="1356" t="str">
        <f t="shared" si="15"/>
        <v>建筑面积</v>
      </c>
      <c r="AA30" s="1353">
        <f t="shared" si="3"/>
        <v>0.98039215686274506</v>
      </c>
      <c r="AB30" s="1353">
        <f t="shared" si="4"/>
        <v>0.98039215686274506</v>
      </c>
      <c r="AC30" s="1353">
        <f t="shared" si="5"/>
        <v>0.98039215686274506</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2"/>
      <c r="Q31" s="1343" t="str">
        <f t="shared" si="11"/>
        <v>是否封闭</v>
      </c>
      <c r="R31" s="701" t="s">
        <v>14</v>
      </c>
      <c r="S31" s="702">
        <f t="shared" si="12"/>
        <v>100</v>
      </c>
      <c r="T31" s="701" t="s">
        <v>14</v>
      </c>
      <c r="U31" s="702">
        <f t="shared" si="13"/>
        <v>100</v>
      </c>
      <c r="V31" s="701" t="s">
        <v>14</v>
      </c>
      <c r="W31" s="702">
        <f t="shared" si="14"/>
        <v>100</v>
      </c>
      <c r="X31" s="703"/>
      <c r="Y31" s="3732"/>
      <c r="Z31" s="52" t="str">
        <f t="shared" si="15"/>
        <v>是否封闭</v>
      </c>
      <c r="AA31" s="704">
        <f t="shared" si="3"/>
        <v>1</v>
      </c>
      <c r="AB31" s="704">
        <f t="shared" si="4"/>
        <v>1</v>
      </c>
      <c r="AC31" s="704">
        <f t="shared" si="5"/>
        <v>1</v>
      </c>
    </row>
    <row r="32" spans="1:29" ht="15">
      <c r="A32" s="423"/>
      <c r="B32" s="3505" t="s">
        <v>3503</v>
      </c>
      <c r="C32" s="383">
        <v>4.5</v>
      </c>
      <c r="D32" s="386">
        <v>100</v>
      </c>
      <c r="E32" s="420">
        <f>Sheet4!G3</f>
        <v>10</v>
      </c>
      <c r="F32" s="412">
        <f>SUMIF(91:91,E32,92:92)-SUMIF(91:91,C32,92:92)+100</f>
        <v>110</v>
      </c>
      <c r="G32" s="420">
        <f>Sheet4!G5</f>
        <v>10</v>
      </c>
      <c r="H32" s="386">
        <f>SUMIF(91:91,G32,92:92)-SUMIF(91:91,C32,92:92)+100</f>
        <v>110</v>
      </c>
      <c r="I32" s="420">
        <f>Sheet4!G6</f>
        <v>9.5</v>
      </c>
      <c r="J32" s="386">
        <f>SUMIF(91:91,I32,92:92)-SUMIF(91:91,C32,92:92)+100</f>
        <v>110</v>
      </c>
      <c r="K32" s="562"/>
      <c r="L32" s="2722"/>
      <c r="M32" s="2716"/>
      <c r="N32" s="2716"/>
      <c r="O32" s="2774"/>
      <c r="P32" s="3732" t="s">
        <v>1696</v>
      </c>
      <c r="Q32" s="1352" t="str">
        <f t="shared" si="11"/>
        <v>层高</v>
      </c>
      <c r="R32" s="705" t="s">
        <v>14</v>
      </c>
      <c r="S32" s="706">
        <f t="shared" si="12"/>
        <v>110</v>
      </c>
      <c r="T32" s="705" t="s">
        <v>14</v>
      </c>
      <c r="U32" s="706">
        <f t="shared" si="13"/>
        <v>110</v>
      </c>
      <c r="V32" s="705" t="s">
        <v>14</v>
      </c>
      <c r="W32" s="706">
        <f t="shared" si="14"/>
        <v>110</v>
      </c>
      <c r="X32" s="1355"/>
      <c r="Y32" s="3732" t="s">
        <v>1696</v>
      </c>
      <c r="Z32" s="1356" t="str">
        <f t="shared" si="15"/>
        <v>层高</v>
      </c>
      <c r="AA32" s="1353">
        <f t="shared" si="3"/>
        <v>0.90909090909090906</v>
      </c>
      <c r="AB32" s="1353">
        <f t="shared" si="4"/>
        <v>0.90909090909090906</v>
      </c>
      <c r="AC32" s="1353">
        <f t="shared" si="5"/>
        <v>0.90909090909090906</v>
      </c>
    </row>
    <row r="33" spans="1:30" ht="15">
      <c r="A33" s="423"/>
      <c r="B33" s="1893">
        <v>111</v>
      </c>
      <c r="C33" s="3508" t="s">
        <v>3504</v>
      </c>
      <c r="D33" s="386">
        <v>100</v>
      </c>
      <c r="E33" s="420" t="str">
        <f>C33</f>
        <v>丙二类</v>
      </c>
      <c r="F33" s="412">
        <f>SUMIF(93:93,E33,94:94)-SUMIF(93:93,C33,94:94)+100</f>
        <v>100</v>
      </c>
      <c r="G33" s="420" t="str">
        <f>C33</f>
        <v>丙二类</v>
      </c>
      <c r="H33" s="386">
        <f>SUMIF(93:93,G33,94:94)-SUMIF(93:93,C33,94:94)+100</f>
        <v>100</v>
      </c>
      <c r="I33" s="420" t="str">
        <f>C33</f>
        <v>丙二类</v>
      </c>
      <c r="J33" s="386">
        <f>SUMIF(93:93,I33,94:94)-SUMIF(93:93,C33,94:94)+100</f>
        <v>100</v>
      </c>
      <c r="K33" s="562"/>
      <c r="L33" s="2722"/>
      <c r="M33" s="2716"/>
      <c r="N33" s="2716"/>
      <c r="O33" s="2774"/>
      <c r="P33" s="3732"/>
      <c r="Q33" s="1352">
        <f t="shared" si="11"/>
        <v>111</v>
      </c>
      <c r="R33" s="705" t="s">
        <v>14</v>
      </c>
      <c r="S33" s="706">
        <f t="shared" si="12"/>
        <v>100</v>
      </c>
      <c r="T33" s="705" t="s">
        <v>14</v>
      </c>
      <c r="U33" s="706">
        <f t="shared" si="13"/>
        <v>100</v>
      </c>
      <c r="V33" s="705" t="s">
        <v>14</v>
      </c>
      <c r="W33" s="706">
        <f t="shared" si="14"/>
        <v>100</v>
      </c>
      <c r="X33" s="1355"/>
      <c r="Y33" s="3732"/>
      <c r="Z33" s="1356">
        <f t="shared" si="15"/>
        <v>111</v>
      </c>
      <c r="AA33" s="1353">
        <f t="shared" si="3"/>
        <v>1</v>
      </c>
      <c r="AB33" s="1353">
        <f t="shared" si="4"/>
        <v>1</v>
      </c>
      <c r="AC33" s="1353">
        <f t="shared" si="5"/>
        <v>1</v>
      </c>
    </row>
    <row r="34" spans="1:30" ht="15.6" thickBot="1">
      <c r="A34" s="429"/>
      <c r="B34" s="1895">
        <v>111</v>
      </c>
      <c r="C34" s="3509" t="s">
        <v>3505</v>
      </c>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2"/>
      <c r="Q34" s="1352">
        <f t="shared" si="11"/>
        <v>111</v>
      </c>
      <c r="R34" s="705" t="s">
        <v>14</v>
      </c>
      <c r="S34" s="706">
        <f t="shared" si="12"/>
        <v>100</v>
      </c>
      <c r="T34" s="705" t="s">
        <v>14</v>
      </c>
      <c r="U34" s="706">
        <f t="shared" si="13"/>
        <v>100</v>
      </c>
      <c r="V34" s="705" t="s">
        <v>14</v>
      </c>
      <c r="W34" s="706">
        <f t="shared" si="14"/>
        <v>100</v>
      </c>
      <c r="X34" s="1355"/>
      <c r="Y34" s="3732"/>
      <c r="Z34" s="1356">
        <f t="shared" si="15"/>
        <v>111</v>
      </c>
      <c r="AA34" s="1353">
        <f t="shared" si="3"/>
        <v>1</v>
      </c>
      <c r="AB34" s="1353">
        <f t="shared" si="4"/>
        <v>1</v>
      </c>
      <c r="AC34" s="1353">
        <f t="shared" si="5"/>
        <v>1</v>
      </c>
    </row>
    <row r="35" spans="1:30" ht="14.4">
      <c r="A35" s="430" t="s">
        <v>1708</v>
      </c>
      <c r="B35" s="431"/>
      <c r="C35" s="1154" t="s">
        <v>0</v>
      </c>
      <c r="D35" s="1155"/>
      <c r="E35" s="1156">
        <f>Sheet4!E4</f>
        <v>0.6</v>
      </c>
      <c r="F35" s="1157"/>
      <c r="G35" s="1158">
        <f>Sheet4!E5</f>
        <v>0.8</v>
      </c>
      <c r="H35" s="1159"/>
      <c r="I35" s="1156">
        <f>Sheet4!E6</f>
        <v>0.6</v>
      </c>
      <c r="J35" s="1159"/>
      <c r="K35" s="714"/>
      <c r="L35" s="2724"/>
      <c r="M35" s="2725"/>
      <c r="N35" s="2716"/>
      <c r="O35" s="2725"/>
      <c r="P35" s="3714" t="str">
        <f>A35</f>
        <v>成交单价（元/平方米）</v>
      </c>
      <c r="Q35" s="3714"/>
      <c r="R35" s="3733">
        <f>E35</f>
        <v>0.6</v>
      </c>
      <c r="S35" s="3733"/>
      <c r="T35" s="3733">
        <f>G35</f>
        <v>0.8</v>
      </c>
      <c r="U35" s="3733"/>
      <c r="V35" s="3733">
        <f>I35</f>
        <v>0.6</v>
      </c>
      <c r="W35" s="3733"/>
      <c r="X35" s="690"/>
      <c r="Y35" s="712"/>
      <c r="Z35" s="690"/>
      <c r="AA35" s="690"/>
      <c r="AB35" s="690"/>
      <c r="AC35" s="690"/>
    </row>
    <row r="36" spans="1:30" ht="15" thickBot="1">
      <c r="A36" s="437" t="s">
        <v>1793</v>
      </c>
      <c r="B36" s="438"/>
      <c r="C36" s="1160">
        <f>R37</f>
        <v>0.67</v>
      </c>
      <c r="D36" s="2317" t="s">
        <v>2138</v>
      </c>
      <c r="E36" s="1161">
        <f>R36</f>
        <v>0.6</v>
      </c>
      <c r="F36" s="2318"/>
      <c r="G36" s="1160">
        <f>T36</f>
        <v>0.8</v>
      </c>
      <c r="H36" s="2318"/>
      <c r="I36" s="1161">
        <f>V36</f>
        <v>0.6</v>
      </c>
      <c r="J36" s="2318"/>
      <c r="K36" s="2320">
        <f>F36+H36+J36</f>
        <v>0</v>
      </c>
      <c r="L36" s="2724"/>
      <c r="M36" s="2725"/>
      <c r="N36" s="2716"/>
      <c r="O36" s="2725"/>
      <c r="P36" s="3714" t="str">
        <f>A36</f>
        <v>比较价值（元/平方米）</v>
      </c>
      <c r="Q36" s="3714"/>
      <c r="R36" s="3733">
        <f>IF(F1="售价",ROUND(PRODUCT(R35,AA7:AA34),0),ROUND(PRODUCT(R35,AA7:AA34),1))</f>
        <v>0.6</v>
      </c>
      <c r="S36" s="3733"/>
      <c r="T36" s="3733">
        <f>IF(F1="售价",ROUND(PRODUCT(T35,AB7:AB34),0),ROUND(PRODUCT(T35,AB7:AB34),1))</f>
        <v>0.8</v>
      </c>
      <c r="U36" s="3733"/>
      <c r="V36" s="3733">
        <f>IF(F1="售价",ROUND(PRODUCT(V35,AC7:AC34),0),ROUND(PRODUCT(V35,AC7:AC34),1))</f>
        <v>0.6</v>
      </c>
      <c r="W36" s="3733"/>
      <c r="X36" s="690"/>
      <c r="Y36" s="690"/>
      <c r="Z36" s="690"/>
      <c r="AA36" s="690"/>
      <c r="AB36" s="690"/>
      <c r="AC36" s="690"/>
    </row>
    <row r="37" spans="1:30" ht="15" thickBot="1">
      <c r="A37" s="441" t="s">
        <v>1794</v>
      </c>
      <c r="B37" s="442"/>
      <c r="C37" s="1163">
        <f>R37</f>
        <v>0.67</v>
      </c>
      <c r="D37" s="1163"/>
      <c r="E37" s="1163"/>
      <c r="F37" s="1163"/>
      <c r="G37" s="1163"/>
      <c r="H37" s="1163"/>
      <c r="I37" s="1163"/>
      <c r="J37" s="1163"/>
      <c r="K37" s="715"/>
      <c r="L37" s="2724"/>
      <c r="M37" s="2725"/>
      <c r="N37" s="2725"/>
      <c r="O37" s="2725"/>
      <c r="P37" s="3734" t="str">
        <f>A37</f>
        <v>估价对象XX用房的比较价值（楼面单价，元/平方米）</v>
      </c>
      <c r="Q37" s="3735"/>
      <c r="R37" s="3736">
        <f>IF(F1="售价",ROUND(IF(D36="简单平均",AVERAGE(R36:W36),R36*F36+T36*H36+V36*J36),0),ROUND(IF(D36="简单平均",AVERAGE(R36:V36),R36*F36+T36*H36+V36*J36),2))</f>
        <v>0.67</v>
      </c>
      <c r="S37" s="3736"/>
      <c r="T37" s="3736"/>
      <c r="U37" s="3736"/>
      <c r="V37" s="3736"/>
      <c r="W37" s="373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f>IF(E35&lt;E36,E36/E35-1,E35/E36-1)</f>
        <v>0</v>
      </c>
      <c r="F40" s="449" t="str">
        <f>IF(OR(E40&gt;=0.3,E40&lt;=-0.3),"超过30%","")</f>
        <v/>
      </c>
      <c r="G40" s="448">
        <f>IF(G35&lt;G36,G36/G35-1,G35/G36-1)</f>
        <v>0</v>
      </c>
      <c r="H40" s="449" t="str">
        <f>IF(OR(G40&gt;=0.3,G40&lt;=-0.3),"超过30%","")</f>
        <v/>
      </c>
      <c r="I40" s="448">
        <f>IF(I35&lt;I36,I36/I35-1,I35/I36-1)</f>
        <v>0</v>
      </c>
      <c r="J40" s="449" t="str">
        <f>IF(OR(I40&gt;=0.3,I40&lt;=-0.3),"超过30%","")</f>
        <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f>IF(E36&lt;G36,G36/E36-1,E36/G36-1)</f>
        <v>0.33333333333333348</v>
      </c>
      <c r="F41" s="449" t="str">
        <f>IF(OR(E41&gt;=0.2,E41&lt;=-0.2),"超过20%","")</f>
        <v>超过20%</v>
      </c>
      <c r="G41" s="448">
        <f>IF(G36&lt;I36,I36/G36-1,G36/I36-1)</f>
        <v>0.33333333333333348</v>
      </c>
      <c r="H41" s="449" t="str">
        <f>IF(OR(G41&gt;=0.2,G41&lt;=-0.2),"超过20%","")</f>
        <v>超过20%</v>
      </c>
      <c r="I41" s="448">
        <f>IF(I36&lt;E36,E36/I36-1,I36/E36-1)</f>
        <v>0</v>
      </c>
      <c r="J41" s="449" t="str">
        <f>IF(OR(I41&gt;=0.2,I41&lt;=-0.2),"超过20%","")</f>
        <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f>IF(E35&lt;G35,G35/E35-1,E35/G35-1)</f>
        <v>0.33333333333333348</v>
      </c>
      <c r="F42" s="449" t="str">
        <f>IF(OR(E42&gt;=0.3,E42&lt;=-0.3),"超过30%","")</f>
        <v>超过30%</v>
      </c>
      <c r="G42" s="448">
        <f>IF(G35&lt;I35,I35/G35-1,G35/I35-1)</f>
        <v>0.33333333333333348</v>
      </c>
      <c r="H42" s="449" t="str">
        <f>IF(OR(G42&gt;=0.3,G42&lt;=-0.3),"超过30%","")</f>
        <v>超过30%</v>
      </c>
      <c r="I42" s="448">
        <f>IF(I35&lt;E35,E35/I35-1,I35/E35-1)</f>
        <v>0</v>
      </c>
      <c r="J42" s="449" t="str">
        <f>IF(OR(I42&gt;=0.3,I42&lt;=-0.3),"超过30%","")</f>
        <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2025-10</v>
      </c>
      <c r="D46" s="1185">
        <f>EDATE(C46,-1)</f>
        <v>45901</v>
      </c>
      <c r="E46" s="1185">
        <f t="shared" ref="E46:O46" si="16">EDATE(D46,-1)</f>
        <v>45870</v>
      </c>
      <c r="F46" s="1185">
        <f t="shared" si="16"/>
        <v>45839</v>
      </c>
      <c r="G46" s="1185">
        <f t="shared" si="16"/>
        <v>45809</v>
      </c>
      <c r="H46" s="1185">
        <f t="shared" si="16"/>
        <v>45778</v>
      </c>
      <c r="I46" s="1185">
        <f t="shared" si="16"/>
        <v>45748</v>
      </c>
      <c r="J46" s="1185">
        <f t="shared" si="16"/>
        <v>45717</v>
      </c>
      <c r="K46" s="1185">
        <f t="shared" si="16"/>
        <v>45689</v>
      </c>
      <c r="L46" s="1185">
        <f t="shared" si="16"/>
        <v>45658</v>
      </c>
      <c r="M46" s="1185">
        <f t="shared" si="16"/>
        <v>45627</v>
      </c>
      <c r="N46" s="1185">
        <f t="shared" si="16"/>
        <v>45597</v>
      </c>
      <c r="O46" s="1185">
        <f t="shared" si="16"/>
        <v>45566</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t="str">
        <f>C9</f>
        <v>仓储</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97</v>
      </c>
      <c r="E62" s="493">
        <f>D62-$K14</f>
        <v>94</v>
      </c>
      <c r="F62" s="493">
        <f>E62-$K14</f>
        <v>91</v>
      </c>
      <c r="G62" s="493">
        <f>F62-$K14</f>
        <v>88</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97</v>
      </c>
      <c r="E64" s="493">
        <f>D64-$K16</f>
        <v>94</v>
      </c>
      <c r="F64" s="493">
        <f>E64-$K16</f>
        <v>91</v>
      </c>
      <c r="G64" s="493">
        <f>F64-$K16</f>
        <v>88</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101</v>
      </c>
      <c r="E81" s="493">
        <f t="shared" si="18"/>
        <v>102</v>
      </c>
      <c r="F81" s="493">
        <f t="shared" si="18"/>
        <v>103</v>
      </c>
      <c r="G81" s="493">
        <f t="shared" si="18"/>
        <v>104</v>
      </c>
      <c r="H81" s="493">
        <f t="shared" si="18"/>
        <v>105</v>
      </c>
      <c r="I81" s="493">
        <f t="shared" si="18"/>
        <v>106</v>
      </c>
      <c r="J81" s="493">
        <f t="shared" si="18"/>
        <v>107</v>
      </c>
      <c r="K81" s="493">
        <f t="shared" si="18"/>
        <v>108</v>
      </c>
      <c r="L81" s="493">
        <f t="shared" si="18"/>
        <v>109</v>
      </c>
      <c r="M81" s="493">
        <f t="shared" si="18"/>
        <v>110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28.2" thickTop="1">
      <c r="A86" s="548"/>
      <c r="B86" s="495" t="s">
        <v>1865</v>
      </c>
      <c r="C86" s="527" t="str">
        <f t="shared" ref="C86:L86" si="21">C87&amp;"(含)"&amp;"-"&amp;D87</f>
        <v>0(含)-10000</v>
      </c>
      <c r="D86" s="527" t="str">
        <f t="shared" si="21"/>
        <v>10000(含)-20000</v>
      </c>
      <c r="E86" s="527" t="str">
        <f t="shared" si="21"/>
        <v>20000(含)-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v>0</v>
      </c>
      <c r="D87" s="544">
        <v>10000</v>
      </c>
      <c r="E87" s="544">
        <v>20000</v>
      </c>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v>100</v>
      </c>
      <c r="D88" s="485">
        <v>98</v>
      </c>
      <c r="E88" s="485">
        <v>96</v>
      </c>
      <c r="F88" s="485">
        <v>97</v>
      </c>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t="str">
        <f>B32</f>
        <v>层高</v>
      </c>
      <c r="C91" s="498">
        <f>C32</f>
        <v>4.5</v>
      </c>
      <c r="D91" s="498">
        <f>E32</f>
        <v>10</v>
      </c>
      <c r="E91" s="498"/>
      <c r="F91" s="498">
        <f>I32</f>
        <v>9.5</v>
      </c>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v>100</v>
      </c>
      <c r="D92" s="485">
        <v>110</v>
      </c>
      <c r="E92" s="485"/>
      <c r="F92" s="485">
        <f>D92</f>
        <v>110</v>
      </c>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166" priority="18" stopIfTrue="1" operator="containsText" text="超过">
      <formula>NOT(ISERROR(SEARCH("超过",F40)))</formula>
    </cfRule>
  </conditionalFormatting>
  <conditionalFormatting sqref="J42">
    <cfRule type="containsText" dxfId="165" priority="17" stopIfTrue="1" operator="containsText" text="超过">
      <formula>NOT(ISERROR(SEARCH("超过",J42)))</formula>
    </cfRule>
  </conditionalFormatting>
  <conditionalFormatting sqref="H42">
    <cfRule type="containsText" dxfId="164" priority="16" stopIfTrue="1" operator="containsText" text="超过">
      <formula>NOT(ISERROR(SEARCH("超过",H42)))</formula>
    </cfRule>
  </conditionalFormatting>
  <conditionalFormatting sqref="F42">
    <cfRule type="containsText" dxfId="163" priority="15" stopIfTrue="1" operator="containsText" text="超过">
      <formula>NOT(ISERROR(SEARCH("超过",F42)))</formula>
    </cfRule>
  </conditionalFormatting>
  <conditionalFormatting sqref="F41 H41 J41">
    <cfRule type="containsText" dxfId="162" priority="14" stopIfTrue="1" operator="containsText" text="超过">
      <formula>NOT(ISERROR(SEARCH("超过",F41)))</formula>
    </cfRule>
  </conditionalFormatting>
  <conditionalFormatting sqref="E40">
    <cfRule type="expression" dxfId="161" priority="13" stopIfTrue="1">
      <formula>$F$40="超过30%"</formula>
    </cfRule>
  </conditionalFormatting>
  <conditionalFormatting sqref="G42">
    <cfRule type="expression" dxfId="160" priority="12" stopIfTrue="1">
      <formula>$H$54+$H$42="超过30%"</formula>
    </cfRule>
  </conditionalFormatting>
  <conditionalFormatting sqref="E41">
    <cfRule type="expression" dxfId="159" priority="11" stopIfTrue="1">
      <formula>$F$41="超过20%"</formula>
    </cfRule>
  </conditionalFormatting>
  <conditionalFormatting sqref="E42">
    <cfRule type="expression" dxfId="158" priority="10" stopIfTrue="1">
      <formula>$F$42="超过30%"</formula>
    </cfRule>
  </conditionalFormatting>
  <conditionalFormatting sqref="G40">
    <cfRule type="expression" dxfId="157" priority="9" stopIfTrue="1">
      <formula>$H$52+$H$40="超过30%"</formula>
    </cfRule>
  </conditionalFormatting>
  <conditionalFormatting sqref="G41">
    <cfRule type="expression" dxfId="156" priority="8" stopIfTrue="1">
      <formula>$H$53+$H$41="超过20%"</formula>
    </cfRule>
  </conditionalFormatting>
  <conditionalFormatting sqref="I40">
    <cfRule type="expression" dxfId="155" priority="7" stopIfTrue="1">
      <formula>$J$40="超过30%"</formula>
    </cfRule>
  </conditionalFormatting>
  <conditionalFormatting sqref="I41">
    <cfRule type="expression" dxfId="154" priority="6" stopIfTrue="1">
      <formula>$J$41="超过20%"</formula>
    </cfRule>
  </conditionalFormatting>
  <conditionalFormatting sqref="I42">
    <cfRule type="expression" dxfId="153" priority="5" stopIfTrue="1">
      <formula>$J$42="超过30%"</formula>
    </cfRule>
  </conditionalFormatting>
  <conditionalFormatting sqref="F36">
    <cfRule type="expression" dxfId="152" priority="4">
      <formula>$D$36="简单平均"</formula>
    </cfRule>
  </conditionalFormatting>
  <conditionalFormatting sqref="H36">
    <cfRule type="expression" dxfId="151" priority="3">
      <formula>$D$36="简单平均"</formula>
    </cfRule>
  </conditionalFormatting>
  <conditionalFormatting sqref="J36">
    <cfRule type="expression" dxfId="150" priority="2">
      <formula>$D$36="简单平均"</formula>
    </cfRule>
  </conditionalFormatting>
  <conditionalFormatting sqref="F7:F34 H7:H34 J7:J34">
    <cfRule type="cellIs" dxfId="14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
  <sheetViews>
    <sheetView workbookViewId="0">
      <selection activeCell="F33" sqref="F33"/>
    </sheetView>
  </sheetViews>
  <sheetFormatPr defaultRowHeight="14.4"/>
  <cols>
    <col min="1" max="1" width="10.21875" style="3498" customWidth="1"/>
    <col min="2" max="2" width="14.109375" style="3498" customWidth="1"/>
    <col min="3" max="3" width="13.88671875" style="3498" customWidth="1"/>
    <col min="4" max="4" width="11.6640625" style="3498" customWidth="1"/>
    <col min="5" max="7" width="8.88671875" style="3498"/>
  </cols>
  <sheetData>
    <row r="1" spans="1:9">
      <c r="A1" s="3496" t="s">
        <v>3466</v>
      </c>
      <c r="B1" s="3496" t="s">
        <v>3467</v>
      </c>
      <c r="C1" s="3496" t="s">
        <v>3468</v>
      </c>
      <c r="D1" s="3496" t="s">
        <v>3469</v>
      </c>
      <c r="E1" s="3496" t="s">
        <v>3470</v>
      </c>
      <c r="F1" s="3496" t="s">
        <v>3471</v>
      </c>
      <c r="G1" s="3496" t="s">
        <v>3481</v>
      </c>
    </row>
    <row r="2" spans="1:9">
      <c r="A2" s="3506" t="s">
        <v>3473</v>
      </c>
      <c r="B2" s="3506" t="s">
        <v>3476</v>
      </c>
      <c r="C2" s="3506" t="s">
        <v>3477</v>
      </c>
      <c r="D2" s="3506" t="s">
        <v>3475</v>
      </c>
      <c r="E2" s="3507">
        <v>0.5</v>
      </c>
      <c r="F2" s="3506" t="s">
        <v>3472</v>
      </c>
      <c r="G2" s="3507">
        <v>9</v>
      </c>
      <c r="H2" s="3496" t="s">
        <v>3478</v>
      </c>
    </row>
    <row r="3" spans="1:9">
      <c r="A3" s="3506" t="s">
        <v>3482</v>
      </c>
      <c r="B3" s="3506" t="s">
        <v>3474</v>
      </c>
      <c r="C3" s="3506" t="s">
        <v>3477</v>
      </c>
      <c r="D3" s="3506" t="s">
        <v>3483</v>
      </c>
      <c r="E3" s="3507">
        <v>1</v>
      </c>
      <c r="F3" s="3506" t="s">
        <v>3479</v>
      </c>
      <c r="G3" s="3507">
        <v>10</v>
      </c>
      <c r="H3" s="3497" t="s">
        <v>3480</v>
      </c>
    </row>
    <row r="4" spans="1:9">
      <c r="A4" s="3500" t="s">
        <v>3485</v>
      </c>
      <c r="B4" s="3500" t="s">
        <v>3474</v>
      </c>
      <c r="C4" s="3500" t="s">
        <v>3486</v>
      </c>
      <c r="D4" s="3500" t="s">
        <v>3487</v>
      </c>
      <c r="E4" s="3501">
        <v>0.6</v>
      </c>
      <c r="F4" s="3500" t="s">
        <v>3479</v>
      </c>
      <c r="G4" s="3501">
        <v>10</v>
      </c>
      <c r="I4" s="3499" t="s">
        <v>3484</v>
      </c>
    </row>
    <row r="5" spans="1:9">
      <c r="A5" s="3500" t="s">
        <v>3488</v>
      </c>
      <c r="B5" s="3500" t="s">
        <v>3491</v>
      </c>
      <c r="C5" s="3500" t="s">
        <v>3477</v>
      </c>
      <c r="D5" s="3500" t="s">
        <v>3489</v>
      </c>
      <c r="E5" s="3501">
        <v>0.8</v>
      </c>
      <c r="F5" s="3500" t="s">
        <v>3479</v>
      </c>
      <c r="G5" s="3501">
        <v>10</v>
      </c>
      <c r="I5" s="3499" t="s">
        <v>3490</v>
      </c>
    </row>
    <row r="6" spans="1:9">
      <c r="A6" s="3500" t="s">
        <v>3492</v>
      </c>
      <c r="B6" s="3500" t="s">
        <v>3495</v>
      </c>
      <c r="C6" s="3501"/>
      <c r="D6" s="3500" t="s">
        <v>3493</v>
      </c>
      <c r="E6" s="3501">
        <v>0.6</v>
      </c>
      <c r="F6" s="3500" t="s">
        <v>3479</v>
      </c>
      <c r="G6" s="3501">
        <v>9.5</v>
      </c>
      <c r="I6" s="3499" t="s">
        <v>3494</v>
      </c>
    </row>
  </sheetData>
  <phoneticPr fontId="134" type="noConversion"/>
  <hyperlinks>
    <hyperlink ref="I4" r:id="rId1" display="https://bj.58.com/fangchan/82882233359322x.shtml?utm_source=market&amp;prd=x0NAXiR1wlSETnm4cICGemM0XmbyITMWudxFT0qICO4%3D&amp;houseId=4009083225926657&amp;urlParamsMap=3053230614D404344D306BF57F032E991EE4926AE895E610298291E46A460E916D20F94F99757863154E927CF1EE0D5A6374BE53D48460C5E44A365FD54CEC92572044C96712FC9E60BE97CD9AF43FE5AE8AB0BFEE5C8FB276DC035C06AD30B13E4AF83B85BA7CEC84FD180BE7AECA1411D15C51C9C9C512B236326BAD1B364DF815D37ACC509498151AD67A364C66DEED512756F0EAC5B32CCB1CDBA8DC2750719B487E47196AD6834191D086998F7C&amp;gpos=8&amp;legourl=%2F%2Flegoclick.58.com%2Fjump%3Ftarget%3DszqBpB3draOWUvYfuh78uvPCmy3frjc3rjczn1n1PHb1nWF3sMPCIAd_TyEVrjnkn1KBPWnVP1DkniYYnj0LsH--uWbVuAPhryNOryEknHPbTHNYn1DknW03P1bOn19dTEDYnjTOnj91nWcdrHcvPWNLTHcvrHNkTHcLnjTkTHD_nHmKnikvrjDkTHDLPWDzrj93rHN3rH9KPk7AEdqEEdqHyNwjgSyr98pcfdqniRPNgYGmTHDKnEDKsHDKsEDQrH9knHb1P10zrjcvn103nWEkTHmK0A7zmyd1n1NvrWc_0A7zmyd1nWT1rWD_Uy-6UbGGrWDznjTkg1bOrHbOrHbKnEDLnhwBn1nzPBYzPWT1sHEOrjNVrHuWPzYzmHuWmh7brjK6uWDKnHb3njDOn10LnWb1PHE1rjn1PkDQrH9knHb1P10zrHTvnjmdrHcQTEDKTEDKsEDKTE7jpLIKy7IMigFfuAuDHhRAEY6YEN7M5HYKnHTvsWDzna3QnHm8nWTzTHTKnTDKnikQP97exEDQnjT1PTDQnjTYnj0vTHTzujbzP1RWsHT3rjTVPj01mzY3PH0dsyNduj7BnADOuj7brTDKnTDKTHTKnikvrjDksjDQPjNzTHDKUMR_UTDdnHFWP1RBnh7-uyE1nvNQ&amp;referinfo=false&amp;spm=&amp;positionType=legojingxuanhouse&amp;lgtid_shangyetie=02d9275c-0880-473c-8575-e5d1b0a9d1d8&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17"/>
    <hyperlink ref="I5" r:id="rId2" display="https://bj.58.com/fangchan/84665503830491x.shtml?utm_source=market&amp;prd=x0NAXiR1wlSETnm4cICGegycuR3ddWBKTL2bRF7l4vI%3D&amp;houseId=4237341846248460&amp;urlParamsMap=3053230614D404344D306BF57F032E991EE4926AE895E610298291E46A460E916D20F94F99757863154E927CF1EE0D5A6374BE53D48460C5E44A365FD54CEC92572044C96712FC9E60BE97CD9AF43FE5AE8AB0BFEE5C8FB276DC035C06AD30B13E4AF83B85BA7CEC84FD180BE7AECA1488704F8AE26803842D8D490BDB977FFF2A8C9EC464F72CE65BB206C50AA38878F391D4C8BA65B46B30B72C4D7AD4D9C4719B487E47196AD69B04314B59FED8EE&amp;gpos=12&amp;legourl=%2F%2Flegoclick.58.com%2Fjump%3Ftarget%3DszqBpB3draOWUvYfuh78uvPCmy3frjEvPWNdnjn3n1TYrH73sMPCIAd_TyEVrjnkn1KBPWnVP1DkniYYnj0LsH--uWbVuAPhryNOryEknHPbTHNYn1DknW03P1bOn19dTEDYnWnLn1EQrjEvnWE3PjmkTHnQPjmkTHnQPHTkTHD_nHmKnikvrjDkTHDLPWDzrj93rHN3rH9KnHDKwbPxNDPxNd-DEd4-WCshBsqxHD-HR7q2yTDQTHDKTiYQTiYKnHbLP1bQrHbkPWmLPjE3n1cknEDvTgK60h7V01ndPWCzsZK60h7V01ckn1CQsAdGmyO2pHCQnWTkn7tOrHbOrHbOTHDKnhR-nhmvrjmVrjnzmzYYmyD3syFWm10VujFWnAELnHcQmHDdTHDOP10OnHbOnjmLrjndPHDYrjbKnHbLP1bQrHbkPW0dPjTOn1TdPkDKTEDKTiYKTEDKEvVLER6guY-zUvwhwDO-wbPcID7Ku1YqTHDkPB3QnWT8nHDvsWckn9DkTHTKTHD_nHmKXLYKnHTkn1EKnHTkPjTLP97bm1PBrHDQradbuH03sHEYuj9VmHDOuiYYnjnQnHTLPvEkmyNKTHTKTEDkTHD_PW9QnakLPjnzTHDKUMR_UT7BmWnkmhE3uWP-nvu6rj91&amp;referinfo=false&amp;spm=&amp;positionType=legojingxuanhouse&amp;lgtid_shangyetie=dc3b9118-de78-44d8-a19e-40311077d0ae&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28"/>
    <hyperlink ref="I6" r:id="rId3" display="https://bj.58.com/fangchan/84113144285021x.shtml?utm_source=market&amp;prd=x0NAXiR1wlSETnm4cICGet8RGWJZfmfIrmbhJq%2BCOeE%3D&amp;houseId=4166639824429062&amp;urlParamsMap=3053230614D404344D306BF57F032E991EE4926AE895E610298291E46A460E916D20F94F997578634BAC27F9ADA09A2A9A0CD81EE09A392F15DE89E1A91067E88DE5B6211330E738CF331ACC444FA606E7B06E448E8CD50593296859E17D4F73719B487E47196AD69A2953CBCBDD1565&amp;gpos=26&amp;positionType=promationinfo&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43"/>
  </hyperlinks>
  <pageMargins left="0.7" right="0.7" top="0.75" bottom="0.75" header="0.3" footer="0.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B36" sqref="B3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3331</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10975.749299999999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6579</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39491211.240000002</v>
      </c>
      <c r="D5" s="211" t="s">
        <v>1469</v>
      </c>
      <c r="E5" s="212" t="s">
        <v>1470</v>
      </c>
      <c r="F5" s="212" t="s">
        <v>1471</v>
      </c>
      <c r="G5" s="213"/>
    </row>
    <row r="6" spans="1:8" s="214" customFormat="1" ht="13.5" customHeight="1">
      <c r="A6" s="778" t="s">
        <v>1472</v>
      </c>
      <c r="B6" s="215" t="s">
        <v>1473</v>
      </c>
      <c r="C6" s="216">
        <f>基准地价修正!C33*基准地价修正!D33</f>
        <v>35084517.240000002</v>
      </c>
      <c r="D6" s="217"/>
      <c r="E6" s="218"/>
      <c r="F6" s="218"/>
      <c r="G6" s="219"/>
    </row>
    <row r="7" spans="1:8" s="214" customFormat="1" ht="13.5" customHeight="1">
      <c r="A7" s="778" t="s">
        <v>1474</v>
      </c>
      <c r="B7" s="215" t="s">
        <v>1475</v>
      </c>
      <c r="C7" s="220">
        <f>ROUND(C6*F7,0)</f>
        <v>1070078</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3336616</v>
      </c>
      <c r="D8" s="222"/>
      <c r="E8" s="220"/>
      <c r="F8" s="221"/>
      <c r="G8" s="1856" t="s">
        <v>3436</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3336616</v>
      </c>
      <c r="D10" s="845">
        <f ca="1">IF(B1="",'数据-汇总表'!E6,IF(INDIRECT("'数据-取费表'!c"&amp;$G$1)="住宅",INDIRECT("'数据-取费表'!s"&amp;$G$1),INDIRECT("'数据-取费表'!k"&amp;$G$1)+INDIRECT("'数据-取费表'!s"&amp;$G$1)))</f>
        <v>16683.080000000002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16683.080000000002</v>
      </c>
      <c r="E19" s="211">
        <f>'数据-取费表'!B31</f>
        <v>315</v>
      </c>
      <c r="F19" s="231"/>
      <c r="G19" s="1856" t="s">
        <v>3435</v>
      </c>
    </row>
    <row r="20" spans="1:7" s="214" customFormat="1" ht="13.5" customHeight="1">
      <c r="A20" s="255" t="s">
        <v>1574</v>
      </c>
      <c r="B20" s="210" t="s">
        <v>1575</v>
      </c>
      <c r="C20" s="232">
        <f ca="1">ROUND((C5+C19)*F20,0)</f>
        <v>789824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1844501</v>
      </c>
      <c r="D22" s="235">
        <f ca="1">C26</f>
        <v>5.0000000000000001E-4</v>
      </c>
      <c r="E22" s="236" t="s">
        <v>1579</v>
      </c>
      <c r="F22" s="237">
        <f ca="1">'数据-取费表'!B40</f>
        <v>3.0599999999999999E-2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1826443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18058</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6.4">
      <c r="A27" s="255" t="s">
        <v>1512</v>
      </c>
      <c r="B27" s="244" t="s">
        <v>1513</v>
      </c>
      <c r="C27" s="245">
        <f ca="1">C28</f>
        <v>4028104</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4028104</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49890434</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56889303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50049240</v>
      </c>
      <c r="D34" s="217"/>
      <c r="E34" s="220"/>
      <c r="F34" s="257"/>
      <c r="G34" s="219"/>
    </row>
    <row r="35" spans="1:7" ht="13.5" customHeight="1">
      <c r="A35" s="780" t="s">
        <v>351</v>
      </c>
      <c r="B35" s="215" t="s">
        <v>1527</v>
      </c>
      <c r="C35" s="220">
        <f ca="1">ROUND(C34*F35,0)</f>
        <v>2502462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3336616</v>
      </c>
      <c r="D37" s="217">
        <f ca="1">D19</f>
        <v>16683.080000000002</v>
      </c>
      <c r="E37" s="249">
        <f>'数据-取费表'!B35</f>
        <v>200</v>
      </c>
      <c r="F37" s="259"/>
      <c r="G37" s="261"/>
    </row>
    <row r="38" spans="1:7" ht="13.5" customHeight="1">
      <c r="A38" s="780" t="s">
        <v>354</v>
      </c>
      <c r="B38" s="215" t="s">
        <v>1533</v>
      </c>
      <c r="C38" s="220">
        <f ca="1">ROUND(C34*F38,0)</f>
        <v>1000985</v>
      </c>
      <c r="D38" s="220"/>
      <c r="E38" s="220"/>
      <c r="F38" s="259">
        <f>'数据-取费表'!B36</f>
        <v>0.02</v>
      </c>
      <c r="G38" s="219" t="s">
        <v>1528</v>
      </c>
    </row>
    <row r="39" spans="1:7" s="214" customFormat="1" ht="13.5" customHeight="1">
      <c r="A39" s="255" t="s">
        <v>1534</v>
      </c>
      <c r="B39" s="210" t="s">
        <v>1535</v>
      </c>
      <c r="C39" s="232">
        <f ca="1">ROUND(C33*F20,0)</f>
        <v>1137786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1326692</v>
      </c>
      <c r="D41" s="235">
        <f ca="1">C44</f>
        <v>5.0000000000000001E-4</v>
      </c>
      <c r="E41" s="236" t="s">
        <v>1539</v>
      </c>
      <c r="F41" s="237">
        <f ca="1">F22</f>
        <v>3.0599999999999999E-2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1300678</v>
      </c>
      <c r="D42" s="238"/>
      <c r="E42" s="238"/>
      <c r="F42" s="239"/>
      <c r="G42" s="3693" t="s">
        <v>1591</v>
      </c>
    </row>
    <row r="43" spans="1:7" ht="13.5" customHeight="1">
      <c r="A43" s="780" t="s">
        <v>347</v>
      </c>
      <c r="B43" s="215" t="s">
        <v>1545</v>
      </c>
      <c r="C43" s="238">
        <f ca="1">ROUND(IF('数据-取费表'!B22&lt;=1,C39*F22*'数据-取费表'!B20/2,C39*(POWER((1+F22),'数据-取费表'!B20/2)-1)),0)</f>
        <v>26014</v>
      </c>
      <c r="D43" s="238"/>
      <c r="E43" s="238"/>
      <c r="F43" s="239"/>
      <c r="G43" s="3694"/>
    </row>
    <row r="44" spans="1:7" ht="13.5" customHeight="1">
      <c r="A44" s="780" t="s">
        <v>348</v>
      </c>
      <c r="B44" s="215" t="s">
        <v>1546</v>
      </c>
      <c r="C44" s="238">
        <f ca="1">ROUND(IF('数据-取费表'!B22&lt;=1,C40*F22*'数据-取费表'!B20/2,C40*(POWER((1+F22),'数据-取费表'!B20/2)-1)),4)</f>
        <v>5.0000000000000001E-4</v>
      </c>
      <c r="D44" s="238"/>
      <c r="E44" s="238"/>
      <c r="F44" s="239"/>
      <c r="G44" s="3695"/>
    </row>
    <row r="45" spans="1:7" s="214" customFormat="1" ht="13.5" customHeight="1">
      <c r="A45" s="255" t="s">
        <v>1547</v>
      </c>
      <c r="B45" s="244" t="s">
        <v>1513</v>
      </c>
      <c r="C45" s="245">
        <f ca="1">C46</f>
        <v>5802709</v>
      </c>
      <c r="D45" s="235">
        <f ca="1">C47</f>
        <v>2E-3</v>
      </c>
      <c r="E45" s="236" t="s">
        <v>1539</v>
      </c>
      <c r="F45" s="246">
        <f ca="1">F27</f>
        <v>0.1</v>
      </c>
      <c r="G45" s="247" t="s">
        <v>1548</v>
      </c>
    </row>
    <row r="46" spans="1:7" s="214" customFormat="1" ht="13.5" customHeight="1">
      <c r="A46" s="780" t="s">
        <v>346</v>
      </c>
      <c r="B46" s="248" t="s">
        <v>1549</v>
      </c>
      <c r="C46" s="249">
        <f ca="1">ROUND((C33+C39)*F27,0)</f>
        <v>5802709</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70431834</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59867059</v>
      </c>
      <c r="D51" s="232"/>
      <c r="E51" s="232"/>
      <c r="F51" s="264"/>
      <c r="G51" s="234" t="s">
        <v>1560</v>
      </c>
    </row>
    <row r="52" spans="1:7" s="208" customFormat="1" ht="16.8" thickBot="1">
      <c r="A52" s="265" t="s">
        <v>1561</v>
      </c>
      <c r="B52" s="266"/>
      <c r="C52" s="267">
        <f ca="1">C31+C51</f>
        <v>109757493</v>
      </c>
      <c r="D52" s="266"/>
      <c r="E52" s="266"/>
      <c r="F52" s="266"/>
      <c r="G52" s="268"/>
    </row>
    <row r="55" spans="1:7" ht="15">
      <c r="B55" s="270" t="s">
        <v>1562</v>
      </c>
      <c r="C55" s="271"/>
    </row>
    <row r="56" spans="1:7">
      <c r="B56" s="273" t="s">
        <v>802</v>
      </c>
      <c r="C56" s="275">
        <f ca="1">1-C57</f>
        <v>0.45499999999999996</v>
      </c>
    </row>
    <row r="57" spans="1:7">
      <c r="B57" s="273" t="s">
        <v>803</v>
      </c>
      <c r="C57" s="274">
        <f ca="1">ROUND(C51/C52,3)</f>
        <v>0.54500000000000004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12" sqref="D12"/>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16683.080000000002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3508</v>
      </c>
      <c r="C2" s="1999" t="s">
        <v>1935</v>
      </c>
      <c r="D2" s="2000" t="s">
        <v>1936</v>
      </c>
      <c r="E2" s="3422" t="s">
        <v>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Ⅶ-顺2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4223</v>
      </c>
      <c r="U2" s="1213"/>
      <c r="V2" s="3361">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2103</v>
      </c>
      <c r="C3" s="1999" t="s">
        <v>1941</v>
      </c>
      <c r="D3" s="2000" t="s">
        <v>1942</v>
      </c>
      <c r="E3" s="3420" t="s">
        <v>2483</v>
      </c>
      <c r="F3" s="2004" t="s">
        <v>3420</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3329</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2813</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1655</v>
      </c>
      <c r="D5" s="1339">
        <f>ROUND(C6*C17+C20,0)</f>
        <v>1655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2481</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1730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2385</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1730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2.5</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3"/>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48" t="s">
        <v>3254</v>
      </c>
      <c r="B20" s="167" t="s">
        <v>1994</v>
      </c>
      <c r="C20" s="3325">
        <f>ROUND(IF(F21="与级别开发程度一致",0,(G21-E21)/C21),0)</f>
        <v>-75</v>
      </c>
      <c r="D20" s="3341" t="s">
        <v>1998</v>
      </c>
      <c r="E20" s="3342"/>
      <c r="F20" s="3754" t="s">
        <v>1995</v>
      </c>
      <c r="G20" s="3755"/>
      <c r="H20" s="3326" t="s">
        <v>3422</v>
      </c>
      <c r="I20" s="3326" t="s">
        <v>3423</v>
      </c>
      <c r="J20" s="3327" t="s">
        <v>3424</v>
      </c>
      <c r="K20" s="2047" t="s">
        <v>3425</v>
      </c>
      <c r="L20" s="2047" t="s">
        <v>3426</v>
      </c>
      <c r="M20" s="2047" t="s">
        <v>3427</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749"/>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3421</v>
      </c>
      <c r="G21" s="2157">
        <f>SUM(H21:O21)</f>
        <v>225</v>
      </c>
      <c r="H21" s="2165">
        <f>SUMPRODUCT((七通一平=H20)*(修正!B1:M1=G2)*(修正!B8:M16))</f>
        <v>25</v>
      </c>
      <c r="I21" s="2165">
        <f>SUMPRODUCT((七通一平=I20)*(修正!B1:M1=G2)*(修正!B8:M16))</f>
        <v>40</v>
      </c>
      <c r="J21" s="2166">
        <f>SUMPRODUCT((七通一平=J20)*(修正!B1:M1=G2)*(修正!B8:M16))</f>
        <v>60</v>
      </c>
      <c r="K21" s="2165">
        <f>SUMPRODUCT((七通一平=K20)*(修正!B1:M1=G2)*(修正!B8:M16))</f>
        <v>15</v>
      </c>
      <c r="L21" s="2165">
        <f>SUMPRODUCT((七通一平=L20)*(修正!B1:M1=G2)*(修正!B8:M16))</f>
        <v>70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SUMIF(修正!C20:C53,E3,修正!E20:E53)</f>
        <v>1.5</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2054" t="s">
        <v>2002</v>
      </c>
      <c r="E23" s="761">
        <v>44197</v>
      </c>
      <c r="F23" s="2054" t="s">
        <v>2003</v>
      </c>
      <c r="G23" s="762">
        <f>'数据-取费表'!B2</f>
        <v>45952</v>
      </c>
      <c r="H23" s="3343" t="s">
        <v>3428</v>
      </c>
      <c r="I23" s="3344" t="str">
        <f>IF(H23="季度增幅（自定义）",SUMIF(N25:N28,E2,O25:O28),"")</f>
        <v/>
      </c>
      <c r="J23" s="3446" t="s">
        <v>3429</v>
      </c>
      <c r="K23" s="1125"/>
      <c r="L23" s="2055" t="s">
        <v>2004</v>
      </c>
      <c r="M23" s="1328">
        <f>ROUND(SUMIF(地价!B2:G2,E2,地价!B16:G16),0)</f>
        <v>318</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1</v>
      </c>
      <c r="D24" s="2060" t="s">
        <v>2007</v>
      </c>
      <c r="E24" s="1335">
        <f>存贷款利率!E28/100</f>
        <v>4.3499999999999997E-2</v>
      </c>
      <c r="F24" s="2060" t="s">
        <v>1999</v>
      </c>
      <c r="G24" s="768">
        <f>SUMIF(M30:Q30,E2,M33:Q33)</f>
        <v>0.05</v>
      </c>
      <c r="H24" s="2060" t="s">
        <v>2008</v>
      </c>
      <c r="I24" s="769">
        <f>SUMIF('数据-取费表'!C6:C15,E2,'数据-取费表'!F6:F15)/COUNTIF('数据-取费表'!C6:C15,E2)</f>
        <v>50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3332</v>
      </c>
      <c r="C25" s="771">
        <f>IF(B25="容积率修正",IF(G3&lt;10,D26,J26),C27)</f>
        <v>0.74780000000000002</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3255</v>
      </c>
      <c r="D26" s="1352">
        <f>IF(E26=G26,F26,IF(G3&lt;10,ROUND(F26+(H26-F26)*(G3-E26)/(G26-E26),4),"——"))</f>
        <v>0.74780000000000002</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0.74780000000000002</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0.74780000000000002</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1.0397000000000001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3508</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2103</v>
      </c>
      <c r="D33" s="2098">
        <f>'数据-基础表'!I13</f>
        <v>16683.080000000002</v>
      </c>
      <c r="E33" s="773">
        <f>ROUND(C33*D33/10000,0)</f>
        <v>3508</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315</v>
      </c>
      <c r="D34" s="2103"/>
      <c r="E34" s="773">
        <f>ROUND(IF(B25="楼层修正",SUM(V2:V16)*M40,C34*D34/10000),0)</f>
        <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3263</v>
      </c>
      <c r="L36" s="3447">
        <f ca="1">'数据-取费表'!B40</f>
        <v>3.0599999999999999E-2</v>
      </c>
      <c r="M36" s="3358">
        <f ca="1">ROUND($L$36*(1+M31),3)</f>
        <v>3.7999999999999999E-2</v>
      </c>
      <c r="N36" s="3358">
        <f ca="1">ROUND($L$36*(1+N31),3)</f>
        <v>3.6999999999999998E-2</v>
      </c>
      <c r="O36" s="3358">
        <f ca="1">ROUND($L$36*(1+O31),3)</f>
        <v>3.5000000000000003E-2</v>
      </c>
      <c r="P36" s="3358">
        <f ca="1">ROUND($L$36*(1+P31),3)</f>
        <v>3.4000000000000002E-2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52"/>
      <c r="B37" s="2113" t="s">
        <v>2036</v>
      </c>
      <c r="C37" s="175">
        <f>ROUND(D5*C22*C23*C24*C28*F37,0)</f>
        <v>1687</v>
      </c>
      <c r="D37" s="2098"/>
      <c r="E37" s="171">
        <f>ROUND(C37*D37/10000,0)</f>
        <v>0</v>
      </c>
      <c r="F37" s="171">
        <f>SUMIF(修正!A59:A70,G2,修正!B59:B70)</f>
        <v>0.6</v>
      </c>
      <c r="G37" s="171">
        <f>ROUND(IF(E2="工业",C37*$M$42,C37*$M$41),0)</f>
        <v>253</v>
      </c>
      <c r="H37" s="171">
        <f>D37</f>
        <v>0</v>
      </c>
      <c r="I37" s="171">
        <f>ROUND(G37*H37/10000,0)</f>
        <v>0</v>
      </c>
      <c r="J37" s="3012"/>
      <c r="K37" s="3359" t="s">
        <v>3264</v>
      </c>
      <c r="L37" s="3357">
        <f ca="1">L36+K38</f>
        <v>3.56E-2</v>
      </c>
      <c r="M37" s="3358">
        <f ca="1">ROUND($L$37*(1+M31),3)</f>
        <v>4.4999999999999998E-2</v>
      </c>
      <c r="N37" s="3358">
        <f t="shared" ref="N37:Q37" ca="1" si="3">ROUND($L$37*(1+N31),3)</f>
        <v>4.2999999999999997E-2</v>
      </c>
      <c r="O37" s="3358">
        <f t="shared" ca="1" si="3"/>
        <v>4.1000000000000002E-2</v>
      </c>
      <c r="P37" s="3358">
        <f t="shared" ca="1" si="3"/>
        <v>3.9E-2</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844</v>
      </c>
      <c r="D38" s="2098"/>
      <c r="E38" s="171">
        <f t="shared" ref="E38:E42" si="4">ROUND(C38*D38/10000,0)</f>
        <v>0</v>
      </c>
      <c r="F38" s="171">
        <f>SUMIF(修正!A59:A70,G2,修正!C59:C70)</f>
        <v>0.3</v>
      </c>
      <c r="G38" s="171">
        <f>ROUND(IF(E2="工业",C38*$M$42,C38*$M$41),0)</f>
        <v>127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53"/>
      <c r="B39" s="2041" t="s">
        <v>3257</v>
      </c>
      <c r="C39" s="175">
        <f>ROUND(D5*C22*C23*C24*C28*F39,0)</f>
        <v>703</v>
      </c>
      <c r="D39" s="2098"/>
      <c r="E39" s="171">
        <f t="shared" si="4"/>
        <v>0</v>
      </c>
      <c r="F39" s="171">
        <f>SUMIF(修正!A59:A70,G2,修正!D59:D70)</f>
        <v>0.25</v>
      </c>
      <c r="G39" s="171">
        <f>ROUND(IF(E2="工业",C39*$M$42,C39*$M$41),0)</f>
        <v>105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703</v>
      </c>
      <c r="D40" s="2098"/>
      <c r="E40" s="171">
        <f t="shared" si="4"/>
        <v>0</v>
      </c>
      <c r="F40" s="175">
        <f>SUMIF(修正!A59:A70,G2,修正!E59:E70)</f>
        <v>0.25</v>
      </c>
      <c r="G40" s="171">
        <f>ROUND(IF(E2="工业",C40*$M$42,C40*$M$41),0)</f>
        <v>105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SUMIF(修正!A59:A70,G2,修正!F59:F70)</f>
        <v>0.25</v>
      </c>
      <c r="G41" s="171">
        <f>ROUND(IF(E2="工业",C41*$M$42,C41*$M$41),0)</f>
        <v>0</v>
      </c>
      <c r="H41" s="171">
        <f t="shared" si="5"/>
        <v>0</v>
      </c>
      <c r="I41" s="171">
        <f t="shared" si="6"/>
        <v>0</v>
      </c>
      <c r="J41" s="2114"/>
      <c r="L41" s="3360" t="s">
        <v>3265</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SUMIF(修正!A59:A70,G2,修正!G59:G70)</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hidden="1">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1.0397000000000001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t="s">
        <v>3430</v>
      </c>
      <c r="D83" s="1065">
        <f t="shared" ref="D83:D90" si="22">SUMIF($J$82:$N$82,C83,J83:N83)</f>
        <v>1.6899999999999998E-2</v>
      </c>
      <c r="E83" s="744">
        <f>ROUND(SUM(D83:D90),4)</f>
        <v>3.9699999999999999E-2</v>
      </c>
      <c r="F83" s="1814">
        <f>IF(E2="工业",SUMIF(L1:L12,G2,N1:N12),"——")</f>
        <v>0.13</v>
      </c>
      <c r="G83" s="1063">
        <v>1.6899999999999998E-2</v>
      </c>
      <c r="H83" s="1066">
        <f t="shared" ref="H83:H90" si="23">IFERROR(ROUNDDOWN($F$83*I83/2,4),"——")</f>
        <v>1.6899999999999998E-2</v>
      </c>
      <c r="I83" s="3367">
        <v>0.26</v>
      </c>
      <c r="J83" s="1064">
        <f t="shared" ref="J83:J90" si="24">K83+$G83</f>
        <v>3.3799999999999997E-2</v>
      </c>
      <c r="K83" s="1064">
        <f t="shared" ref="K83:K90" si="25">$L83+$G83</f>
        <v>1.6899999999999998E-2</v>
      </c>
      <c r="L83" s="1064">
        <v>0</v>
      </c>
      <c r="M83" s="1064">
        <f t="shared" ref="M83:N90" si="26">L83-$G83</f>
        <v>-1.6899999999999998E-2</v>
      </c>
      <c r="N83" s="1064">
        <f t="shared" si="26"/>
        <v>-3.3799999999999997E-2</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t="s">
        <v>3431</v>
      </c>
      <c r="D84" s="1065">
        <f t="shared" si="22"/>
        <v>0</v>
      </c>
      <c r="E84" s="747"/>
      <c r="F84" s="1814"/>
      <c r="G84" s="1063">
        <v>1.95E-2</v>
      </c>
      <c r="H84" s="1066">
        <f t="shared" si="23"/>
        <v>1.95E-2</v>
      </c>
      <c r="I84" s="3367">
        <v>0.3</v>
      </c>
      <c r="J84" s="1064">
        <f t="shared" si="24"/>
        <v>3.9E-2</v>
      </c>
      <c r="K84" s="1064">
        <f t="shared" si="25"/>
        <v>1.95E-2</v>
      </c>
      <c r="L84" s="1064">
        <v>0</v>
      </c>
      <c r="M84" s="1064">
        <f t="shared" si="26"/>
        <v>-1.95E-2</v>
      </c>
      <c r="N84" s="1064">
        <f t="shared" si="26"/>
        <v>-3.9E-2</v>
      </c>
      <c r="Z84" s="1998"/>
      <c r="AA84" s="2053"/>
      <c r="AG84" s="1121"/>
      <c r="AK84" s="2053"/>
    </row>
    <row r="85" spans="1:37" ht="48">
      <c r="A85" s="3369" t="s">
        <v>3268</v>
      </c>
      <c r="B85" s="2134">
        <f>估价对象房地状况!G17</f>
        <v>0</v>
      </c>
      <c r="C85" s="2044" t="s">
        <v>3430</v>
      </c>
      <c r="D85" s="1065">
        <f t="shared" si="22"/>
        <v>6.4999999999999997E-3</v>
      </c>
      <c r="E85" s="747"/>
      <c r="F85" s="1814"/>
      <c r="G85" s="1063">
        <v>6.4999999999999997E-3</v>
      </c>
      <c r="H85" s="1066">
        <f t="shared" si="23"/>
        <v>6.4999999999999997E-3</v>
      </c>
      <c r="I85" s="3367">
        <v>0.1</v>
      </c>
      <c r="J85" s="1064">
        <f t="shared" si="24"/>
        <v>1.2999999999999999E-2</v>
      </c>
      <c r="K85" s="1064">
        <f t="shared" si="25"/>
        <v>6.4999999999999997E-3</v>
      </c>
      <c r="L85" s="1064">
        <v>0</v>
      </c>
      <c r="M85" s="1064">
        <f t="shared" si="26"/>
        <v>-6.4999999999999997E-3</v>
      </c>
      <c r="N85" s="1064">
        <f t="shared" si="26"/>
        <v>-1.2999999999999999E-2</v>
      </c>
      <c r="Z85" s="1998"/>
      <c r="AA85" s="2053"/>
      <c r="AG85" s="1121"/>
      <c r="AK85" s="2053"/>
    </row>
    <row r="86" spans="1:37" ht="13.8">
      <c r="A86" s="2130" t="s">
        <v>2067</v>
      </c>
      <c r="B86" s="2134">
        <f>估价对象房地状况!G22</f>
        <v>0</v>
      </c>
      <c r="C86" s="2044" t="s">
        <v>3432</v>
      </c>
      <c r="D86" s="1065">
        <f t="shared" si="22"/>
        <v>-3.2000000000000002E-3</v>
      </c>
      <c r="E86" s="747"/>
      <c r="F86" s="1814"/>
      <c r="G86" s="1063">
        <v>3.2000000000000002E-3</v>
      </c>
      <c r="H86" s="1066">
        <f t="shared" si="23"/>
        <v>3.2000000000000002E-3</v>
      </c>
      <c r="I86" s="3367">
        <v>0.05</v>
      </c>
      <c r="J86" s="1064">
        <f t="shared" si="24"/>
        <v>6.4000000000000003E-3</v>
      </c>
      <c r="K86" s="1064">
        <f t="shared" si="25"/>
        <v>3.2000000000000002E-3</v>
      </c>
      <c r="L86" s="1064">
        <v>0</v>
      </c>
      <c r="M86" s="1064">
        <f t="shared" si="26"/>
        <v>-3.2000000000000002E-3</v>
      </c>
      <c r="N86" s="1064">
        <f t="shared" si="26"/>
        <v>-6.4000000000000003E-3</v>
      </c>
      <c r="Z86" s="1998"/>
      <c r="AA86" s="2053"/>
      <c r="AG86" s="1121"/>
      <c r="AK86" s="2053"/>
    </row>
    <row r="87" spans="1:37" ht="26.4">
      <c r="A87" s="2130" t="s">
        <v>2059</v>
      </c>
      <c r="B87" s="1326" t="str">
        <f>估价对象房地状况!G19</f>
        <v>估价对象所在区域公共配套设施齐备情况</v>
      </c>
      <c r="C87" s="2044" t="s">
        <v>3431</v>
      </c>
      <c r="D87" s="1065">
        <f t="shared" si="22"/>
        <v>0</v>
      </c>
      <c r="E87" s="747"/>
      <c r="F87" s="1814"/>
      <c r="G87" s="1063">
        <v>3.8999999999999998E-3</v>
      </c>
      <c r="H87" s="1066">
        <f t="shared" si="23"/>
        <v>3.8999999999999998E-3</v>
      </c>
      <c r="I87" s="3367">
        <v>0.06</v>
      </c>
      <c r="J87" s="1064">
        <f t="shared" si="24"/>
        <v>7.7999999999999996E-3</v>
      </c>
      <c r="K87" s="1064">
        <f t="shared" si="25"/>
        <v>3.8999999999999998E-3</v>
      </c>
      <c r="L87" s="1064">
        <v>0</v>
      </c>
      <c r="M87" s="1064">
        <f t="shared" si="26"/>
        <v>-3.8999999999999998E-3</v>
      </c>
      <c r="N87" s="1064">
        <f t="shared" si="26"/>
        <v>-7.7999999999999996E-3</v>
      </c>
    </row>
    <row r="88" spans="1:37" ht="26.4">
      <c r="A88" s="2130" t="s">
        <v>2060</v>
      </c>
      <c r="B88" s="1326" t="str">
        <f>估价对象房地状况!G20</f>
        <v>估价对象所在区域基础设施水平</v>
      </c>
      <c r="C88" s="2044" t="s">
        <v>3433</v>
      </c>
      <c r="D88" s="1065">
        <f t="shared" si="22"/>
        <v>1.5599999999999999E-2</v>
      </c>
      <c r="E88" s="747"/>
      <c r="F88" s="1814"/>
      <c r="G88" s="1063">
        <v>7.7999999999999996E-3</v>
      </c>
      <c r="H88" s="1066">
        <f t="shared" si="23"/>
        <v>7.7999999999999996E-3</v>
      </c>
      <c r="I88" s="3367">
        <v>0.12</v>
      </c>
      <c r="J88" s="1064">
        <f t="shared" si="24"/>
        <v>1.5599999999999999E-2</v>
      </c>
      <c r="K88" s="1064">
        <f t="shared" si="25"/>
        <v>7.7999999999999996E-3</v>
      </c>
      <c r="L88" s="1064">
        <v>0</v>
      </c>
      <c r="M88" s="1064">
        <f t="shared" si="26"/>
        <v>-7.7999999999999996E-3</v>
      </c>
      <c r="N88" s="1064">
        <f t="shared" si="26"/>
        <v>-1.5599999999999999E-2</v>
      </c>
    </row>
    <row r="89" spans="1:37" ht="36">
      <c r="A89" s="2130" t="s">
        <v>2057</v>
      </c>
      <c r="B89" s="2136" t="s">
        <v>2071</v>
      </c>
      <c r="C89" s="2044" t="s">
        <v>3430</v>
      </c>
      <c r="D89" s="1065">
        <f t="shared" si="22"/>
        <v>3.8999999999999998E-3</v>
      </c>
      <c r="E89" s="747"/>
      <c r="F89" s="1814"/>
      <c r="G89" s="1063">
        <v>3.8999999999999998E-3</v>
      </c>
      <c r="H89" s="1066">
        <f t="shared" si="23"/>
        <v>3.8999999999999998E-3</v>
      </c>
      <c r="I89" s="3367">
        <v>0.06</v>
      </c>
      <c r="J89" s="1064">
        <f t="shared" si="24"/>
        <v>7.7999999999999996E-3</v>
      </c>
      <c r="K89" s="1064">
        <f t="shared" si="25"/>
        <v>3.8999999999999998E-3</v>
      </c>
      <c r="L89" s="1064">
        <v>0</v>
      </c>
      <c r="M89" s="1064">
        <f t="shared" si="26"/>
        <v>-3.8999999999999998E-3</v>
      </c>
      <c r="N89" s="1064">
        <f t="shared" si="26"/>
        <v>-7.7999999999999996E-3</v>
      </c>
    </row>
    <row r="90" spans="1:37" ht="40.200000000000003" thickBot="1">
      <c r="A90" s="2138" t="s">
        <v>2072</v>
      </c>
      <c r="B90" s="2143" t="str">
        <f>估价对象房地状况!G18</f>
        <v>该园区内是否有污染型企业，绿化情况，卫生条件，整体环境状况判断</v>
      </c>
      <c r="C90" s="2044" t="s">
        <v>3431</v>
      </c>
      <c r="D90" s="1065">
        <f t="shared" si="22"/>
        <v>0</v>
      </c>
      <c r="E90" s="748"/>
      <c r="F90" s="1814"/>
      <c r="G90" s="1063">
        <v>3.2000000000000002E-3</v>
      </c>
      <c r="H90" s="1066">
        <f t="shared" si="23"/>
        <v>3.2000000000000002E-3</v>
      </c>
      <c r="I90" s="3368">
        <v>0.05</v>
      </c>
      <c r="J90" s="1064">
        <f t="shared" si="24"/>
        <v>6.4000000000000003E-3</v>
      </c>
      <c r="K90" s="1064">
        <f t="shared" si="25"/>
        <v>3.2000000000000002E-3</v>
      </c>
      <c r="L90" s="1064">
        <v>0</v>
      </c>
      <c r="M90" s="1064">
        <f t="shared" si="26"/>
        <v>-3.2000000000000002E-3</v>
      </c>
      <c r="N90" s="1064">
        <f t="shared" si="26"/>
        <v>-6.4000000000000003E-3</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0" t="s">
        <v>3292</v>
      </c>
      <c r="B103" s="3750"/>
      <c r="C103" s="3750"/>
      <c r="D103" s="3750"/>
      <c r="E103" s="3750"/>
      <c r="F103" s="3750"/>
      <c r="G103" s="3750"/>
      <c r="H103" s="3750"/>
      <c r="I103" s="3750"/>
      <c r="J103" s="3750"/>
      <c r="K103" s="3390"/>
      <c r="L103" s="3390"/>
      <c r="M103" s="3390"/>
      <c r="N103" s="3390"/>
    </row>
    <row r="104" spans="1:14">
      <c r="A104" s="3751" t="s">
        <v>3293</v>
      </c>
      <c r="B104" s="3751" t="s">
        <v>3294</v>
      </c>
      <c r="C104" s="3391" t="s">
        <v>3295</v>
      </c>
      <c r="D104" s="3392"/>
      <c r="E104" s="3392"/>
      <c r="F104" s="3392"/>
      <c r="G104" s="3392"/>
      <c r="H104" s="3392"/>
      <c r="I104" s="3392"/>
      <c r="J104" s="3393"/>
      <c r="K104" s="3394"/>
      <c r="L104" s="3394"/>
      <c r="M104" s="3394"/>
      <c r="N104" s="3394"/>
    </row>
    <row r="105" spans="1:14">
      <c r="A105" s="3751"/>
      <c r="B105" s="3751"/>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37"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0" t="s">
        <v>3309</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3310</v>
      </c>
      <c r="B116" s="3416">
        <f>G3</f>
        <v>2.5</v>
      </c>
      <c r="C116" s="3400" t="s">
        <v>3311</v>
      </c>
      <c r="D116" s="3401">
        <f>SUMPRODUCT((A118:A122=F116)*(B117:M117=H116)*B118:M122)</f>
        <v>0.61619999999999997</v>
      </c>
      <c r="E116" s="2000" t="s">
        <v>3312</v>
      </c>
      <c r="F116" s="3402" t="str">
        <f>E2</f>
        <v>工业</v>
      </c>
      <c r="G116" s="2000" t="s">
        <v>3313</v>
      </c>
      <c r="H116" s="3402" t="str">
        <f>G2</f>
        <v>七级</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3327</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3328</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8" thickBot="1">
      <c r="A121" s="3412" t="s">
        <v>3329</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2612</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sqref="A1:D12"/>
    </sheetView>
  </sheetViews>
  <sheetFormatPr defaultRowHeight="14.4"/>
  <sheetData/>
  <phoneticPr fontId="13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F38" sqref="F38"/>
    </sheetView>
  </sheetViews>
  <sheetFormatPr defaultRowHeight="14.4"/>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-364</v>
      </c>
      <c r="C2" s="276" t="s">
        <v>1595</v>
      </c>
      <c r="D2" s="276"/>
      <c r="E2" s="2806"/>
      <c r="F2" s="2806"/>
      <c r="G2" s="2806"/>
      <c r="H2" s="2806"/>
      <c r="I2" s="2806"/>
      <c r="J2" s="2806"/>
      <c r="K2" s="2806"/>
    </row>
    <row r="3" spans="1:33" ht="18" customHeight="1" thickBot="1">
      <c r="A3" s="203" t="s">
        <v>1464</v>
      </c>
      <c r="B3" s="204">
        <f ca="1">ROUND(B2*10000/IF(C1="",'数据-汇总表'!E3,INDIRECT("'数据-取费表'!K"&amp;$K$1)),0)</f>
        <v>-218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16683.080000000002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16683.080000000002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334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334</v>
      </c>
      <c r="D20" s="846">
        <f ca="1">IF(C1="",'数据-汇总表'!E6,IF(INDIRECT("'数据-取费表'!c"&amp;$K$1)="住宅",INDIRECT("'数据-取费表'!s"&amp;$K$1),INDIRECT("'数据-取费表'!k"&amp;$K$1)+INDIRECT("'数据-取费表'!s"&amp;$K$1)))</f>
        <v>16683.080000000002</v>
      </c>
      <c r="E20" s="21">
        <f>'数据-取费表'!B28</f>
        <v>200</v>
      </c>
      <c r="F20" s="804"/>
      <c r="G20" s="12"/>
      <c r="H20" s="809"/>
      <c r="I20" s="809"/>
      <c r="J20" s="809"/>
      <c r="K20" s="810"/>
    </row>
    <row r="21" spans="1:33" s="803" customFormat="1" ht="13.5" customHeight="1">
      <c r="A21" s="790" t="s">
        <v>357</v>
      </c>
      <c r="B21" s="813" t="s">
        <v>1628</v>
      </c>
      <c r="C21" s="814">
        <f ca="1">C16+C17+C18</f>
        <v>334</v>
      </c>
      <c r="D21" s="815"/>
      <c r="E21" s="281"/>
      <c r="F21" s="281"/>
      <c r="G21" s="131" t="s">
        <v>1629</v>
      </c>
      <c r="H21" s="807"/>
      <c r="I21" s="807"/>
      <c r="J21" s="807"/>
      <c r="K21" s="808"/>
    </row>
    <row r="22" spans="1:33" s="803" customFormat="1" ht="13.5" customHeight="1">
      <c r="A22" s="790" t="s">
        <v>1601</v>
      </c>
      <c r="B22" s="813" t="s">
        <v>1630</v>
      </c>
      <c r="C22" s="814">
        <f ca="1">ROUND(C21*F22,0)</f>
        <v>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3.0599999999999999E-2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34</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34</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-364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58" t="s">
        <v>694</v>
      </c>
      <c r="C6" s="1074">
        <f ca="1">ROUND(F6*F8*F7*(1-F9)/10000,0)</f>
        <v>0</v>
      </c>
      <c r="D6" s="155" t="s">
        <v>2109</v>
      </c>
      <c r="E6" s="302" t="s">
        <v>696</v>
      </c>
      <c r="F6" s="303">
        <f ca="1">INDIRECT("'数据-取费表'!u"&amp;$G$1)</f>
        <v>0</v>
      </c>
      <c r="G6" s="1384"/>
      <c r="H6" s="1069" t="s">
        <v>398</v>
      </c>
      <c r="I6" s="3758" t="s">
        <v>694</v>
      </c>
      <c r="J6" s="301">
        <f ca="1">ROUND(M6*M8*M7*(1-M9)/10000,0)</f>
        <v>0</v>
      </c>
      <c r="K6" s="155" t="s">
        <v>2108</v>
      </c>
      <c r="L6" s="302" t="s">
        <v>696</v>
      </c>
      <c r="M6" s="303">
        <f ca="1">INDIRECT("'数据-取费表'!z"&amp;$G$1)</f>
        <v>0</v>
      </c>
    </row>
    <row r="7" spans="1:37" ht="18" customHeight="1">
      <c r="A7" s="1073"/>
      <c r="B7" s="3759"/>
      <c r="C7" s="1075"/>
      <c r="D7" s="307"/>
      <c r="E7" s="1076" t="s">
        <v>697</v>
      </c>
      <c r="F7" s="303">
        <f ca="1">IF(INDIRECT("'数据-取费表'!ah"&amp;$G$1)="",INDIRECT("'数据-取费表'!k"&amp;$G$1),INDIRECT("'数据-取费表'!ah"&amp;$G$1))</f>
        <v>0</v>
      </c>
      <c r="G7" s="1384"/>
      <c r="H7" s="304"/>
      <c r="I7" s="3759"/>
      <c r="J7" s="306"/>
      <c r="K7" s="307"/>
      <c r="L7" s="302" t="s">
        <v>697</v>
      </c>
      <c r="M7" s="303">
        <f ca="1">F7</f>
        <v>0</v>
      </c>
    </row>
    <row r="8" spans="1:37" ht="18" customHeight="1">
      <c r="A8" s="304"/>
      <c r="B8" s="3759"/>
      <c r="C8" s="306"/>
      <c r="D8" s="307"/>
      <c r="E8" s="302" t="s">
        <v>698</v>
      </c>
      <c r="F8" s="303">
        <f ca="1">INDIRECT("'数据-取费表'!ai"&amp;$G$1)</f>
        <v>0</v>
      </c>
      <c r="G8" s="1384"/>
      <c r="H8" s="304"/>
      <c r="I8" s="3759"/>
      <c r="J8" s="306"/>
      <c r="K8" s="307"/>
      <c r="L8" s="302" t="s">
        <v>698</v>
      </c>
      <c r="M8" s="303">
        <f ca="1">INDIRECT("'数据-取费表'!ai"&amp;$G$1)</f>
        <v>0</v>
      </c>
    </row>
    <row r="9" spans="1:37" ht="18" customHeight="1">
      <c r="A9" s="304"/>
      <c r="B9" s="3760"/>
      <c r="C9" s="306"/>
      <c r="D9" s="307"/>
      <c r="E9" s="302" t="s">
        <v>699</v>
      </c>
      <c r="F9" s="312">
        <f ca="1">INDIRECT("'数据-取费表'!w"&amp;$G$1)</f>
        <v>0</v>
      </c>
      <c r="G9" s="1384"/>
      <c r="H9" s="304"/>
      <c r="I9" s="37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3.0599999999999999E-2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756" t="s">
        <v>837</v>
      </c>
      <c r="L53" s="3757"/>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估价对象为房地产，为所有。根据《国有土地使用证》[]，估价对象（分摊）出让国有建设用地使用权面积为6666.7平方米，建筑面积为16683.08平方米。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估价对象为房地产,属开发建设的，该项目尚在开发建设中。根据《国有土地使用证》[]，估价对象（分摊）出让国有建设用地使用权面积为6666.7平方米，规划建筑面积为16683.08平方米。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2025年10月22日（评估专业人员实地查勘之日）</v>
      </c>
    </row>
    <row r="16" spans="1:1" ht="17.399999999999999">
      <c r="A16" s="1485" t="s">
        <v>906</v>
      </c>
    </row>
    <row r="17" spans="1:1" ht="69.599999999999994">
      <c r="A17" s="1480" t="s">
        <v>907</v>
      </c>
    </row>
    <row r="18" spans="1:1" ht="52.2">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本次估价的“房地产价值”是指在正常市场情况下，在价值时点2025年10月22日，估价对象规划用途为，土地取得方式为划拨，假定未设立法定优先受偿款下的房地产市场价值。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本次评估采用的主估价方法为基准地价系数修正法和基准地价系数修正法。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38" sqref="C3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58" t="s">
        <v>694</v>
      </c>
      <c r="C6" s="1074">
        <f ca="1">ROUND(F6*F8*F7*(1-F9),0)</f>
        <v>0</v>
      </c>
      <c r="D6" s="155" t="s">
        <v>2106</v>
      </c>
      <c r="E6" s="302" t="s">
        <v>696</v>
      </c>
      <c r="F6" s="303">
        <f ca="1">INDIRECT("'数据-取费表'!u"&amp;$G$1)</f>
        <v>0</v>
      </c>
      <c r="G6" s="1384"/>
      <c r="H6" s="1069" t="s">
        <v>398</v>
      </c>
      <c r="I6" s="3758" t="s">
        <v>694</v>
      </c>
      <c r="J6" s="301">
        <f ca="1">ROUND(M6*M8*M7*(1-M9),0)</f>
        <v>0</v>
      </c>
      <c r="K6" s="1376" t="s">
        <v>2107</v>
      </c>
      <c r="L6" s="302" t="s">
        <v>696</v>
      </c>
      <c r="M6" s="303">
        <f ca="1">INDIRECT("'数据-取费表'!z"&amp;$G$1)</f>
        <v>0</v>
      </c>
    </row>
    <row r="7" spans="1:37" ht="18" customHeight="1">
      <c r="A7" s="1073"/>
      <c r="B7" s="3759"/>
      <c r="C7" s="1075"/>
      <c r="D7" s="307"/>
      <c r="E7" s="1076" t="s">
        <v>697</v>
      </c>
      <c r="F7" s="303">
        <f ca="1">IF(INDIRECT("'数据-取费表'!ah"&amp;$G$1)="",INDIRECT("'数据-取费表'!k"&amp;$G$1),INDIRECT("'数据-取费表'!ah"&amp;$G$1))</f>
        <v>0</v>
      </c>
      <c r="G7" s="1384"/>
      <c r="H7" s="304"/>
      <c r="I7" s="3759"/>
      <c r="J7" s="306"/>
      <c r="K7" s="307"/>
      <c r="L7" s="302" t="s">
        <v>697</v>
      </c>
      <c r="M7" s="303">
        <f ca="1">F7</f>
        <v>0</v>
      </c>
    </row>
    <row r="8" spans="1:37" ht="18" customHeight="1">
      <c r="A8" s="304"/>
      <c r="B8" s="3759"/>
      <c r="C8" s="306"/>
      <c r="D8" s="307"/>
      <c r="E8" s="302" t="s">
        <v>698</v>
      </c>
      <c r="F8" s="303">
        <f ca="1">INDIRECT("'数据-取费表'!ai"&amp;$G$1)</f>
        <v>0</v>
      </c>
      <c r="G8" s="1384"/>
      <c r="H8" s="304"/>
      <c r="I8" s="3759"/>
      <c r="J8" s="306"/>
      <c r="K8" s="307"/>
      <c r="L8" s="302" t="s">
        <v>698</v>
      </c>
      <c r="M8" s="303">
        <f ca="1">INDIRECT("'数据-取费表'!ai"&amp;$G$1)</f>
        <v>0</v>
      </c>
    </row>
    <row r="9" spans="1:37" ht="18" customHeight="1">
      <c r="A9" s="304"/>
      <c r="B9" s="3760"/>
      <c r="C9" s="306"/>
      <c r="D9" s="307"/>
      <c r="E9" s="302" t="s">
        <v>699</v>
      </c>
      <c r="F9" s="312">
        <f ca="1">INDIRECT("'数据-取费表'!w"&amp;$G$1)</f>
        <v>0</v>
      </c>
      <c r="G9" s="1384"/>
      <c r="H9" s="304"/>
      <c r="I9" s="37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3.0599999999999999E-2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3349</v>
      </c>
      <c r="B45" s="1400"/>
      <c r="C45" s="1472" t="e">
        <f ca="1">ROUND((C68-C40)/10000,4)</f>
        <v>#DIV/0!</v>
      </c>
      <c r="D45" s="3432" t="s">
        <v>3350</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56" t="s">
        <v>837</v>
      </c>
      <c r="L53" s="3757"/>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3356</v>
      </c>
      <c r="E2" s="3444"/>
      <c r="F2" s="2846"/>
      <c r="G2" s="2847"/>
      <c r="H2" s="2848"/>
      <c r="I2" s="2849"/>
      <c r="J2" s="3761" t="s">
        <v>2317</v>
      </c>
      <c r="K2" s="3762"/>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763" t="s">
        <v>2327</v>
      </c>
      <c r="K3" s="3764"/>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763" t="s">
        <v>2329</v>
      </c>
      <c r="K4" s="3764"/>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765" t="s">
        <v>2333</v>
      </c>
      <c r="B6" s="3766"/>
      <c r="C6" s="3767"/>
      <c r="D6" s="2870"/>
      <c r="E6" s="2871"/>
      <c r="F6" s="2872"/>
      <c r="G6" s="2873"/>
      <c r="H6" s="2848"/>
      <c r="I6" s="2849"/>
      <c r="J6" s="3768">
        <v>1</v>
      </c>
      <c r="K6" s="3769"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768"/>
      <c r="K7" s="3770"/>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772" t="s">
        <v>2347</v>
      </c>
      <c r="C8" s="3773"/>
      <c r="D8" s="2889" t="s">
        <v>2348</v>
      </c>
      <c r="E8" s="2890" t="s">
        <v>2349</v>
      </c>
      <c r="F8" s="2891" t="s">
        <v>2350</v>
      </c>
      <c r="G8" s="2892"/>
      <c r="H8" s="2848"/>
      <c r="I8" s="2849"/>
      <c r="J8" s="3768"/>
      <c r="K8" s="3770"/>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772" t="s">
        <v>2353</v>
      </c>
      <c r="C9" s="3773"/>
      <c r="D9" s="2889">
        <f>ROUND(D6*E9,0)</f>
        <v>0</v>
      </c>
      <c r="E9" s="2893"/>
      <c r="F9" s="2894" t="s">
        <v>2354</v>
      </c>
      <c r="G9" s="2873"/>
      <c r="H9" s="2848"/>
      <c r="I9" s="2849"/>
      <c r="J9" s="3768"/>
      <c r="K9" s="3770"/>
      <c r="L9" s="2883" t="s">
        <v>2355</v>
      </c>
      <c r="M9" s="2884"/>
      <c r="N9" s="2860"/>
      <c r="O9" s="2885"/>
      <c r="P9" s="2885"/>
      <c r="Q9" s="2886">
        <v>365</v>
      </c>
      <c r="R9" s="2887">
        <f t="shared" si="0"/>
        <v>0</v>
      </c>
      <c r="S9" s="2841"/>
      <c r="T9" s="2841"/>
      <c r="U9" s="2841"/>
      <c r="V9" s="2849"/>
    </row>
    <row r="10" spans="1:22" s="2853" customFormat="1" ht="13.2" customHeight="1">
      <c r="A10" s="2888">
        <v>2</v>
      </c>
      <c r="B10" s="3772" t="s">
        <v>2356</v>
      </c>
      <c r="C10" s="3773"/>
      <c r="D10" s="2889">
        <f>ROUND(D6*E10,0)</f>
        <v>0</v>
      </c>
      <c r="E10" s="2893"/>
      <c r="F10" s="2894" t="s">
        <v>2357</v>
      </c>
      <c r="G10" s="2873"/>
      <c r="H10" s="2848"/>
      <c r="I10" s="2849"/>
      <c r="J10" s="3768"/>
      <c r="K10" s="3770"/>
      <c r="L10" s="2883" t="s">
        <v>2358</v>
      </c>
      <c r="M10" s="2884"/>
      <c r="N10" s="2860"/>
      <c r="O10" s="2885"/>
      <c r="P10" s="2885"/>
      <c r="Q10" s="2886">
        <v>365</v>
      </c>
      <c r="R10" s="2887">
        <f t="shared" si="0"/>
        <v>0</v>
      </c>
      <c r="S10" s="2841"/>
      <c r="T10" s="2841"/>
      <c r="U10" s="2841"/>
      <c r="V10" s="2849"/>
    </row>
    <row r="11" spans="1:22" s="2853" customFormat="1" ht="13.2" customHeight="1">
      <c r="A11" s="2888">
        <v>3</v>
      </c>
      <c r="B11" s="3772" t="s">
        <v>2359</v>
      </c>
      <c r="C11" s="3773"/>
      <c r="D11" s="2889">
        <f>D12+D14+D15+D16</f>
        <v>0</v>
      </c>
      <c r="E11" s="2895" t="e">
        <f>D11/D6</f>
        <v>#DIV/0!</v>
      </c>
      <c r="F11" s="2891"/>
      <c r="G11" s="2892"/>
      <c r="H11" s="2848"/>
      <c r="I11" s="2849"/>
      <c r="J11" s="3768"/>
      <c r="K11" s="3770"/>
      <c r="L11" s="2883" t="s">
        <v>2360</v>
      </c>
      <c r="M11" s="2884"/>
      <c r="N11" s="2860"/>
      <c r="O11" s="2885"/>
      <c r="P11" s="2885"/>
      <c r="Q11" s="2886">
        <v>365</v>
      </c>
      <c r="R11" s="2887">
        <f t="shared" si="0"/>
        <v>0</v>
      </c>
      <c r="S11" s="2841"/>
      <c r="T11" s="2841"/>
      <c r="U11" s="2841"/>
      <c r="V11" s="2849"/>
    </row>
    <row r="12" spans="1:22" s="2853" customFormat="1" ht="13.2" customHeight="1">
      <c r="A12" s="2896" t="s">
        <v>2361</v>
      </c>
      <c r="B12" s="3774" t="s">
        <v>2362</v>
      </c>
      <c r="C12" s="3775"/>
      <c r="D12" s="2897">
        <f>ROUND(D13*1.2%*(1-30%),0)</f>
        <v>0</v>
      </c>
      <c r="E12" s="2898">
        <v>1.2E-2</v>
      </c>
      <c r="F12" s="2891" t="s">
        <v>2363</v>
      </c>
      <c r="G12" s="2892"/>
      <c r="H12" s="2848"/>
      <c r="I12" s="2849"/>
      <c r="J12" s="3768"/>
      <c r="K12" s="3770"/>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768"/>
      <c r="K13" s="3770"/>
      <c r="L13" s="2883" t="s">
        <v>2366</v>
      </c>
      <c r="M13" s="2884"/>
      <c r="N13" s="2860"/>
      <c r="O13" s="2885"/>
      <c r="P13" s="2885"/>
      <c r="Q13" s="2886">
        <v>365</v>
      </c>
      <c r="R13" s="2887">
        <f t="shared" si="0"/>
        <v>0</v>
      </c>
      <c r="S13" s="2841"/>
      <c r="T13" s="2841"/>
      <c r="U13" s="2841"/>
      <c r="V13" s="2849"/>
    </row>
    <row r="14" spans="1:22" s="2853" customFormat="1" ht="13.2" customHeight="1">
      <c r="A14" s="2896" t="s">
        <v>2367</v>
      </c>
      <c r="B14" s="3774" t="s">
        <v>2368</v>
      </c>
      <c r="C14" s="3775"/>
      <c r="D14" s="2897">
        <f>ROUND(E14*B5/10000,0)</f>
        <v>0</v>
      </c>
      <c r="E14" s="2886"/>
      <c r="F14" s="2891" t="s">
        <v>2369</v>
      </c>
      <c r="G14" s="2892"/>
      <c r="H14" s="2848"/>
      <c r="I14" s="2849"/>
      <c r="J14" s="3768"/>
      <c r="K14" s="3771"/>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774" t="s">
        <v>2372</v>
      </c>
      <c r="C15" s="3775"/>
      <c r="D15" s="2897">
        <f>ROUND(D6*E15,0)</f>
        <v>0</v>
      </c>
      <c r="E15" s="2898">
        <v>5.5E-2</v>
      </c>
      <c r="F15" s="2891" t="s">
        <v>2373</v>
      </c>
      <c r="G15" s="2873"/>
      <c r="H15" s="2848"/>
      <c r="I15" s="2849"/>
      <c r="J15" s="3768">
        <v>2</v>
      </c>
      <c r="K15" s="3769"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774" t="s">
        <v>2381</v>
      </c>
      <c r="C16" s="3775"/>
      <c r="D16" s="2908">
        <f>D6*E16</f>
        <v>0</v>
      </c>
      <c r="E16" s="2909"/>
      <c r="F16" s="2894" t="s">
        <v>2382</v>
      </c>
      <c r="G16" s="2873"/>
      <c r="H16" s="2848"/>
      <c r="I16" s="2849"/>
      <c r="J16" s="3768"/>
      <c r="K16" s="3770"/>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776" t="s">
        <v>2384</v>
      </c>
      <c r="C17" s="3777"/>
      <c r="D17" s="2911">
        <f>ROUND(D6*E17,0)</f>
        <v>0</v>
      </c>
      <c r="E17" s="2912"/>
      <c r="F17" s="2913" t="s">
        <v>2385</v>
      </c>
      <c r="G17" s="2873"/>
      <c r="H17" s="2848"/>
      <c r="I17" s="2849"/>
      <c r="J17" s="3768"/>
      <c r="K17" s="3770"/>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768"/>
      <c r="K18" s="3770"/>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768"/>
      <c r="K19" s="3771"/>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768">
        <v>3</v>
      </c>
      <c r="K20" s="3769"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768"/>
      <c r="K21" s="3770"/>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768"/>
      <c r="K22" s="3770"/>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768"/>
      <c r="K23" s="3770"/>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768"/>
      <c r="K24" s="3771"/>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77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779"/>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761" t="s">
        <v>2317</v>
      </c>
      <c r="K32" s="3762"/>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763" t="s">
        <v>2327</v>
      </c>
      <c r="K33" s="3764"/>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763" t="s">
        <v>2329</v>
      </c>
      <c r="K34" s="3764"/>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768">
        <v>1</v>
      </c>
      <c r="K36" s="3769"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768"/>
      <c r="K37" s="3770"/>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768"/>
      <c r="K38" s="3770"/>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768"/>
      <c r="K39" s="3770"/>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768"/>
      <c r="K40" s="3771"/>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778">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779"/>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80" t="s">
        <v>1654</v>
      </c>
      <c r="C5" s="3781"/>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16683.080000000002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15" t="s">
        <v>1667</v>
      </c>
      <c r="D4" s="3716"/>
      <c r="E4" s="3717" t="s">
        <v>1668</v>
      </c>
      <c r="F4" s="3718"/>
      <c r="G4" s="3715" t="s">
        <v>1669</v>
      </c>
      <c r="H4" s="3716"/>
      <c r="I4" s="3715" t="s">
        <v>1670</v>
      </c>
      <c r="J4" s="3716"/>
      <c r="K4" s="1889" t="s">
        <v>1671</v>
      </c>
      <c r="L4" s="2715"/>
      <c r="M4" s="2716"/>
      <c r="N4" s="2716"/>
      <c r="O4" s="2716"/>
      <c r="P4" s="3719" t="s">
        <v>1672</v>
      </c>
      <c r="Q4" s="3720"/>
      <c r="R4" s="3702" t="s">
        <v>1668</v>
      </c>
      <c r="S4" s="3703"/>
      <c r="T4" s="3702" t="s">
        <v>1669</v>
      </c>
      <c r="U4" s="3703"/>
      <c r="V4" s="3727" t="s">
        <v>1670</v>
      </c>
      <c r="W4" s="3727"/>
      <c r="X4" s="1355"/>
      <c r="Y4" s="3702" t="s">
        <v>1672</v>
      </c>
      <c r="Z4" s="3703"/>
      <c r="AA4" s="3697" t="s">
        <v>1668</v>
      </c>
      <c r="AB4" s="3697" t="s">
        <v>1669</v>
      </c>
      <c r="AC4" s="3697" t="s">
        <v>1670</v>
      </c>
    </row>
    <row r="5" spans="1:29">
      <c r="A5" s="358"/>
      <c r="B5" s="359"/>
      <c r="C5" s="3708" t="s">
        <v>1673</v>
      </c>
      <c r="D5" s="3709"/>
      <c r="E5" s="3706" t="s">
        <v>1674</v>
      </c>
      <c r="F5" s="3707"/>
      <c r="G5" s="3708" t="s">
        <v>1675</v>
      </c>
      <c r="H5" s="3709"/>
      <c r="I5" s="3708" t="s">
        <v>1676</v>
      </c>
      <c r="J5" s="3709"/>
      <c r="K5" s="1890"/>
      <c r="L5" s="2715"/>
      <c r="M5" s="2716"/>
      <c r="N5" s="2716"/>
      <c r="O5" s="2716"/>
      <c r="P5" s="3721"/>
      <c r="Q5" s="3722"/>
      <c r="R5" s="3704"/>
      <c r="S5" s="3705"/>
      <c r="T5" s="3704"/>
      <c r="U5" s="3705"/>
      <c r="V5" s="3727"/>
      <c r="W5" s="3727"/>
      <c r="X5" s="1355"/>
      <c r="Y5" s="3704"/>
      <c r="Z5" s="3705"/>
      <c r="AA5" s="3698"/>
      <c r="AB5" s="3698"/>
      <c r="AC5" s="3698"/>
    </row>
    <row r="6" spans="1:29" ht="15" thickBot="1">
      <c r="A6" s="360"/>
      <c r="B6" s="361"/>
      <c r="C6" s="3710" t="s">
        <v>1677</v>
      </c>
      <c r="D6" s="3711"/>
      <c r="E6" s="3712" t="s">
        <v>1677</v>
      </c>
      <c r="F6" s="3713"/>
      <c r="G6" s="3710" t="s">
        <v>1677</v>
      </c>
      <c r="H6" s="3711"/>
      <c r="I6" s="3710" t="s">
        <v>1677</v>
      </c>
      <c r="J6" s="3711"/>
      <c r="K6" s="1890" t="s">
        <v>1678</v>
      </c>
      <c r="L6" s="2715"/>
      <c r="M6" s="2716"/>
      <c r="N6" s="2716"/>
      <c r="O6" s="2716"/>
      <c r="P6" s="3723"/>
      <c r="Q6" s="3724"/>
      <c r="R6" s="3704"/>
      <c r="S6" s="3705"/>
      <c r="T6" s="3725"/>
      <c r="U6" s="3726"/>
      <c r="V6" s="3727"/>
      <c r="W6" s="3727"/>
      <c r="X6" s="1355"/>
      <c r="Y6" s="3725"/>
      <c r="Z6" s="3726"/>
      <c r="AA6" s="3699"/>
      <c r="AB6" s="3699"/>
      <c r="AC6" s="3699"/>
    </row>
    <row r="7" spans="1:29" s="108" customFormat="1" ht="15" thickBot="1">
      <c r="A7" s="362" t="s">
        <v>1679</v>
      </c>
      <c r="B7" s="363"/>
      <c r="C7" s="364">
        <f>'数据-取费表'!B2</f>
        <v>45952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0" t="s">
        <v>1680</v>
      </c>
      <c r="Q7" s="3728"/>
      <c r="R7" s="701" t="s">
        <v>20</v>
      </c>
      <c r="S7" s="702">
        <f t="shared" ref="S7:S15" si="0">F7</f>
        <v>0</v>
      </c>
      <c r="T7" s="701" t="s">
        <v>20</v>
      </c>
      <c r="U7" s="702">
        <f t="shared" ref="U7:U15" si="1">H7</f>
        <v>0</v>
      </c>
      <c r="V7" s="701" t="s">
        <v>20</v>
      </c>
      <c r="W7" s="702">
        <f t="shared" ref="W7:W15" si="2">J7</f>
        <v>0</v>
      </c>
      <c r="X7" s="703"/>
      <c r="Y7" s="3700" t="s">
        <v>1680</v>
      </c>
      <c r="Z7" s="3701"/>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0" t="s">
        <v>1683</v>
      </c>
      <c r="Q8" s="3701"/>
      <c r="R8" s="701" t="s">
        <v>20</v>
      </c>
      <c r="S8" s="702">
        <f t="shared" si="0"/>
        <v>100</v>
      </c>
      <c r="T8" s="701" t="s">
        <v>20</v>
      </c>
      <c r="U8" s="702">
        <f t="shared" si="1"/>
        <v>100</v>
      </c>
      <c r="V8" s="701" t="s">
        <v>20</v>
      </c>
      <c r="W8" s="702">
        <f t="shared" si="2"/>
        <v>100</v>
      </c>
      <c r="X8" s="703"/>
      <c r="Y8" s="3700" t="s">
        <v>1683</v>
      </c>
      <c r="Z8" s="3701"/>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82" t="s">
        <v>1686</v>
      </c>
      <c r="Q9" s="1343" t="str">
        <f t="shared" ref="Q9:Q15" si="6">B9</f>
        <v>用途</v>
      </c>
      <c r="R9" s="701" t="s">
        <v>14</v>
      </c>
      <c r="S9" s="702">
        <f t="shared" si="0"/>
        <v>100</v>
      </c>
      <c r="T9" s="701" t="s">
        <v>14</v>
      </c>
      <c r="U9" s="702">
        <f t="shared" si="1"/>
        <v>100</v>
      </c>
      <c r="V9" s="701" t="s">
        <v>14</v>
      </c>
      <c r="W9" s="702">
        <f t="shared" si="2"/>
        <v>100</v>
      </c>
      <c r="X9" s="703"/>
      <c r="Y9" s="3669"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82"/>
      <c r="Q10" s="1343" t="str">
        <f t="shared" si="6"/>
        <v>土地使用年限（年）</v>
      </c>
      <c r="R10" s="701" t="s">
        <v>14</v>
      </c>
      <c r="S10" s="702">
        <f t="shared" si="0"/>
        <v>100</v>
      </c>
      <c r="T10" s="701" t="s">
        <v>14</v>
      </c>
      <c r="U10" s="702">
        <f t="shared" si="1"/>
        <v>100</v>
      </c>
      <c r="V10" s="701" t="s">
        <v>14</v>
      </c>
      <c r="W10" s="702">
        <f t="shared" si="2"/>
        <v>100</v>
      </c>
      <c r="X10" s="703"/>
      <c r="Y10" s="366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82"/>
      <c r="Q11" s="1343" t="str">
        <f t="shared" si="6"/>
        <v>容积率</v>
      </c>
      <c r="R11" s="701" t="s">
        <v>18</v>
      </c>
      <c r="S11" s="702" t="e">
        <f t="shared" si="0"/>
        <v>#N/A</v>
      </c>
      <c r="T11" s="701" t="s">
        <v>18</v>
      </c>
      <c r="U11" s="702" t="e">
        <f t="shared" si="1"/>
        <v>#N/A</v>
      </c>
      <c r="V11" s="701" t="s">
        <v>18</v>
      </c>
      <c r="W11" s="702" t="e">
        <f t="shared" si="2"/>
        <v>#N/A</v>
      </c>
      <c r="X11" s="703"/>
      <c r="Y11" s="366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82"/>
      <c r="Q12" s="1343">
        <f t="shared" si="6"/>
        <v>111</v>
      </c>
      <c r="R12" s="701" t="s">
        <v>18</v>
      </c>
      <c r="S12" s="702">
        <f t="shared" si="0"/>
        <v>100</v>
      </c>
      <c r="T12" s="701" t="s">
        <v>18</v>
      </c>
      <c r="U12" s="702">
        <f t="shared" si="1"/>
        <v>100</v>
      </c>
      <c r="V12" s="701" t="s">
        <v>18</v>
      </c>
      <c r="W12" s="702">
        <f t="shared" si="2"/>
        <v>100</v>
      </c>
      <c r="X12" s="703"/>
      <c r="Y12" s="366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82"/>
      <c r="Q13" s="1343">
        <f t="shared" si="6"/>
        <v>111</v>
      </c>
      <c r="R13" s="701" t="s">
        <v>18</v>
      </c>
      <c r="S13" s="702">
        <f t="shared" si="0"/>
        <v>100</v>
      </c>
      <c r="T13" s="701" t="s">
        <v>18</v>
      </c>
      <c r="U13" s="702">
        <f t="shared" si="1"/>
        <v>100</v>
      </c>
      <c r="V13" s="701" t="s">
        <v>18</v>
      </c>
      <c r="W13" s="702">
        <f t="shared" si="2"/>
        <v>100</v>
      </c>
      <c r="X13" s="703"/>
      <c r="Y13" s="3669"/>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82"/>
      <c r="Q14" s="1343">
        <f t="shared" si="6"/>
        <v>111</v>
      </c>
      <c r="R14" s="701" t="s">
        <v>18</v>
      </c>
      <c r="S14" s="702">
        <f t="shared" si="0"/>
        <v>100</v>
      </c>
      <c r="T14" s="701" t="s">
        <v>18</v>
      </c>
      <c r="U14" s="702">
        <f t="shared" si="1"/>
        <v>100</v>
      </c>
      <c r="V14" s="701" t="s">
        <v>18</v>
      </c>
      <c r="W14" s="702">
        <f t="shared" si="2"/>
        <v>100</v>
      </c>
      <c r="X14" s="703"/>
      <c r="Y14" s="3669"/>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88" t="s">
        <v>1691</v>
      </c>
      <c r="Q15" s="1352" t="str">
        <f t="shared" si="6"/>
        <v>居住社区成熟度</v>
      </c>
      <c r="R15" s="705" t="s">
        <v>18</v>
      </c>
      <c r="S15" s="706">
        <f t="shared" si="0"/>
        <v>100</v>
      </c>
      <c r="T15" s="705" t="s">
        <v>18</v>
      </c>
      <c r="U15" s="706">
        <f t="shared" si="1"/>
        <v>100</v>
      </c>
      <c r="V15" s="705" t="s">
        <v>18</v>
      </c>
      <c r="W15" s="706">
        <f t="shared" si="2"/>
        <v>100</v>
      </c>
      <c r="X15" s="1355"/>
      <c r="Y15" s="372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89"/>
      <c r="Q16" s="1352"/>
      <c r="R16" s="705"/>
      <c r="S16" s="706"/>
      <c r="T16" s="705"/>
      <c r="U16" s="706"/>
      <c r="V16" s="705"/>
      <c r="W16" s="706"/>
      <c r="X16" s="1355"/>
      <c r="Y16" s="3730"/>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89"/>
      <c r="Q17" s="1352" t="str">
        <f>B17</f>
        <v>交通便捷度</v>
      </c>
      <c r="R17" s="705" t="s">
        <v>18</v>
      </c>
      <c r="S17" s="706">
        <f>F17</f>
        <v>100</v>
      </c>
      <c r="T17" s="705" t="s">
        <v>18</v>
      </c>
      <c r="U17" s="706">
        <f>H17</f>
        <v>100</v>
      </c>
      <c r="V17" s="705" t="s">
        <v>18</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89"/>
      <c r="Q18" s="1352"/>
      <c r="R18" s="705"/>
      <c r="S18" s="706"/>
      <c r="T18" s="705"/>
      <c r="U18" s="706"/>
      <c r="V18" s="705"/>
      <c r="W18" s="706"/>
      <c r="X18" s="1355"/>
      <c r="Y18" s="3730"/>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89"/>
      <c r="Q19" s="1352" t="str">
        <f>B19</f>
        <v>公共配套设施</v>
      </c>
      <c r="R19" s="705" t="s">
        <v>18</v>
      </c>
      <c r="S19" s="706">
        <f>F19</f>
        <v>100</v>
      </c>
      <c r="T19" s="705" t="s">
        <v>18</v>
      </c>
      <c r="U19" s="706">
        <f>H19</f>
        <v>100</v>
      </c>
      <c r="V19" s="705" t="s">
        <v>18</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89"/>
      <c r="Q20" s="1352"/>
      <c r="R20" s="705"/>
      <c r="S20" s="706"/>
      <c r="T20" s="705"/>
      <c r="U20" s="706"/>
      <c r="V20" s="705"/>
      <c r="W20" s="706"/>
      <c r="X20" s="1355"/>
      <c r="Y20" s="3730"/>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89"/>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89"/>
      <c r="Q22" s="1352"/>
      <c r="R22" s="705"/>
      <c r="S22" s="706"/>
      <c r="T22" s="705"/>
      <c r="U22" s="706"/>
      <c r="V22" s="705"/>
      <c r="W22" s="706"/>
      <c r="X22" s="1355"/>
      <c r="Y22" s="3730"/>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89"/>
      <c r="Q23" s="1352" t="str">
        <f>B23</f>
        <v>自然及人文环境</v>
      </c>
      <c r="R23" s="705" t="s">
        <v>18</v>
      </c>
      <c r="S23" s="706">
        <f>F23</f>
        <v>100</v>
      </c>
      <c r="T23" s="705" t="s">
        <v>18</v>
      </c>
      <c r="U23" s="706">
        <f>H23</f>
        <v>100</v>
      </c>
      <c r="V23" s="705" t="s">
        <v>18</v>
      </c>
      <c r="W23" s="706">
        <f>J23</f>
        <v>100</v>
      </c>
      <c r="X23" s="1355"/>
      <c r="Y23" s="373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89"/>
      <c r="Q24" s="1352"/>
      <c r="R24" s="705"/>
      <c r="S24" s="706"/>
      <c r="T24" s="705"/>
      <c r="U24" s="706"/>
      <c r="V24" s="705"/>
      <c r="W24" s="706"/>
      <c r="X24" s="1355"/>
      <c r="Y24" s="373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8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89"/>
      <c r="Q26" s="1352" t="str">
        <f t="shared" si="11"/>
        <v>朝向</v>
      </c>
      <c r="R26" s="705" t="s">
        <v>18</v>
      </c>
      <c r="S26" s="706">
        <f t="shared" si="12"/>
        <v>100</v>
      </c>
      <c r="T26" s="705" t="s">
        <v>18</v>
      </c>
      <c r="U26" s="706">
        <f t="shared" si="13"/>
        <v>100</v>
      </c>
      <c r="V26" s="705" t="s">
        <v>18</v>
      </c>
      <c r="W26" s="706">
        <f t="shared" si="14"/>
        <v>100</v>
      </c>
      <c r="X26" s="1355"/>
      <c r="Y26" s="373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89"/>
      <c r="Q27" s="1343">
        <f t="shared" si="11"/>
        <v>111</v>
      </c>
      <c r="R27" s="701" t="s">
        <v>18</v>
      </c>
      <c r="S27" s="702">
        <f t="shared" si="12"/>
        <v>100</v>
      </c>
      <c r="T27" s="701" t="s">
        <v>18</v>
      </c>
      <c r="U27" s="702">
        <f t="shared" si="13"/>
        <v>100</v>
      </c>
      <c r="V27" s="701" t="s">
        <v>18</v>
      </c>
      <c r="W27" s="702">
        <f t="shared" si="14"/>
        <v>100</v>
      </c>
      <c r="X27" s="703"/>
      <c r="Y27" s="373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89"/>
      <c r="Q28" s="1352">
        <f t="shared" si="11"/>
        <v>111</v>
      </c>
      <c r="R28" s="705" t="s">
        <v>18</v>
      </c>
      <c r="S28" s="706">
        <f t="shared" si="12"/>
        <v>100</v>
      </c>
      <c r="T28" s="705" t="s">
        <v>18</v>
      </c>
      <c r="U28" s="706">
        <f t="shared" si="13"/>
        <v>100</v>
      </c>
      <c r="V28" s="705" t="s">
        <v>18</v>
      </c>
      <c r="W28" s="706">
        <f t="shared" si="14"/>
        <v>100</v>
      </c>
      <c r="X28" s="1355"/>
      <c r="Y28" s="373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89"/>
      <c r="Q29" s="1352">
        <f t="shared" si="11"/>
        <v>111</v>
      </c>
      <c r="R29" s="705" t="s">
        <v>18</v>
      </c>
      <c r="S29" s="706">
        <f t="shared" si="12"/>
        <v>100</v>
      </c>
      <c r="T29" s="705" t="s">
        <v>18</v>
      </c>
      <c r="U29" s="706">
        <f t="shared" si="13"/>
        <v>100</v>
      </c>
      <c r="V29" s="705" t="s">
        <v>18</v>
      </c>
      <c r="W29" s="706">
        <f t="shared" si="14"/>
        <v>100</v>
      </c>
      <c r="X29" s="1355"/>
      <c r="Y29" s="373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89"/>
      <c r="Q30" s="1352">
        <f t="shared" si="11"/>
        <v>111</v>
      </c>
      <c r="R30" s="705" t="s">
        <v>18</v>
      </c>
      <c r="S30" s="706">
        <f t="shared" si="12"/>
        <v>100</v>
      </c>
      <c r="T30" s="705" t="s">
        <v>18</v>
      </c>
      <c r="U30" s="706">
        <f t="shared" si="13"/>
        <v>100</v>
      </c>
      <c r="V30" s="705" t="s">
        <v>18</v>
      </c>
      <c r="W30" s="706">
        <f t="shared" si="14"/>
        <v>100</v>
      </c>
      <c r="X30" s="1355"/>
      <c r="Y30" s="3730"/>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89"/>
      <c r="Q31" s="1352">
        <f t="shared" si="11"/>
        <v>111</v>
      </c>
      <c r="R31" s="705" t="s">
        <v>18</v>
      </c>
      <c r="S31" s="706">
        <f t="shared" si="12"/>
        <v>100</v>
      </c>
      <c r="T31" s="705" t="s">
        <v>18</v>
      </c>
      <c r="U31" s="706">
        <f t="shared" si="13"/>
        <v>100</v>
      </c>
      <c r="V31" s="705" t="s">
        <v>18</v>
      </c>
      <c r="W31" s="706">
        <f t="shared" si="14"/>
        <v>100</v>
      </c>
      <c r="X31" s="1355"/>
      <c r="Y31" s="373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84" t="s">
        <v>1696</v>
      </c>
      <c r="Q32" s="1352" t="str">
        <f t="shared" si="11"/>
        <v>建筑类型</v>
      </c>
      <c r="R32" s="705" t="s">
        <v>18</v>
      </c>
      <c r="S32" s="706">
        <f t="shared" si="12"/>
        <v>100</v>
      </c>
      <c r="T32" s="705" t="s">
        <v>18</v>
      </c>
      <c r="U32" s="706">
        <f t="shared" si="13"/>
        <v>100</v>
      </c>
      <c r="V32" s="705" t="s">
        <v>18</v>
      </c>
      <c r="W32" s="706">
        <f t="shared" si="14"/>
        <v>100</v>
      </c>
      <c r="X32" s="1355"/>
      <c r="Y32" s="373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85"/>
      <c r="Q33" s="707" t="str">
        <f t="shared" si="11"/>
        <v>项目建筑规模</v>
      </c>
      <c r="R33" s="708" t="s">
        <v>18</v>
      </c>
      <c r="S33" s="709" t="e">
        <f t="shared" si="12"/>
        <v>#N/A</v>
      </c>
      <c r="T33" s="708" t="s">
        <v>18</v>
      </c>
      <c r="U33" s="709" t="e">
        <f t="shared" si="13"/>
        <v>#N/A</v>
      </c>
      <c r="V33" s="708" t="s">
        <v>18</v>
      </c>
      <c r="W33" s="709" t="e">
        <f t="shared" si="14"/>
        <v>#N/A</v>
      </c>
      <c r="X33" s="710"/>
      <c r="Y33" s="373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85"/>
      <c r="Q34" s="1352" t="str">
        <f t="shared" si="11"/>
        <v>建筑结构</v>
      </c>
      <c r="R34" s="705" t="s">
        <v>18</v>
      </c>
      <c r="S34" s="706">
        <f t="shared" si="12"/>
        <v>100</v>
      </c>
      <c r="T34" s="705" t="s">
        <v>18</v>
      </c>
      <c r="U34" s="706">
        <f t="shared" si="13"/>
        <v>100</v>
      </c>
      <c r="V34" s="705" t="s">
        <v>18</v>
      </c>
      <c r="W34" s="706">
        <f t="shared" si="14"/>
        <v>100</v>
      </c>
      <c r="X34" s="1355"/>
      <c r="Y34" s="373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85"/>
      <c r="Q35" s="1352" t="str">
        <f t="shared" si="11"/>
        <v>建筑品质</v>
      </c>
      <c r="R35" s="705" t="s">
        <v>18</v>
      </c>
      <c r="S35" s="706">
        <f t="shared" si="12"/>
        <v>100</v>
      </c>
      <c r="T35" s="705" t="s">
        <v>18</v>
      </c>
      <c r="U35" s="706">
        <f t="shared" si="13"/>
        <v>100</v>
      </c>
      <c r="V35" s="705" t="s">
        <v>18</v>
      </c>
      <c r="W35" s="706">
        <f t="shared" si="14"/>
        <v>100</v>
      </c>
      <c r="X35" s="1355"/>
      <c r="Y35" s="373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85"/>
      <c r="Q36" s="1352" t="str">
        <f t="shared" si="11"/>
        <v>公共部分装修</v>
      </c>
      <c r="R36" s="705" t="s">
        <v>18</v>
      </c>
      <c r="S36" s="706">
        <f t="shared" si="12"/>
        <v>100</v>
      </c>
      <c r="T36" s="705" t="s">
        <v>18</v>
      </c>
      <c r="U36" s="706">
        <f t="shared" si="13"/>
        <v>100</v>
      </c>
      <c r="V36" s="705" t="s">
        <v>18</v>
      </c>
      <c r="W36" s="706">
        <f t="shared" si="14"/>
        <v>100</v>
      </c>
      <c r="X36" s="1355"/>
      <c r="Y36" s="373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85"/>
      <c r="Q37" s="1343" t="str">
        <f t="shared" si="11"/>
        <v>成新度</v>
      </c>
      <c r="R37" s="701" t="s">
        <v>18</v>
      </c>
      <c r="S37" s="702" t="e">
        <f t="shared" si="12"/>
        <v>#N/A</v>
      </c>
      <c r="T37" s="701" t="s">
        <v>18</v>
      </c>
      <c r="U37" s="702" t="e">
        <f t="shared" si="13"/>
        <v>#N/A</v>
      </c>
      <c r="V37" s="701" t="s">
        <v>18</v>
      </c>
      <c r="W37" s="702" t="e">
        <f t="shared" si="14"/>
        <v>#N/A</v>
      </c>
      <c r="X37" s="703"/>
      <c r="Y37" s="373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85" t="s">
        <v>1696</v>
      </c>
      <c r="Q38" s="1352" t="str">
        <f t="shared" si="11"/>
        <v>物业管理</v>
      </c>
      <c r="R38" s="705" t="s">
        <v>18</v>
      </c>
      <c r="S38" s="706">
        <f t="shared" si="12"/>
        <v>100</v>
      </c>
      <c r="T38" s="705" t="s">
        <v>18</v>
      </c>
      <c r="U38" s="706">
        <f t="shared" si="13"/>
        <v>100</v>
      </c>
      <c r="V38" s="705" t="s">
        <v>18</v>
      </c>
      <c r="W38" s="706">
        <f t="shared" si="14"/>
        <v>100</v>
      </c>
      <c r="X38" s="1355"/>
      <c r="Y38" s="373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85"/>
      <c r="Q39" s="1352" t="str">
        <f t="shared" si="11"/>
        <v>市政基础设施</v>
      </c>
      <c r="R39" s="705" t="s">
        <v>18</v>
      </c>
      <c r="S39" s="706">
        <f t="shared" si="12"/>
        <v>100</v>
      </c>
      <c r="T39" s="705" t="s">
        <v>18</v>
      </c>
      <c r="U39" s="706">
        <f t="shared" si="13"/>
        <v>100</v>
      </c>
      <c r="V39" s="705" t="s">
        <v>18</v>
      </c>
      <c r="W39" s="706">
        <f t="shared" si="14"/>
        <v>100</v>
      </c>
      <c r="X39" s="1355"/>
      <c r="Y39" s="373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85"/>
      <c r="Q40" s="1352" t="str">
        <f t="shared" si="11"/>
        <v>房型</v>
      </c>
      <c r="R40" s="705" t="s">
        <v>18</v>
      </c>
      <c r="S40" s="706">
        <f t="shared" si="12"/>
        <v>100</v>
      </c>
      <c r="T40" s="705" t="s">
        <v>18</v>
      </c>
      <c r="U40" s="706">
        <f t="shared" si="13"/>
        <v>100</v>
      </c>
      <c r="V40" s="705" t="s">
        <v>18</v>
      </c>
      <c r="W40" s="706">
        <f t="shared" si="14"/>
        <v>100</v>
      </c>
      <c r="X40" s="1355"/>
      <c r="Y40" s="3732"/>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85"/>
      <c r="Q41" s="707" t="str">
        <f t="shared" si="11"/>
        <v>单套/主力户型建筑面积</v>
      </c>
      <c r="R41" s="708" t="s">
        <v>18</v>
      </c>
      <c r="S41" s="709">
        <f t="shared" si="12"/>
        <v>100</v>
      </c>
      <c r="T41" s="708" t="s">
        <v>18</v>
      </c>
      <c r="U41" s="709">
        <f t="shared" si="13"/>
        <v>100</v>
      </c>
      <c r="V41" s="708" t="s">
        <v>18</v>
      </c>
      <c r="W41" s="709">
        <f t="shared" si="14"/>
        <v>100</v>
      </c>
      <c r="X41" s="710"/>
      <c r="Y41" s="373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85"/>
      <c r="Q42" s="1352" t="str">
        <f t="shared" si="11"/>
        <v>内部装修</v>
      </c>
      <c r="R42" s="705" t="s">
        <v>18</v>
      </c>
      <c r="S42" s="706">
        <f t="shared" si="12"/>
        <v>100</v>
      </c>
      <c r="T42" s="705" t="s">
        <v>18</v>
      </c>
      <c r="U42" s="706">
        <f t="shared" si="13"/>
        <v>100</v>
      </c>
      <c r="V42" s="705" t="s">
        <v>18</v>
      </c>
      <c r="W42" s="706">
        <f t="shared" si="14"/>
        <v>100</v>
      </c>
      <c r="X42" s="1355"/>
      <c r="Y42" s="3732"/>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85"/>
      <c r="Q43" s="1352" t="str">
        <f t="shared" si="11"/>
        <v>内部装修维护情况</v>
      </c>
      <c r="R43" s="705" t="s">
        <v>18</v>
      </c>
      <c r="S43" s="706">
        <f t="shared" si="12"/>
        <v>100</v>
      </c>
      <c r="T43" s="705" t="s">
        <v>18</v>
      </c>
      <c r="U43" s="706">
        <f t="shared" si="13"/>
        <v>100</v>
      </c>
      <c r="V43" s="705" t="s">
        <v>18</v>
      </c>
      <c r="W43" s="706">
        <f t="shared" si="14"/>
        <v>100</v>
      </c>
      <c r="X43" s="1355"/>
      <c r="Y43" s="373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85"/>
      <c r="Q44" s="1343">
        <f t="shared" si="11"/>
        <v>111</v>
      </c>
      <c r="R44" s="701" t="s">
        <v>18</v>
      </c>
      <c r="S44" s="702">
        <f t="shared" si="12"/>
        <v>100</v>
      </c>
      <c r="T44" s="701" t="s">
        <v>18</v>
      </c>
      <c r="U44" s="702">
        <f t="shared" si="13"/>
        <v>100</v>
      </c>
      <c r="V44" s="701" t="s">
        <v>18</v>
      </c>
      <c r="W44" s="702">
        <f t="shared" si="14"/>
        <v>100</v>
      </c>
      <c r="X44" s="703"/>
      <c r="Y44" s="373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85"/>
      <c r="Q45" s="1352">
        <f t="shared" si="11"/>
        <v>111</v>
      </c>
      <c r="R45" s="705" t="s">
        <v>18</v>
      </c>
      <c r="S45" s="706">
        <f t="shared" si="12"/>
        <v>100</v>
      </c>
      <c r="T45" s="705" t="s">
        <v>18</v>
      </c>
      <c r="U45" s="706">
        <f t="shared" si="13"/>
        <v>100</v>
      </c>
      <c r="V45" s="705" t="s">
        <v>18</v>
      </c>
      <c r="W45" s="706">
        <f t="shared" si="14"/>
        <v>100</v>
      </c>
      <c r="X45" s="1355"/>
      <c r="Y45" s="3732"/>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86"/>
      <c r="Q46" s="1352">
        <f t="shared" si="11"/>
        <v>111</v>
      </c>
      <c r="R46" s="705" t="s">
        <v>17</v>
      </c>
      <c r="S46" s="706">
        <f t="shared" si="12"/>
        <v>100</v>
      </c>
      <c r="T46" s="705" t="s">
        <v>17</v>
      </c>
      <c r="U46" s="706">
        <f t="shared" si="13"/>
        <v>100</v>
      </c>
      <c r="V46" s="705" t="s">
        <v>17</v>
      </c>
      <c r="W46" s="706">
        <f t="shared" si="14"/>
        <v>100</v>
      </c>
      <c r="X46" s="1355"/>
      <c r="Y46" s="3787"/>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714" t="str">
        <f>A47</f>
        <v>成交单价（元/平方米）</v>
      </c>
      <c r="Q47" s="3714"/>
      <c r="R47" s="3733">
        <f>E47</f>
        <v>0</v>
      </c>
      <c r="S47" s="3733"/>
      <c r="T47" s="3733">
        <f>G47</f>
        <v>0</v>
      </c>
      <c r="U47" s="3733"/>
      <c r="V47" s="3733">
        <f>I47</f>
        <v>0</v>
      </c>
      <c r="W47" s="3733"/>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4" t="str">
        <f>A48</f>
        <v>比较价值（元/平方米）</v>
      </c>
      <c r="Q48" s="3714"/>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734" t="str">
        <f>A49</f>
        <v>估价对象XX用房的比较价值（楼面单价，元/平方米）</v>
      </c>
      <c r="Q49" s="3735"/>
      <c r="R49" s="3783" t="e">
        <f>IF(F1="售价",ROUND(IF(D48="简单平均",AVERAGE(R48:V48),R48*F48+T48*H48+V48*J48),0),ROUND(IF(D48="简单平均",AVERAGE(R48:V48),R48*F48+T48*H48+V48*J48),1))</f>
        <v>#DIV/0!</v>
      </c>
      <c r="S49" s="3783"/>
      <c r="T49" s="3783"/>
      <c r="U49" s="3783"/>
      <c r="V49" s="3783"/>
      <c r="W49" s="378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2025-10</v>
      </c>
      <c r="D58" s="1185">
        <f>EDATE(C58,-1)</f>
        <v>45901</v>
      </c>
      <c r="E58" s="1185">
        <f>EDATE(D58,-1)</f>
        <v>45870</v>
      </c>
      <c r="F58" s="1185">
        <f t="shared" ref="F58:O58" si="19">EDATE(E58,-1)</f>
        <v>45839</v>
      </c>
      <c r="G58" s="1185">
        <f t="shared" si="19"/>
        <v>45809</v>
      </c>
      <c r="H58" s="1185">
        <f t="shared" si="19"/>
        <v>45778</v>
      </c>
      <c r="I58" s="1185">
        <f t="shared" si="19"/>
        <v>45748</v>
      </c>
      <c r="J58" s="1185">
        <f t="shared" si="19"/>
        <v>45717</v>
      </c>
      <c r="K58" s="1185">
        <f t="shared" si="19"/>
        <v>45689</v>
      </c>
      <c r="L58" s="1185">
        <f t="shared" si="19"/>
        <v>45658</v>
      </c>
      <c r="M58" s="1185">
        <f t="shared" si="19"/>
        <v>45627</v>
      </c>
      <c r="N58" s="1185">
        <f t="shared" si="19"/>
        <v>45597</v>
      </c>
      <c r="O58" s="1185">
        <f t="shared" si="19"/>
        <v>45566</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16683.080000000002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15" t="s">
        <v>1770</v>
      </c>
      <c r="D4" s="3716"/>
      <c r="E4" s="3717" t="s">
        <v>1771</v>
      </c>
      <c r="F4" s="3718"/>
      <c r="G4" s="3715" t="s">
        <v>1772</v>
      </c>
      <c r="H4" s="3716"/>
      <c r="I4" s="3715" t="s">
        <v>1773</v>
      </c>
      <c r="J4" s="3716"/>
      <c r="K4" s="559" t="s">
        <v>1774</v>
      </c>
      <c r="L4" s="2715"/>
      <c r="M4" s="2716"/>
      <c r="N4" s="2716"/>
      <c r="O4" s="2716"/>
      <c r="P4" s="3719" t="s">
        <v>1775</v>
      </c>
      <c r="Q4" s="3720"/>
      <c r="R4" s="3702" t="s">
        <v>1771</v>
      </c>
      <c r="S4" s="3703"/>
      <c r="T4" s="3702" t="s">
        <v>1772</v>
      </c>
      <c r="U4" s="3703"/>
      <c r="V4" s="3727" t="s">
        <v>1773</v>
      </c>
      <c r="W4" s="3727"/>
      <c r="X4" s="1355"/>
      <c r="Y4" s="3702" t="s">
        <v>1775</v>
      </c>
      <c r="Z4" s="3703"/>
      <c r="AA4" s="3697" t="s">
        <v>1771</v>
      </c>
      <c r="AB4" s="3727" t="s">
        <v>1772</v>
      </c>
      <c r="AC4" s="3697" t="s">
        <v>1773</v>
      </c>
    </row>
    <row r="5" spans="1:29">
      <c r="A5" s="358"/>
      <c r="B5" s="359"/>
      <c r="C5" s="3708" t="s">
        <v>1673</v>
      </c>
      <c r="D5" s="3709"/>
      <c r="E5" s="3706" t="s">
        <v>1674</v>
      </c>
      <c r="F5" s="3707"/>
      <c r="G5" s="3708" t="s">
        <v>1675</v>
      </c>
      <c r="H5" s="3709"/>
      <c r="I5" s="3708" t="s">
        <v>1676</v>
      </c>
      <c r="J5" s="3709"/>
      <c r="K5" s="559"/>
      <c r="L5" s="2715"/>
      <c r="M5" s="2716"/>
      <c r="N5" s="2716"/>
      <c r="O5" s="2716"/>
      <c r="P5" s="3721"/>
      <c r="Q5" s="3722"/>
      <c r="R5" s="3704"/>
      <c r="S5" s="3705"/>
      <c r="T5" s="3704"/>
      <c r="U5" s="3705"/>
      <c r="V5" s="3727"/>
      <c r="W5" s="3727"/>
      <c r="X5" s="1355"/>
      <c r="Y5" s="3704"/>
      <c r="Z5" s="3705"/>
      <c r="AA5" s="3698"/>
      <c r="AB5" s="3727"/>
      <c r="AC5" s="3698"/>
    </row>
    <row r="6" spans="1:29" ht="15" thickBot="1">
      <c r="A6" s="360"/>
      <c r="B6" s="361"/>
      <c r="C6" s="3710" t="s">
        <v>1677</v>
      </c>
      <c r="D6" s="3711"/>
      <c r="E6" s="3712" t="s">
        <v>1677</v>
      </c>
      <c r="F6" s="3713"/>
      <c r="G6" s="3710" t="s">
        <v>1677</v>
      </c>
      <c r="H6" s="3711"/>
      <c r="I6" s="3710" t="s">
        <v>1677</v>
      </c>
      <c r="J6" s="3711"/>
      <c r="K6" s="559" t="s">
        <v>1678</v>
      </c>
      <c r="L6" s="2715"/>
      <c r="M6" s="2716"/>
      <c r="N6" s="2716"/>
      <c r="O6" s="2716"/>
      <c r="P6" s="3723"/>
      <c r="Q6" s="3724"/>
      <c r="R6" s="3704"/>
      <c r="S6" s="3705"/>
      <c r="T6" s="3725"/>
      <c r="U6" s="3726"/>
      <c r="V6" s="3727"/>
      <c r="W6" s="3727"/>
      <c r="X6" s="1355"/>
      <c r="Y6" s="3725"/>
      <c r="Z6" s="3726"/>
      <c r="AA6" s="3699"/>
      <c r="AB6" s="3727"/>
      <c r="AC6" s="3699"/>
    </row>
    <row r="7" spans="1:29" s="108" customFormat="1" ht="15" thickBot="1">
      <c r="A7" s="362" t="s">
        <v>1679</v>
      </c>
      <c r="B7" s="363"/>
      <c r="C7" s="364">
        <f>'数据-取费表'!B2</f>
        <v>45952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0" t="s">
        <v>1680</v>
      </c>
      <c r="Q7" s="3728"/>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82" t="s">
        <v>1686</v>
      </c>
      <c r="Q9" s="1343" t="str">
        <f t="shared" ref="Q9:Q15" si="6">B9</f>
        <v>用途</v>
      </c>
      <c r="R9" s="701" t="s">
        <v>14</v>
      </c>
      <c r="S9" s="702">
        <f t="shared" si="0"/>
        <v>100</v>
      </c>
      <c r="T9" s="701" t="s">
        <v>14</v>
      </c>
      <c r="U9" s="702">
        <f t="shared" si="1"/>
        <v>100</v>
      </c>
      <c r="V9" s="701" t="s">
        <v>14</v>
      </c>
      <c r="W9" s="702">
        <f t="shared" si="2"/>
        <v>100</v>
      </c>
      <c r="X9" s="703"/>
      <c r="Y9" s="3669"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82"/>
      <c r="Q10" s="1343" t="str">
        <f t="shared" si="6"/>
        <v>土地使用年限（年）</v>
      </c>
      <c r="R10" s="701" t="s">
        <v>14</v>
      </c>
      <c r="S10" s="702">
        <f t="shared" si="0"/>
        <v>100</v>
      </c>
      <c r="T10" s="701" t="s">
        <v>14</v>
      </c>
      <c r="U10" s="702">
        <f t="shared" si="1"/>
        <v>100</v>
      </c>
      <c r="V10" s="701" t="s">
        <v>14</v>
      </c>
      <c r="W10" s="702">
        <f t="shared" si="2"/>
        <v>100</v>
      </c>
      <c r="X10" s="703"/>
      <c r="Y10" s="366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82"/>
      <c r="Q11" s="1343" t="str">
        <f t="shared" si="6"/>
        <v>容积率</v>
      </c>
      <c r="R11" s="701" t="s">
        <v>14</v>
      </c>
      <c r="S11" s="702" t="e">
        <f t="shared" si="0"/>
        <v>#N/A</v>
      </c>
      <c r="T11" s="701" t="s">
        <v>14</v>
      </c>
      <c r="U11" s="702" t="e">
        <f t="shared" si="1"/>
        <v>#N/A</v>
      </c>
      <c r="V11" s="701" t="s">
        <v>14</v>
      </c>
      <c r="W11" s="702" t="e">
        <f t="shared" si="2"/>
        <v>#N/A</v>
      </c>
      <c r="X11" s="703"/>
      <c r="Y11" s="366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82"/>
      <c r="Q12" s="1343">
        <f t="shared" si="6"/>
        <v>111</v>
      </c>
      <c r="R12" s="701" t="s">
        <v>14</v>
      </c>
      <c r="S12" s="702">
        <f t="shared" si="0"/>
        <v>100</v>
      </c>
      <c r="T12" s="701" t="s">
        <v>14</v>
      </c>
      <c r="U12" s="702">
        <f t="shared" si="1"/>
        <v>100</v>
      </c>
      <c r="V12" s="701" t="s">
        <v>14</v>
      </c>
      <c r="W12" s="702">
        <f t="shared" si="2"/>
        <v>100</v>
      </c>
      <c r="X12" s="703"/>
      <c r="Y12" s="366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82"/>
      <c r="Q13" s="1343">
        <f t="shared" si="6"/>
        <v>111</v>
      </c>
      <c r="R13" s="701" t="s">
        <v>14</v>
      </c>
      <c r="S13" s="702">
        <f t="shared" si="0"/>
        <v>100</v>
      </c>
      <c r="T13" s="701" t="s">
        <v>14</v>
      </c>
      <c r="U13" s="702">
        <f t="shared" si="1"/>
        <v>100</v>
      </c>
      <c r="V13" s="701" t="s">
        <v>14</v>
      </c>
      <c r="W13" s="702">
        <f t="shared" si="2"/>
        <v>100</v>
      </c>
      <c r="X13" s="703"/>
      <c r="Y13" s="3669"/>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82"/>
      <c r="Q14" s="1343">
        <f t="shared" si="6"/>
        <v>111</v>
      </c>
      <c r="R14" s="701" t="s">
        <v>14</v>
      </c>
      <c r="S14" s="702">
        <f t="shared" si="0"/>
        <v>100</v>
      </c>
      <c r="T14" s="701" t="s">
        <v>14</v>
      </c>
      <c r="U14" s="702">
        <f t="shared" si="1"/>
        <v>100</v>
      </c>
      <c r="V14" s="701" t="s">
        <v>14</v>
      </c>
      <c r="W14" s="702">
        <f t="shared" si="2"/>
        <v>100</v>
      </c>
      <c r="X14" s="703"/>
      <c r="Y14" s="3669"/>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88" t="s">
        <v>1691</v>
      </c>
      <c r="Q15" s="1352" t="str">
        <f t="shared" si="6"/>
        <v>商业繁华度</v>
      </c>
      <c r="R15" s="705" t="s">
        <v>14</v>
      </c>
      <c r="S15" s="706">
        <f t="shared" si="0"/>
        <v>100</v>
      </c>
      <c r="T15" s="705" t="s">
        <v>14</v>
      </c>
      <c r="U15" s="706">
        <f t="shared" si="1"/>
        <v>100</v>
      </c>
      <c r="V15" s="705" t="s">
        <v>14</v>
      </c>
      <c r="W15" s="706">
        <f t="shared" si="2"/>
        <v>100</v>
      </c>
      <c r="X15" s="1355"/>
      <c r="Y15" s="372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89"/>
      <c r="Q16" s="1352"/>
      <c r="R16" s="705"/>
      <c r="S16" s="706"/>
      <c r="T16" s="705"/>
      <c r="U16" s="706"/>
      <c r="V16" s="705"/>
      <c r="W16" s="706"/>
      <c r="X16" s="1355"/>
      <c r="Y16" s="3730"/>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89"/>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89"/>
      <c r="Q18" s="1352"/>
      <c r="R18" s="705"/>
      <c r="S18" s="706"/>
      <c r="T18" s="705"/>
      <c r="U18" s="706"/>
      <c r="V18" s="705"/>
      <c r="W18" s="706"/>
      <c r="X18" s="1355"/>
      <c r="Y18" s="3730"/>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89"/>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89"/>
      <c r="Q20" s="1352"/>
      <c r="R20" s="705"/>
      <c r="S20" s="706"/>
      <c r="T20" s="705"/>
      <c r="U20" s="706"/>
      <c r="V20" s="705"/>
      <c r="W20" s="706"/>
      <c r="X20" s="1355"/>
      <c r="Y20" s="3730"/>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89"/>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89"/>
      <c r="Q22" s="1352"/>
      <c r="R22" s="705"/>
      <c r="S22" s="706"/>
      <c r="T22" s="705"/>
      <c r="U22" s="706"/>
      <c r="V22" s="705"/>
      <c r="W22" s="706"/>
      <c r="X22" s="1355"/>
      <c r="Y22" s="3730"/>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89"/>
      <c r="Q23" s="1352" t="str">
        <f>B23</f>
        <v>自然及人文环境</v>
      </c>
      <c r="R23" s="705" t="s">
        <v>14</v>
      </c>
      <c r="S23" s="706">
        <f>F23</f>
        <v>100</v>
      </c>
      <c r="T23" s="705" t="s">
        <v>14</v>
      </c>
      <c r="U23" s="706">
        <f>H23</f>
        <v>100</v>
      </c>
      <c r="V23" s="705" t="s">
        <v>14</v>
      </c>
      <c r="W23" s="706">
        <f>J23</f>
        <v>100</v>
      </c>
      <c r="X23" s="1355"/>
      <c r="Y23" s="373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89"/>
      <c r="Q24" s="1352"/>
      <c r="R24" s="705"/>
      <c r="S24" s="706"/>
      <c r="T24" s="705"/>
      <c r="U24" s="706"/>
      <c r="V24" s="705"/>
      <c r="W24" s="706"/>
      <c r="X24" s="1355"/>
      <c r="Y24" s="373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89"/>
      <c r="Q25" s="1352" t="str">
        <f t="shared" ref="Q25:Q46" si="11">B25</f>
        <v>临街状况</v>
      </c>
      <c r="R25" s="705" t="s">
        <v>14</v>
      </c>
      <c r="S25" s="706">
        <f>F25</f>
        <v>100</v>
      </c>
      <c r="T25" s="705" t="s">
        <v>14</v>
      </c>
      <c r="U25" s="706">
        <f>H25</f>
        <v>100</v>
      </c>
      <c r="V25" s="705" t="s">
        <v>14</v>
      </c>
      <c r="W25" s="706">
        <f>J25</f>
        <v>100</v>
      </c>
      <c r="X25" s="1355"/>
      <c r="Y25" s="373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89"/>
      <c r="Q26" s="1352" t="str">
        <f t="shared" si="11"/>
        <v>平面位置/可视性</v>
      </c>
      <c r="R26" s="705" t="s">
        <v>14</v>
      </c>
      <c r="S26" s="706">
        <f>F26</f>
        <v>100</v>
      </c>
      <c r="T26" s="705" t="s">
        <v>14</v>
      </c>
      <c r="U26" s="706">
        <f>H26</f>
        <v>100</v>
      </c>
      <c r="V26" s="705" t="s">
        <v>14</v>
      </c>
      <c r="W26" s="706">
        <f>J26</f>
        <v>100</v>
      </c>
      <c r="X26" s="1355"/>
      <c r="Y26" s="373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89"/>
      <c r="Q27" s="1343" t="str">
        <f t="shared" si="11"/>
        <v>人流量</v>
      </c>
      <c r="R27" s="701" t="s">
        <v>14</v>
      </c>
      <c r="S27" s="702">
        <f>F27</f>
        <v>100</v>
      </c>
      <c r="T27" s="701" t="s">
        <v>14</v>
      </c>
      <c r="U27" s="702">
        <f>H27</f>
        <v>100</v>
      </c>
      <c r="V27" s="701" t="s">
        <v>14</v>
      </c>
      <c r="W27" s="702">
        <f>J27</f>
        <v>100</v>
      </c>
      <c r="X27" s="703"/>
      <c r="Y27" s="373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8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89"/>
      <c r="Q29" s="1352">
        <f t="shared" si="11"/>
        <v>111</v>
      </c>
      <c r="R29" s="705" t="s">
        <v>14</v>
      </c>
      <c r="S29" s="706">
        <f t="shared" si="12"/>
        <v>100</v>
      </c>
      <c r="T29" s="705" t="s">
        <v>14</v>
      </c>
      <c r="U29" s="706">
        <f t="shared" si="13"/>
        <v>100</v>
      </c>
      <c r="V29" s="705" t="s">
        <v>14</v>
      </c>
      <c r="W29" s="706">
        <f t="shared" si="14"/>
        <v>100</v>
      </c>
      <c r="X29" s="1355"/>
      <c r="Y29" s="373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89"/>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89"/>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84" t="s">
        <v>1696</v>
      </c>
      <c r="Q32" s="1352" t="str">
        <f t="shared" si="11"/>
        <v>商业类型</v>
      </c>
      <c r="R32" s="705" t="s">
        <v>14</v>
      </c>
      <c r="S32" s="706">
        <f t="shared" si="12"/>
        <v>100</v>
      </c>
      <c r="T32" s="705" t="s">
        <v>14</v>
      </c>
      <c r="U32" s="706">
        <f t="shared" si="13"/>
        <v>100</v>
      </c>
      <c r="V32" s="705" t="s">
        <v>14</v>
      </c>
      <c r="W32" s="706">
        <f t="shared" si="14"/>
        <v>100</v>
      </c>
      <c r="X32" s="1355"/>
      <c r="Y32" s="373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85"/>
      <c r="Q33" s="707" t="str">
        <f t="shared" si="11"/>
        <v>项目建筑规模</v>
      </c>
      <c r="R33" s="708" t="s">
        <v>14</v>
      </c>
      <c r="S33" s="709" t="e">
        <f t="shared" si="12"/>
        <v>#N/A</v>
      </c>
      <c r="T33" s="708" t="s">
        <v>14</v>
      </c>
      <c r="U33" s="709" t="e">
        <f t="shared" si="13"/>
        <v>#N/A</v>
      </c>
      <c r="V33" s="708" t="s">
        <v>14</v>
      </c>
      <c r="W33" s="709" t="e">
        <f t="shared" si="14"/>
        <v>#N/A</v>
      </c>
      <c r="X33" s="710"/>
      <c r="Y33" s="373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85"/>
      <c r="Q34" s="1352" t="str">
        <f t="shared" si="11"/>
        <v>建筑结构</v>
      </c>
      <c r="R34" s="705" t="s">
        <v>14</v>
      </c>
      <c r="S34" s="706">
        <f t="shared" si="12"/>
        <v>100</v>
      </c>
      <c r="T34" s="705" t="s">
        <v>14</v>
      </c>
      <c r="U34" s="706">
        <f t="shared" si="13"/>
        <v>100</v>
      </c>
      <c r="V34" s="705" t="s">
        <v>14</v>
      </c>
      <c r="W34" s="706">
        <f t="shared" si="14"/>
        <v>100</v>
      </c>
      <c r="X34" s="1355"/>
      <c r="Y34" s="373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85"/>
      <c r="Q35" s="1352" t="str">
        <f t="shared" si="11"/>
        <v>公共部分装修</v>
      </c>
      <c r="R35" s="705" t="s">
        <v>14</v>
      </c>
      <c r="S35" s="706">
        <f t="shared" si="12"/>
        <v>100</v>
      </c>
      <c r="T35" s="705" t="s">
        <v>14</v>
      </c>
      <c r="U35" s="706">
        <f t="shared" si="13"/>
        <v>100</v>
      </c>
      <c r="V35" s="705" t="s">
        <v>14</v>
      </c>
      <c r="W35" s="706">
        <f t="shared" si="14"/>
        <v>100</v>
      </c>
      <c r="X35" s="1355"/>
      <c r="Y35" s="373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85"/>
      <c r="Q36" s="1352" t="str">
        <f t="shared" si="11"/>
        <v>成新度</v>
      </c>
      <c r="R36" s="705" t="s">
        <v>14</v>
      </c>
      <c r="S36" s="706" t="e">
        <f t="shared" si="12"/>
        <v>#N/A</v>
      </c>
      <c r="T36" s="705" t="s">
        <v>14</v>
      </c>
      <c r="U36" s="706" t="e">
        <f t="shared" si="13"/>
        <v>#N/A</v>
      </c>
      <c r="V36" s="705" t="s">
        <v>14</v>
      </c>
      <c r="W36" s="706" t="e">
        <f t="shared" si="14"/>
        <v>#N/A</v>
      </c>
      <c r="X36" s="1355"/>
      <c r="Y36" s="373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85"/>
      <c r="Q37" s="1343" t="str">
        <f t="shared" si="11"/>
        <v>市政基础设施</v>
      </c>
      <c r="R37" s="701" t="s">
        <v>14</v>
      </c>
      <c r="S37" s="702">
        <f t="shared" si="12"/>
        <v>100</v>
      </c>
      <c r="T37" s="701" t="s">
        <v>14</v>
      </c>
      <c r="U37" s="702">
        <f t="shared" si="13"/>
        <v>100</v>
      </c>
      <c r="V37" s="701" t="s">
        <v>14</v>
      </c>
      <c r="W37" s="702">
        <f t="shared" si="14"/>
        <v>100</v>
      </c>
      <c r="X37" s="703"/>
      <c r="Y37" s="373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85" t="s">
        <v>1696</v>
      </c>
      <c r="Q38" s="1352" t="str">
        <f t="shared" si="11"/>
        <v>业态</v>
      </c>
      <c r="R38" s="705" t="s">
        <v>14</v>
      </c>
      <c r="S38" s="706">
        <f t="shared" si="12"/>
        <v>100</v>
      </c>
      <c r="T38" s="705" t="s">
        <v>14</v>
      </c>
      <c r="U38" s="706">
        <f t="shared" si="13"/>
        <v>100</v>
      </c>
      <c r="V38" s="705" t="s">
        <v>14</v>
      </c>
      <c r="W38" s="706">
        <f t="shared" si="14"/>
        <v>100</v>
      </c>
      <c r="X38" s="1355"/>
      <c r="Y38" s="373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85"/>
      <c r="Q39" s="1352" t="str">
        <f t="shared" si="11"/>
        <v>层高</v>
      </c>
      <c r="R39" s="705" t="s">
        <v>14</v>
      </c>
      <c r="S39" s="706">
        <f t="shared" si="12"/>
        <v>100</v>
      </c>
      <c r="T39" s="705" t="s">
        <v>14</v>
      </c>
      <c r="U39" s="706">
        <f t="shared" si="13"/>
        <v>100</v>
      </c>
      <c r="V39" s="705" t="s">
        <v>14</v>
      </c>
      <c r="W39" s="706">
        <f t="shared" si="14"/>
        <v>100</v>
      </c>
      <c r="X39" s="1355"/>
      <c r="Y39" s="373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85"/>
      <c r="Q40" s="1352" t="str">
        <f t="shared" si="11"/>
        <v>单套建筑面积</v>
      </c>
      <c r="R40" s="705" t="s">
        <v>14</v>
      </c>
      <c r="S40" s="706">
        <f t="shared" si="12"/>
        <v>100</v>
      </c>
      <c r="T40" s="705" t="s">
        <v>14</v>
      </c>
      <c r="U40" s="706">
        <f t="shared" si="13"/>
        <v>100</v>
      </c>
      <c r="V40" s="705" t="s">
        <v>14</v>
      </c>
      <c r="W40" s="706">
        <f t="shared" si="14"/>
        <v>100</v>
      </c>
      <c r="X40" s="1355"/>
      <c r="Y40" s="373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85"/>
      <c r="Q41" s="707" t="str">
        <f t="shared" si="11"/>
        <v>进深比</v>
      </c>
      <c r="R41" s="708" t="s">
        <v>14</v>
      </c>
      <c r="S41" s="709">
        <f t="shared" si="12"/>
        <v>100</v>
      </c>
      <c r="T41" s="708" t="s">
        <v>14</v>
      </c>
      <c r="U41" s="709">
        <f t="shared" si="13"/>
        <v>100</v>
      </c>
      <c r="V41" s="708" t="s">
        <v>14</v>
      </c>
      <c r="W41" s="709">
        <f t="shared" si="14"/>
        <v>100</v>
      </c>
      <c r="X41" s="710"/>
      <c r="Y41" s="373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85"/>
      <c r="Q42" s="1352" t="str">
        <f t="shared" si="11"/>
        <v>内部装修</v>
      </c>
      <c r="R42" s="705" t="s">
        <v>14</v>
      </c>
      <c r="S42" s="706">
        <f t="shared" si="12"/>
        <v>100</v>
      </c>
      <c r="T42" s="705" t="s">
        <v>14</v>
      </c>
      <c r="U42" s="706">
        <f t="shared" si="13"/>
        <v>100</v>
      </c>
      <c r="V42" s="705" t="s">
        <v>14</v>
      </c>
      <c r="W42" s="706">
        <f t="shared" si="14"/>
        <v>100</v>
      </c>
      <c r="X42" s="1355"/>
      <c r="Y42" s="3732"/>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85"/>
      <c r="Q43" s="1352" t="str">
        <f t="shared" si="11"/>
        <v>内部装修维护情况</v>
      </c>
      <c r="R43" s="705" t="s">
        <v>14</v>
      </c>
      <c r="S43" s="706">
        <f t="shared" si="12"/>
        <v>100</v>
      </c>
      <c r="T43" s="705" t="s">
        <v>14</v>
      </c>
      <c r="U43" s="706">
        <f t="shared" si="13"/>
        <v>100</v>
      </c>
      <c r="V43" s="705" t="s">
        <v>14</v>
      </c>
      <c r="W43" s="706">
        <f t="shared" si="14"/>
        <v>100</v>
      </c>
      <c r="X43" s="1355"/>
      <c r="Y43" s="373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85"/>
      <c r="Q44" s="1343">
        <f t="shared" si="11"/>
        <v>111</v>
      </c>
      <c r="R44" s="701" t="s">
        <v>14</v>
      </c>
      <c r="S44" s="702">
        <f t="shared" si="12"/>
        <v>100</v>
      </c>
      <c r="T44" s="701" t="s">
        <v>14</v>
      </c>
      <c r="U44" s="702">
        <f t="shared" si="13"/>
        <v>100</v>
      </c>
      <c r="V44" s="701" t="s">
        <v>14</v>
      </c>
      <c r="W44" s="702">
        <f t="shared" si="14"/>
        <v>100</v>
      </c>
      <c r="X44" s="703"/>
      <c r="Y44" s="373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85"/>
      <c r="Q45" s="1352">
        <f t="shared" si="11"/>
        <v>111</v>
      </c>
      <c r="R45" s="705" t="s">
        <v>14</v>
      </c>
      <c r="S45" s="706">
        <f t="shared" si="12"/>
        <v>100</v>
      </c>
      <c r="T45" s="705" t="s">
        <v>14</v>
      </c>
      <c r="U45" s="706">
        <f t="shared" si="13"/>
        <v>100</v>
      </c>
      <c r="V45" s="705" t="s">
        <v>14</v>
      </c>
      <c r="W45" s="706">
        <f t="shared" si="14"/>
        <v>100</v>
      </c>
      <c r="X45" s="1355"/>
      <c r="Y45" s="3732"/>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86"/>
      <c r="Q46" s="1352">
        <f t="shared" si="11"/>
        <v>111</v>
      </c>
      <c r="R46" s="705" t="s">
        <v>14</v>
      </c>
      <c r="S46" s="706">
        <f t="shared" si="12"/>
        <v>100</v>
      </c>
      <c r="T46" s="705" t="s">
        <v>14</v>
      </c>
      <c r="U46" s="706">
        <f t="shared" si="13"/>
        <v>100</v>
      </c>
      <c r="V46" s="705" t="s">
        <v>14</v>
      </c>
      <c r="W46" s="706">
        <f t="shared" si="14"/>
        <v>100</v>
      </c>
      <c r="X46" s="1355"/>
      <c r="Y46" s="3787"/>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14" t="str">
        <f>A47</f>
        <v>成交单价（元/平方米）</v>
      </c>
      <c r="Q47" s="3714"/>
      <c r="R47" s="3727">
        <f>E47</f>
        <v>0</v>
      </c>
      <c r="S47" s="3727"/>
      <c r="T47" s="3727">
        <f>G47</f>
        <v>0</v>
      </c>
      <c r="U47" s="3727"/>
      <c r="V47" s="3727">
        <f>I47</f>
        <v>0</v>
      </c>
      <c r="W47" s="3727"/>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4" t="str">
        <f>A48</f>
        <v>比较价值（元/平方米）</v>
      </c>
      <c r="Q48" s="3714"/>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34" t="str">
        <f>A49</f>
        <v>估价对象XX用房的比较价值（楼面单价，元/平方米）</v>
      </c>
      <c r="Q49" s="3735"/>
      <c r="R49" s="3783" t="e">
        <f>IF(F1="售价",ROUND(IF(D48="简单平均",AVERAGE(R48:V48),R48*F48+T48*H48+V48*J48),0),ROUND(IF(D48="简单平均",AVERAGE(R48:V48),R48*F48+T48*H48+V48*J48),1))</f>
        <v>#DIV/0!</v>
      </c>
      <c r="S49" s="3783"/>
      <c r="T49" s="3783"/>
      <c r="U49" s="3783"/>
      <c r="V49" s="3783"/>
      <c r="W49" s="378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2025-10</v>
      </c>
      <c r="D58" s="1185">
        <f>EDATE(C58,-1)</f>
        <v>45901</v>
      </c>
      <c r="E58" s="1185">
        <f t="shared" ref="E58:N58" si="16">EDATE(D58,-1)</f>
        <v>45870</v>
      </c>
      <c r="F58" s="1185">
        <f t="shared" si="16"/>
        <v>45839</v>
      </c>
      <c r="G58" s="1185">
        <f t="shared" si="16"/>
        <v>45809</v>
      </c>
      <c r="H58" s="1185">
        <f t="shared" si="16"/>
        <v>45778</v>
      </c>
      <c r="I58" s="1185">
        <f t="shared" si="16"/>
        <v>45748</v>
      </c>
      <c r="J58" s="1185">
        <f t="shared" si="16"/>
        <v>45717</v>
      </c>
      <c r="K58" s="1185">
        <f t="shared" si="16"/>
        <v>45689</v>
      </c>
      <c r="L58" s="1185">
        <f t="shared" si="16"/>
        <v>45658</v>
      </c>
      <c r="M58" s="1185">
        <f t="shared" si="16"/>
        <v>45627</v>
      </c>
      <c r="N58" s="1185">
        <f t="shared" si="16"/>
        <v>45597</v>
      </c>
      <c r="O58" s="1185">
        <f>EDATE(N58,-1)</f>
        <v>45566</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16683.080000000002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15" t="s">
        <v>1770</v>
      </c>
      <c r="D4" s="3716"/>
      <c r="E4" s="3717" t="s">
        <v>1771</v>
      </c>
      <c r="F4" s="3718"/>
      <c r="G4" s="3715" t="s">
        <v>1772</v>
      </c>
      <c r="H4" s="3716"/>
      <c r="I4" s="3715" t="s">
        <v>1773</v>
      </c>
      <c r="J4" s="3716"/>
      <c r="K4" s="559" t="s">
        <v>1774</v>
      </c>
      <c r="L4" s="2715"/>
      <c r="M4" s="2716"/>
      <c r="N4" s="2716"/>
      <c r="O4" s="2716"/>
      <c r="P4" s="3796" t="s">
        <v>1775</v>
      </c>
      <c r="Q4" s="3797"/>
      <c r="R4" s="3791" t="s">
        <v>1771</v>
      </c>
      <c r="S4" s="3792"/>
      <c r="T4" s="3791" t="s">
        <v>1772</v>
      </c>
      <c r="U4" s="3792"/>
      <c r="V4" s="3800" t="s">
        <v>1773</v>
      </c>
      <c r="W4" s="3800"/>
      <c r="X4" s="1958"/>
      <c r="Y4" s="3791" t="s">
        <v>1775</v>
      </c>
      <c r="Z4" s="3792"/>
      <c r="AA4" s="3790" t="s">
        <v>1771</v>
      </c>
      <c r="AB4" s="3790" t="s">
        <v>1772</v>
      </c>
      <c r="AC4" s="3793" t="s">
        <v>1773</v>
      </c>
    </row>
    <row r="5" spans="1:29">
      <c r="A5" s="358"/>
      <c r="B5" s="359"/>
      <c r="C5" s="3708" t="s">
        <v>1673</v>
      </c>
      <c r="D5" s="3709"/>
      <c r="E5" s="3706" t="s">
        <v>1674</v>
      </c>
      <c r="F5" s="3707"/>
      <c r="G5" s="3708" t="s">
        <v>1675</v>
      </c>
      <c r="H5" s="3709"/>
      <c r="I5" s="3708" t="s">
        <v>1676</v>
      </c>
      <c r="J5" s="3709"/>
      <c r="K5" s="559"/>
      <c r="L5" s="2715"/>
      <c r="M5" s="2716"/>
      <c r="N5" s="2716"/>
      <c r="O5" s="2716"/>
      <c r="P5" s="3798"/>
      <c r="Q5" s="3722"/>
      <c r="R5" s="3704"/>
      <c r="S5" s="3705"/>
      <c r="T5" s="3704"/>
      <c r="U5" s="3705"/>
      <c r="V5" s="3727"/>
      <c r="W5" s="3727"/>
      <c r="X5" s="1355"/>
      <c r="Y5" s="3704"/>
      <c r="Z5" s="3705"/>
      <c r="AA5" s="3698"/>
      <c r="AB5" s="3698"/>
      <c r="AC5" s="3794"/>
    </row>
    <row r="6" spans="1:29" ht="15" thickBot="1">
      <c r="A6" s="360"/>
      <c r="B6" s="361"/>
      <c r="C6" s="3710" t="s">
        <v>1677</v>
      </c>
      <c r="D6" s="3711"/>
      <c r="E6" s="3712" t="s">
        <v>1677</v>
      </c>
      <c r="F6" s="3713"/>
      <c r="G6" s="3710" t="s">
        <v>1677</v>
      </c>
      <c r="H6" s="3711"/>
      <c r="I6" s="3710" t="s">
        <v>1677</v>
      </c>
      <c r="J6" s="3711"/>
      <c r="K6" s="559" t="s">
        <v>1678</v>
      </c>
      <c r="L6" s="2715"/>
      <c r="M6" s="2716"/>
      <c r="N6" s="2716"/>
      <c r="O6" s="2716"/>
      <c r="P6" s="3799"/>
      <c r="Q6" s="3724"/>
      <c r="R6" s="3704"/>
      <c r="S6" s="3705"/>
      <c r="T6" s="3725"/>
      <c r="U6" s="3726"/>
      <c r="V6" s="3727"/>
      <c r="W6" s="3727"/>
      <c r="X6" s="1355"/>
      <c r="Y6" s="3725"/>
      <c r="Z6" s="3726"/>
      <c r="AA6" s="3699"/>
      <c r="AB6" s="3699"/>
      <c r="AC6" s="3795"/>
    </row>
    <row r="7" spans="1:29" s="108" customFormat="1" ht="15" thickBot="1">
      <c r="A7" s="362" t="s">
        <v>1679</v>
      </c>
      <c r="B7" s="363"/>
      <c r="C7" s="364">
        <f>'数据-取费表'!B2</f>
        <v>45952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801" t="s">
        <v>1680</v>
      </c>
      <c r="Q7" s="3728"/>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801" t="s">
        <v>1683</v>
      </c>
      <c r="Q8" s="3701"/>
      <c r="R8" s="701" t="s">
        <v>14</v>
      </c>
      <c r="S8" s="702">
        <f t="shared" si="0"/>
        <v>100</v>
      </c>
      <c r="T8" s="701" t="s">
        <v>14</v>
      </c>
      <c r="U8" s="702">
        <f t="shared" si="1"/>
        <v>100</v>
      </c>
      <c r="V8" s="701" t="s">
        <v>14</v>
      </c>
      <c r="W8" s="702">
        <f t="shared" si="2"/>
        <v>100</v>
      </c>
      <c r="X8" s="703"/>
      <c r="Y8" s="3700" t="s">
        <v>1683</v>
      </c>
      <c r="Z8" s="3701"/>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82" t="s">
        <v>1686</v>
      </c>
      <c r="Q9" s="1343" t="str">
        <f t="shared" ref="Q9:Q15" si="6">B9</f>
        <v>用途</v>
      </c>
      <c r="R9" s="701" t="s">
        <v>14</v>
      </c>
      <c r="S9" s="702">
        <f t="shared" si="0"/>
        <v>100</v>
      </c>
      <c r="T9" s="701" t="s">
        <v>14</v>
      </c>
      <c r="U9" s="702">
        <f t="shared" si="1"/>
        <v>100</v>
      </c>
      <c r="V9" s="701" t="s">
        <v>14</v>
      </c>
      <c r="W9" s="702">
        <f t="shared" si="2"/>
        <v>100</v>
      </c>
      <c r="X9" s="703"/>
      <c r="Y9" s="3669"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82"/>
      <c r="Q10" s="1343" t="str">
        <f t="shared" si="6"/>
        <v>土地使用年限（年）</v>
      </c>
      <c r="R10" s="701" t="s">
        <v>14</v>
      </c>
      <c r="S10" s="702">
        <f t="shared" si="0"/>
        <v>100</v>
      </c>
      <c r="T10" s="701" t="s">
        <v>14</v>
      </c>
      <c r="U10" s="702">
        <f t="shared" si="1"/>
        <v>100</v>
      </c>
      <c r="V10" s="701" t="s">
        <v>14</v>
      </c>
      <c r="W10" s="702">
        <f t="shared" si="2"/>
        <v>100</v>
      </c>
      <c r="X10" s="703"/>
      <c r="Y10" s="366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82"/>
      <c r="Q11" s="1343" t="str">
        <f t="shared" si="6"/>
        <v>容积率</v>
      </c>
      <c r="R11" s="701" t="s">
        <v>14</v>
      </c>
      <c r="S11" s="702">
        <f t="shared" si="0"/>
        <v>100</v>
      </c>
      <c r="T11" s="701" t="s">
        <v>14</v>
      </c>
      <c r="U11" s="702">
        <f t="shared" si="1"/>
        <v>100</v>
      </c>
      <c r="V11" s="701" t="s">
        <v>14</v>
      </c>
      <c r="W11" s="702">
        <f t="shared" si="2"/>
        <v>100</v>
      </c>
      <c r="X11" s="703"/>
      <c r="Y11" s="366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82"/>
      <c r="Q12" s="1343">
        <f t="shared" si="6"/>
        <v>111</v>
      </c>
      <c r="R12" s="701" t="s">
        <v>14</v>
      </c>
      <c r="S12" s="702">
        <f t="shared" si="0"/>
        <v>100</v>
      </c>
      <c r="T12" s="701" t="s">
        <v>14</v>
      </c>
      <c r="U12" s="702">
        <f t="shared" si="1"/>
        <v>100</v>
      </c>
      <c r="V12" s="701" t="s">
        <v>14</v>
      </c>
      <c r="W12" s="702">
        <f t="shared" si="2"/>
        <v>100</v>
      </c>
      <c r="X12" s="703"/>
      <c r="Y12" s="366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82"/>
      <c r="Q13" s="1343">
        <f t="shared" si="6"/>
        <v>111</v>
      </c>
      <c r="R13" s="701" t="s">
        <v>14</v>
      </c>
      <c r="S13" s="702">
        <f t="shared" si="0"/>
        <v>100</v>
      </c>
      <c r="T13" s="701" t="s">
        <v>14</v>
      </c>
      <c r="U13" s="702">
        <f t="shared" si="1"/>
        <v>100</v>
      </c>
      <c r="V13" s="701" t="s">
        <v>14</v>
      </c>
      <c r="W13" s="702">
        <f t="shared" si="2"/>
        <v>100</v>
      </c>
      <c r="X13" s="703"/>
      <c r="Y13" s="3669"/>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82"/>
      <c r="Q14" s="1343">
        <f t="shared" si="6"/>
        <v>111</v>
      </c>
      <c r="R14" s="701" t="s">
        <v>14</v>
      </c>
      <c r="S14" s="702">
        <f t="shared" si="0"/>
        <v>100</v>
      </c>
      <c r="T14" s="701" t="s">
        <v>14</v>
      </c>
      <c r="U14" s="702">
        <f t="shared" si="1"/>
        <v>100</v>
      </c>
      <c r="V14" s="701" t="s">
        <v>14</v>
      </c>
      <c r="W14" s="702">
        <f t="shared" si="2"/>
        <v>100</v>
      </c>
      <c r="X14" s="703"/>
      <c r="Y14" s="3669"/>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88" t="s">
        <v>1691</v>
      </c>
      <c r="Q15" s="1352" t="str">
        <f t="shared" si="6"/>
        <v>办公集聚程度</v>
      </c>
      <c r="R15" s="705" t="s">
        <v>14</v>
      </c>
      <c r="S15" s="706">
        <f t="shared" si="0"/>
        <v>100</v>
      </c>
      <c r="T15" s="705" t="s">
        <v>14</v>
      </c>
      <c r="U15" s="706">
        <f t="shared" si="1"/>
        <v>100</v>
      </c>
      <c r="V15" s="705" t="s">
        <v>14</v>
      </c>
      <c r="W15" s="706">
        <f t="shared" si="2"/>
        <v>100</v>
      </c>
      <c r="X15" s="1355"/>
      <c r="Y15" s="372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89"/>
      <c r="Q16" s="1352"/>
      <c r="R16" s="705"/>
      <c r="S16" s="706"/>
      <c r="T16" s="705"/>
      <c r="U16" s="706"/>
      <c r="V16" s="705"/>
      <c r="W16" s="706"/>
      <c r="X16" s="1355"/>
      <c r="Y16" s="3730"/>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89"/>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89"/>
      <c r="Q18" s="1352"/>
      <c r="R18" s="705"/>
      <c r="S18" s="706"/>
      <c r="T18" s="705"/>
      <c r="U18" s="706"/>
      <c r="V18" s="705"/>
      <c r="W18" s="706"/>
      <c r="X18" s="1355"/>
      <c r="Y18" s="3730"/>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89"/>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89"/>
      <c r="Q20" s="1352"/>
      <c r="R20" s="705"/>
      <c r="S20" s="706"/>
      <c r="T20" s="705"/>
      <c r="U20" s="706"/>
      <c r="V20" s="705"/>
      <c r="W20" s="706"/>
      <c r="X20" s="1355"/>
      <c r="Y20" s="3730"/>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89"/>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89"/>
      <c r="Q22" s="1352"/>
      <c r="R22" s="705"/>
      <c r="S22" s="706"/>
      <c r="T22" s="705"/>
      <c r="U22" s="706"/>
      <c r="V22" s="705"/>
      <c r="W22" s="706"/>
      <c r="X22" s="1355"/>
      <c r="Y22" s="3730"/>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89"/>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89"/>
      <c r="Q24" s="1352"/>
      <c r="R24" s="705"/>
      <c r="S24" s="706"/>
      <c r="T24" s="705"/>
      <c r="U24" s="706"/>
      <c r="V24" s="705"/>
      <c r="W24" s="706"/>
      <c r="X24" s="1355"/>
      <c r="Y24" s="3730"/>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89"/>
      <c r="Q25" s="1352" t="str">
        <f>B25</f>
        <v>毗邻道路的类型与等级</v>
      </c>
      <c r="R25" s="705" t="s">
        <v>14</v>
      </c>
      <c r="S25" s="706">
        <f>F25</f>
        <v>100</v>
      </c>
      <c r="T25" s="705" t="s">
        <v>14</v>
      </c>
      <c r="U25" s="706">
        <f>H25</f>
        <v>100</v>
      </c>
      <c r="V25" s="705" t="s">
        <v>14</v>
      </c>
      <c r="W25" s="706">
        <f>J25</f>
        <v>100</v>
      </c>
      <c r="X25" s="1355"/>
      <c r="Y25" s="373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89"/>
      <c r="Q26" s="1352"/>
      <c r="R26" s="705"/>
      <c r="S26" s="706"/>
      <c r="T26" s="705"/>
      <c r="U26" s="706"/>
      <c r="V26" s="705"/>
      <c r="W26" s="706"/>
      <c r="X26" s="1355"/>
      <c r="Y26" s="373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89"/>
      <c r="Q27" s="1352" t="str">
        <f t="shared" ref="Q27:Q47" si="11">B27</f>
        <v>楼层</v>
      </c>
      <c r="R27" s="705" t="s">
        <v>14</v>
      </c>
      <c r="S27" s="706">
        <f>F27</f>
        <v>100</v>
      </c>
      <c r="T27" s="705" t="s">
        <v>14</v>
      </c>
      <c r="U27" s="706">
        <f>H27</f>
        <v>100</v>
      </c>
      <c r="V27" s="705" t="s">
        <v>14</v>
      </c>
      <c r="W27" s="706">
        <f>J27</f>
        <v>100</v>
      </c>
      <c r="X27" s="1355"/>
      <c r="Y27" s="373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89"/>
      <c r="Q28" s="1343" t="str">
        <f t="shared" si="11"/>
        <v>朝向</v>
      </c>
      <c r="R28" s="701" t="s">
        <v>14</v>
      </c>
      <c r="S28" s="702">
        <f>F28</f>
        <v>100</v>
      </c>
      <c r="T28" s="701" t="s">
        <v>14</v>
      </c>
      <c r="U28" s="702">
        <f>H28</f>
        <v>100</v>
      </c>
      <c r="V28" s="701" t="s">
        <v>14</v>
      </c>
      <c r="W28" s="702">
        <f>J28</f>
        <v>100</v>
      </c>
      <c r="X28" s="703"/>
      <c r="Y28" s="373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89"/>
      <c r="Q29" s="1352">
        <f t="shared" si="11"/>
        <v>111</v>
      </c>
      <c r="R29" s="705" t="s">
        <v>14</v>
      </c>
      <c r="S29" s="706">
        <f t="shared" ref="S29:S47" si="12">F29</f>
        <v>100</v>
      </c>
      <c r="T29" s="705" t="s">
        <v>14</v>
      </c>
      <c r="U29" s="706">
        <f t="shared" ref="U29:U47" si="13">H29</f>
        <v>100</v>
      </c>
      <c r="V29" s="705" t="s">
        <v>14</v>
      </c>
      <c r="W29" s="706">
        <f t="shared" ref="W29:W47" si="14">J29</f>
        <v>100</v>
      </c>
      <c r="X29" s="1355"/>
      <c r="Y29" s="373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89"/>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89"/>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89"/>
      <c r="Q32" s="1352">
        <f t="shared" si="11"/>
        <v>111</v>
      </c>
      <c r="R32" s="705" t="s">
        <v>14</v>
      </c>
      <c r="S32" s="706">
        <f t="shared" si="12"/>
        <v>100</v>
      </c>
      <c r="T32" s="705" t="s">
        <v>14</v>
      </c>
      <c r="U32" s="706">
        <f t="shared" si="13"/>
        <v>100</v>
      </c>
      <c r="V32" s="705" t="s">
        <v>14</v>
      </c>
      <c r="W32" s="706">
        <f t="shared" si="14"/>
        <v>100</v>
      </c>
      <c r="X32" s="1355"/>
      <c r="Y32" s="373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84" t="s">
        <v>1696</v>
      </c>
      <c r="Q33" s="1352" t="str">
        <f t="shared" si="11"/>
        <v>建筑类型</v>
      </c>
      <c r="R33" s="705" t="s">
        <v>14</v>
      </c>
      <c r="S33" s="706">
        <f t="shared" si="12"/>
        <v>100</v>
      </c>
      <c r="T33" s="705" t="s">
        <v>14</v>
      </c>
      <c r="U33" s="706">
        <f t="shared" si="13"/>
        <v>100</v>
      </c>
      <c r="V33" s="705" t="s">
        <v>14</v>
      </c>
      <c r="W33" s="706">
        <f t="shared" si="14"/>
        <v>100</v>
      </c>
      <c r="X33" s="1355"/>
      <c r="Y33" s="373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85"/>
      <c r="Q34" s="707" t="str">
        <f t="shared" si="11"/>
        <v>项目建筑规模</v>
      </c>
      <c r="R34" s="708" t="s">
        <v>14</v>
      </c>
      <c r="S34" s="709" t="e">
        <f t="shared" si="12"/>
        <v>#N/A</v>
      </c>
      <c r="T34" s="708" t="s">
        <v>14</v>
      </c>
      <c r="U34" s="709" t="e">
        <f t="shared" si="13"/>
        <v>#N/A</v>
      </c>
      <c r="V34" s="708" t="s">
        <v>14</v>
      </c>
      <c r="W34" s="709" t="e">
        <f t="shared" si="14"/>
        <v>#N/A</v>
      </c>
      <c r="X34" s="710"/>
      <c r="Y34" s="373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85"/>
      <c r="Q35" s="1352" t="str">
        <f t="shared" si="11"/>
        <v>建筑结构</v>
      </c>
      <c r="R35" s="705" t="s">
        <v>14</v>
      </c>
      <c r="S35" s="706">
        <f t="shared" si="12"/>
        <v>100</v>
      </c>
      <c r="T35" s="705" t="s">
        <v>14</v>
      </c>
      <c r="U35" s="706">
        <f t="shared" si="13"/>
        <v>100</v>
      </c>
      <c r="V35" s="705" t="s">
        <v>14</v>
      </c>
      <c r="W35" s="706">
        <f t="shared" si="14"/>
        <v>100</v>
      </c>
      <c r="X35" s="1355"/>
      <c r="Y35" s="373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85"/>
      <c r="Q36" s="1352" t="str">
        <f t="shared" si="11"/>
        <v>公共部分装修</v>
      </c>
      <c r="R36" s="705" t="s">
        <v>14</v>
      </c>
      <c r="S36" s="706">
        <f t="shared" si="12"/>
        <v>100</v>
      </c>
      <c r="T36" s="705" t="s">
        <v>14</v>
      </c>
      <c r="U36" s="706">
        <f t="shared" si="13"/>
        <v>100</v>
      </c>
      <c r="V36" s="705" t="s">
        <v>14</v>
      </c>
      <c r="W36" s="706">
        <f t="shared" si="14"/>
        <v>100</v>
      </c>
      <c r="X36" s="1355"/>
      <c r="Y36" s="373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85"/>
      <c r="Q37" s="1352" t="str">
        <f t="shared" si="11"/>
        <v>成新度</v>
      </c>
      <c r="R37" s="705" t="s">
        <v>14</v>
      </c>
      <c r="S37" s="706" t="e">
        <f t="shared" si="12"/>
        <v>#N/A</v>
      </c>
      <c r="T37" s="705" t="s">
        <v>14</v>
      </c>
      <c r="U37" s="706" t="e">
        <f t="shared" si="13"/>
        <v>#N/A</v>
      </c>
      <c r="V37" s="705" t="s">
        <v>14</v>
      </c>
      <c r="W37" s="706" t="e">
        <f t="shared" si="14"/>
        <v>#N/A</v>
      </c>
      <c r="X37" s="1355"/>
      <c r="Y37" s="373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85"/>
      <c r="Q38" s="1343" t="str">
        <f t="shared" si="11"/>
        <v>写字楼等级</v>
      </c>
      <c r="R38" s="701" t="s">
        <v>14</v>
      </c>
      <c r="S38" s="702">
        <f t="shared" si="12"/>
        <v>100</v>
      </c>
      <c r="T38" s="701" t="s">
        <v>14</v>
      </c>
      <c r="U38" s="702">
        <f t="shared" si="13"/>
        <v>100</v>
      </c>
      <c r="V38" s="701" t="s">
        <v>14</v>
      </c>
      <c r="W38" s="702">
        <f t="shared" si="14"/>
        <v>100</v>
      </c>
      <c r="X38" s="703"/>
      <c r="Y38" s="373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85" t="s">
        <v>1696</v>
      </c>
      <c r="Q39" s="1352" t="str">
        <f t="shared" si="11"/>
        <v>物业管理</v>
      </c>
      <c r="R39" s="705" t="s">
        <v>14</v>
      </c>
      <c r="S39" s="706">
        <f t="shared" si="12"/>
        <v>100</v>
      </c>
      <c r="T39" s="705" t="s">
        <v>14</v>
      </c>
      <c r="U39" s="706">
        <f t="shared" si="13"/>
        <v>100</v>
      </c>
      <c r="V39" s="705" t="s">
        <v>14</v>
      </c>
      <c r="W39" s="706">
        <f t="shared" si="14"/>
        <v>100</v>
      </c>
      <c r="X39" s="1355"/>
      <c r="Y39" s="373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85"/>
      <c r="Q40" s="1352" t="str">
        <f t="shared" si="11"/>
        <v>市政基础设施</v>
      </c>
      <c r="R40" s="705" t="s">
        <v>14</v>
      </c>
      <c r="S40" s="706">
        <f t="shared" si="12"/>
        <v>100</v>
      </c>
      <c r="T40" s="705" t="s">
        <v>14</v>
      </c>
      <c r="U40" s="706">
        <f t="shared" si="13"/>
        <v>100</v>
      </c>
      <c r="V40" s="705" t="s">
        <v>14</v>
      </c>
      <c r="W40" s="706">
        <f t="shared" si="14"/>
        <v>100</v>
      </c>
      <c r="X40" s="1355"/>
      <c r="Y40" s="373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85"/>
      <c r="Q41" s="1352" t="str">
        <f t="shared" si="11"/>
        <v>层高</v>
      </c>
      <c r="R41" s="705" t="s">
        <v>14</v>
      </c>
      <c r="S41" s="706">
        <f t="shared" si="12"/>
        <v>100</v>
      </c>
      <c r="T41" s="705" t="s">
        <v>14</v>
      </c>
      <c r="U41" s="706">
        <f t="shared" si="13"/>
        <v>100</v>
      </c>
      <c r="V41" s="705" t="s">
        <v>14</v>
      </c>
      <c r="W41" s="706">
        <f t="shared" si="14"/>
        <v>100</v>
      </c>
      <c r="X41" s="1355"/>
      <c r="Y41" s="373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85"/>
      <c r="Q42" s="707" t="str">
        <f t="shared" si="11"/>
        <v>单套建筑面积</v>
      </c>
      <c r="R42" s="708" t="s">
        <v>14</v>
      </c>
      <c r="S42" s="709">
        <f t="shared" si="12"/>
        <v>100</v>
      </c>
      <c r="T42" s="708" t="s">
        <v>14</v>
      </c>
      <c r="U42" s="709">
        <f t="shared" si="13"/>
        <v>100</v>
      </c>
      <c r="V42" s="708" t="s">
        <v>14</v>
      </c>
      <c r="W42" s="709">
        <f t="shared" si="14"/>
        <v>100</v>
      </c>
      <c r="X42" s="710"/>
      <c r="Y42" s="373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85"/>
      <c r="Q43" s="1352" t="str">
        <f t="shared" si="11"/>
        <v>内部装修</v>
      </c>
      <c r="R43" s="705" t="s">
        <v>14</v>
      </c>
      <c r="S43" s="706">
        <f t="shared" si="12"/>
        <v>100</v>
      </c>
      <c r="T43" s="705" t="s">
        <v>14</v>
      </c>
      <c r="U43" s="706">
        <f t="shared" si="13"/>
        <v>100</v>
      </c>
      <c r="V43" s="705" t="s">
        <v>14</v>
      </c>
      <c r="W43" s="706">
        <f t="shared" si="14"/>
        <v>100</v>
      </c>
      <c r="X43" s="1355"/>
      <c r="Y43" s="3732"/>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85"/>
      <c r="Q44" s="1352" t="str">
        <f t="shared" si="11"/>
        <v>内部装修维护情况</v>
      </c>
      <c r="R44" s="705" t="s">
        <v>14</v>
      </c>
      <c r="S44" s="706">
        <f t="shared" si="12"/>
        <v>100</v>
      </c>
      <c r="T44" s="705" t="s">
        <v>14</v>
      </c>
      <c r="U44" s="706">
        <f t="shared" si="13"/>
        <v>100</v>
      </c>
      <c r="V44" s="705" t="s">
        <v>14</v>
      </c>
      <c r="W44" s="706">
        <f t="shared" si="14"/>
        <v>100</v>
      </c>
      <c r="X44" s="1355"/>
      <c r="Y44" s="373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85"/>
      <c r="Q45" s="1343">
        <f t="shared" si="11"/>
        <v>111</v>
      </c>
      <c r="R45" s="701" t="s">
        <v>14</v>
      </c>
      <c r="S45" s="702">
        <f t="shared" si="12"/>
        <v>100</v>
      </c>
      <c r="T45" s="701" t="s">
        <v>14</v>
      </c>
      <c r="U45" s="702">
        <f t="shared" si="13"/>
        <v>100</v>
      </c>
      <c r="V45" s="701" t="s">
        <v>14</v>
      </c>
      <c r="W45" s="702">
        <f t="shared" si="14"/>
        <v>100</v>
      </c>
      <c r="X45" s="703"/>
      <c r="Y45" s="373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85"/>
      <c r="Q46" s="1352">
        <f t="shared" si="11"/>
        <v>111</v>
      </c>
      <c r="R46" s="705" t="s">
        <v>14</v>
      </c>
      <c r="S46" s="706">
        <f t="shared" si="12"/>
        <v>100</v>
      </c>
      <c r="T46" s="705" t="s">
        <v>14</v>
      </c>
      <c r="U46" s="706">
        <f t="shared" si="13"/>
        <v>100</v>
      </c>
      <c r="V46" s="705" t="s">
        <v>14</v>
      </c>
      <c r="W46" s="706">
        <f t="shared" si="14"/>
        <v>100</v>
      </c>
      <c r="X46" s="1355"/>
      <c r="Y46" s="3732"/>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86"/>
      <c r="Q47" s="1352">
        <f t="shared" si="11"/>
        <v>111</v>
      </c>
      <c r="R47" s="705" t="s">
        <v>14</v>
      </c>
      <c r="S47" s="706">
        <f t="shared" si="12"/>
        <v>100</v>
      </c>
      <c r="T47" s="705" t="s">
        <v>14</v>
      </c>
      <c r="U47" s="706">
        <f t="shared" si="13"/>
        <v>100</v>
      </c>
      <c r="V47" s="705" t="s">
        <v>14</v>
      </c>
      <c r="W47" s="706">
        <f t="shared" si="14"/>
        <v>100</v>
      </c>
      <c r="X47" s="1355"/>
      <c r="Y47" s="3787"/>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82" t="str">
        <f>A48</f>
        <v>成交单价（元/平方米）</v>
      </c>
      <c r="Q48" s="3714"/>
      <c r="R48" s="3733">
        <f>E48</f>
        <v>0</v>
      </c>
      <c r="S48" s="3733"/>
      <c r="T48" s="3733">
        <f>G48</f>
        <v>0</v>
      </c>
      <c r="U48" s="3733"/>
      <c r="V48" s="3733">
        <f>I48</f>
        <v>0</v>
      </c>
      <c r="W48" s="3733"/>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82" t="str">
        <f>A49</f>
        <v>比较价值（元/平方米）</v>
      </c>
      <c r="Q49" s="3714"/>
      <c r="R49" s="3733" t="e">
        <f>IF(F1="售价",ROUND(PRODUCT(R48,AA7:AA47),0),ROUND(PRODUCT(R48,AA7:AA47),1))</f>
        <v>#DIV/0!</v>
      </c>
      <c r="S49" s="3733"/>
      <c r="T49" s="3733" t="e">
        <f>IF(F1="售价",ROUND(PRODUCT(T48,AB7:AB47),0),ROUND(PRODUCT(T48,AB7:AB47),1))</f>
        <v>#DIV/0!</v>
      </c>
      <c r="U49" s="3733"/>
      <c r="V49" s="3733" t="e">
        <f>IF(F1="售价",ROUND(PRODUCT(V48,AC7:AC47),0),ROUND(PRODUCT(V48,AC7:AC47),1))</f>
        <v>#DIV/0!</v>
      </c>
      <c r="W49" s="3733"/>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802" t="str">
        <f>A50</f>
        <v>估价对象XX用房的比较价值（楼面单价，元/平方米）</v>
      </c>
      <c r="Q50" s="3803"/>
      <c r="R50" s="3804" t="e">
        <f>IF(F1="售价",ROUND(IF(D49="简单平均",AVERAGE(R49:V49),R49*F49+T49*H49+V49*J49),0),ROUND(IF(D49="简单平均",AVERAGE(R49:V49),R49*F49+T49*H49+V49*J49),1))</f>
        <v>#DIV/0!</v>
      </c>
      <c r="S50" s="3804"/>
      <c r="T50" s="3804"/>
      <c r="U50" s="3804"/>
      <c r="V50" s="3804"/>
      <c r="W50" s="380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2025-10</v>
      </c>
      <c r="D59" s="1185">
        <f>EDATE(C59,-1)</f>
        <v>45901</v>
      </c>
      <c r="E59" s="1185">
        <f>EDATE(D59,-1)</f>
        <v>45870</v>
      </c>
      <c r="F59" s="1185">
        <f t="shared" ref="F59:O59" si="16">EDATE(E59,-1)</f>
        <v>45839</v>
      </c>
      <c r="G59" s="1185">
        <f t="shared" si="16"/>
        <v>45809</v>
      </c>
      <c r="H59" s="1185">
        <f t="shared" si="16"/>
        <v>45778</v>
      </c>
      <c r="I59" s="1185">
        <f t="shared" si="16"/>
        <v>45748</v>
      </c>
      <c r="J59" s="1185">
        <f t="shared" si="16"/>
        <v>45717</v>
      </c>
      <c r="K59" s="1185">
        <f t="shared" si="16"/>
        <v>45689</v>
      </c>
      <c r="L59" s="1185">
        <f t="shared" si="16"/>
        <v>45658</v>
      </c>
      <c r="M59" s="1185">
        <f t="shared" si="16"/>
        <v>45627</v>
      </c>
      <c r="N59" s="1185">
        <f t="shared" si="16"/>
        <v>45597</v>
      </c>
      <c r="O59" s="1185">
        <f t="shared" si="16"/>
        <v>45566</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16683.080000000002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15" t="s">
        <v>1770</v>
      </c>
      <c r="D4" s="3716"/>
      <c r="E4" s="3717" t="s">
        <v>1771</v>
      </c>
      <c r="F4" s="3718"/>
      <c r="G4" s="3715" t="s">
        <v>1772</v>
      </c>
      <c r="H4" s="3716"/>
      <c r="I4" s="3715" t="s">
        <v>1773</v>
      </c>
      <c r="J4" s="3716"/>
      <c r="K4" s="559" t="s">
        <v>1774</v>
      </c>
      <c r="L4" s="913"/>
      <c r="M4" s="914"/>
      <c r="N4" s="914"/>
      <c r="O4" s="914"/>
      <c r="P4" s="3719" t="s">
        <v>1775</v>
      </c>
      <c r="Q4" s="3720"/>
      <c r="R4" s="3702" t="s">
        <v>1771</v>
      </c>
      <c r="S4" s="3703"/>
      <c r="T4" s="3702" t="s">
        <v>1772</v>
      </c>
      <c r="U4" s="3703"/>
      <c r="V4" s="3727" t="s">
        <v>1773</v>
      </c>
      <c r="W4" s="3727"/>
      <c r="X4" s="1355"/>
      <c r="Y4" s="3702" t="s">
        <v>1775</v>
      </c>
      <c r="Z4" s="3703"/>
      <c r="AA4" s="3697" t="s">
        <v>1771</v>
      </c>
      <c r="AB4" s="3698" t="s">
        <v>1772</v>
      </c>
      <c r="AC4" s="3697" t="s">
        <v>1773</v>
      </c>
    </row>
    <row r="5" spans="1:29">
      <c r="A5" s="358"/>
      <c r="B5" s="359"/>
      <c r="C5" s="3708" t="s">
        <v>1673</v>
      </c>
      <c r="D5" s="3709"/>
      <c r="E5" s="3706" t="s">
        <v>1674</v>
      </c>
      <c r="F5" s="3707"/>
      <c r="G5" s="3708" t="s">
        <v>1675</v>
      </c>
      <c r="H5" s="3709"/>
      <c r="I5" s="3708" t="s">
        <v>1676</v>
      </c>
      <c r="J5" s="3709"/>
      <c r="K5" s="559"/>
      <c r="L5" s="913"/>
      <c r="M5" s="914"/>
      <c r="N5" s="914"/>
      <c r="O5" s="914"/>
      <c r="P5" s="3721"/>
      <c r="Q5" s="3722"/>
      <c r="R5" s="3704"/>
      <c r="S5" s="3705"/>
      <c r="T5" s="3704"/>
      <c r="U5" s="3705"/>
      <c r="V5" s="3727"/>
      <c r="W5" s="3727"/>
      <c r="X5" s="1355"/>
      <c r="Y5" s="3704"/>
      <c r="Z5" s="3705"/>
      <c r="AA5" s="3698"/>
      <c r="AB5" s="3698"/>
      <c r="AC5" s="3698"/>
    </row>
    <row r="6" spans="1:29" ht="15" thickBot="1">
      <c r="A6" s="360"/>
      <c r="B6" s="361"/>
      <c r="C6" s="3710" t="s">
        <v>1677</v>
      </c>
      <c r="D6" s="3711"/>
      <c r="E6" s="3712" t="s">
        <v>1677</v>
      </c>
      <c r="F6" s="3713"/>
      <c r="G6" s="3710" t="s">
        <v>1677</v>
      </c>
      <c r="H6" s="3711"/>
      <c r="I6" s="3710" t="s">
        <v>1677</v>
      </c>
      <c r="J6" s="3711"/>
      <c r="K6" s="559" t="s">
        <v>1678</v>
      </c>
      <c r="L6" s="913"/>
      <c r="M6" s="914"/>
      <c r="N6" s="914"/>
      <c r="O6" s="914"/>
      <c r="P6" s="3723"/>
      <c r="Q6" s="3724"/>
      <c r="R6" s="3704"/>
      <c r="S6" s="3705"/>
      <c r="T6" s="3725"/>
      <c r="U6" s="3726"/>
      <c r="V6" s="3727"/>
      <c r="W6" s="3727"/>
      <c r="X6" s="1355"/>
      <c r="Y6" s="3725"/>
      <c r="Z6" s="3726"/>
      <c r="AA6" s="3699"/>
      <c r="AB6" s="3699"/>
      <c r="AC6" s="3699"/>
    </row>
    <row r="7" spans="1:29" s="108" customFormat="1" ht="15" thickBot="1">
      <c r="A7" s="362" t="s">
        <v>1679</v>
      </c>
      <c r="B7" s="363"/>
      <c r="C7" s="364">
        <f>'数据-取费表'!B2</f>
        <v>45952</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1680</v>
      </c>
      <c r="Q7" s="3728"/>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701"/>
      <c r="R8" s="701" t="s">
        <v>14</v>
      </c>
      <c r="S8" s="702">
        <f t="shared" si="0"/>
        <v>100</v>
      </c>
      <c r="T8" s="701" t="s">
        <v>14</v>
      </c>
      <c r="U8" s="702">
        <f t="shared" si="1"/>
        <v>100</v>
      </c>
      <c r="V8" s="701" t="s">
        <v>14</v>
      </c>
      <c r="W8" s="702">
        <f t="shared" si="2"/>
        <v>100</v>
      </c>
      <c r="X8" s="703"/>
      <c r="Y8" s="3700" t="s">
        <v>1683</v>
      </c>
      <c r="Z8" s="3701"/>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4" t="s">
        <v>1686</v>
      </c>
      <c r="Q9" s="1343" t="str">
        <f t="shared" ref="Q9:Q15" si="6">B9</f>
        <v>用途</v>
      </c>
      <c r="R9" s="701" t="s">
        <v>14</v>
      </c>
      <c r="S9" s="702">
        <f t="shared" si="0"/>
        <v>100</v>
      </c>
      <c r="T9" s="701" t="s">
        <v>14</v>
      </c>
      <c r="U9" s="702">
        <f t="shared" si="1"/>
        <v>100</v>
      </c>
      <c r="V9" s="701" t="s">
        <v>14</v>
      </c>
      <c r="W9" s="702">
        <f t="shared" si="2"/>
        <v>100</v>
      </c>
      <c r="X9" s="703"/>
      <c r="Y9" s="3669"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4"/>
      <c r="Q10" s="1343" t="str">
        <f t="shared" si="6"/>
        <v>土地使用年限（年）</v>
      </c>
      <c r="R10" s="701" t="s">
        <v>14</v>
      </c>
      <c r="S10" s="702">
        <f t="shared" si="0"/>
        <v>100</v>
      </c>
      <c r="T10" s="701" t="s">
        <v>14</v>
      </c>
      <c r="U10" s="702">
        <f t="shared" si="1"/>
        <v>100</v>
      </c>
      <c r="V10" s="701" t="s">
        <v>14</v>
      </c>
      <c r="W10" s="702">
        <f t="shared" si="2"/>
        <v>100</v>
      </c>
      <c r="X10" s="703"/>
      <c r="Y10" s="366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4"/>
      <c r="Q11" s="1343" t="str">
        <f t="shared" si="6"/>
        <v>容积率</v>
      </c>
      <c r="R11" s="701" t="s">
        <v>14</v>
      </c>
      <c r="S11" s="702">
        <f t="shared" si="0"/>
        <v>100</v>
      </c>
      <c r="T11" s="701" t="s">
        <v>14</v>
      </c>
      <c r="U11" s="702">
        <f t="shared" si="1"/>
        <v>100</v>
      </c>
      <c r="V11" s="701" t="s">
        <v>14</v>
      </c>
      <c r="W11" s="702">
        <f t="shared" si="2"/>
        <v>100</v>
      </c>
      <c r="X11" s="703"/>
      <c r="Y11" s="366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4"/>
      <c r="Q12" s="1343">
        <f t="shared" si="6"/>
        <v>111</v>
      </c>
      <c r="R12" s="701" t="s">
        <v>14</v>
      </c>
      <c r="S12" s="702">
        <f t="shared" si="0"/>
        <v>100</v>
      </c>
      <c r="T12" s="701" t="s">
        <v>14</v>
      </c>
      <c r="U12" s="702">
        <f t="shared" si="1"/>
        <v>100</v>
      </c>
      <c r="V12" s="701" t="s">
        <v>14</v>
      </c>
      <c r="W12" s="702">
        <f t="shared" si="2"/>
        <v>100</v>
      </c>
      <c r="X12" s="703"/>
      <c r="Y12" s="366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4"/>
      <c r="Q13" s="1343">
        <f t="shared" si="6"/>
        <v>111</v>
      </c>
      <c r="R13" s="701" t="s">
        <v>14</v>
      </c>
      <c r="S13" s="702">
        <f t="shared" si="0"/>
        <v>100</v>
      </c>
      <c r="T13" s="701" t="s">
        <v>14</v>
      </c>
      <c r="U13" s="702">
        <f t="shared" si="1"/>
        <v>100</v>
      </c>
      <c r="V13" s="701" t="s">
        <v>14</v>
      </c>
      <c r="W13" s="702">
        <f t="shared" si="2"/>
        <v>100</v>
      </c>
      <c r="X13" s="703"/>
      <c r="Y13" s="3669"/>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4"/>
      <c r="Q14" s="1343">
        <f t="shared" si="6"/>
        <v>111</v>
      </c>
      <c r="R14" s="701" t="s">
        <v>14</v>
      </c>
      <c r="S14" s="702">
        <f t="shared" si="0"/>
        <v>100</v>
      </c>
      <c r="T14" s="701" t="s">
        <v>14</v>
      </c>
      <c r="U14" s="702">
        <f t="shared" si="1"/>
        <v>100</v>
      </c>
      <c r="V14" s="701" t="s">
        <v>14</v>
      </c>
      <c r="W14" s="702">
        <f t="shared" si="2"/>
        <v>100</v>
      </c>
      <c r="X14" s="703"/>
      <c r="Y14" s="3669"/>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0"/>
      <c r="Q16" s="1352"/>
      <c r="R16" s="705"/>
      <c r="S16" s="706"/>
      <c r="T16" s="705"/>
      <c r="U16" s="706"/>
      <c r="V16" s="705"/>
      <c r="W16" s="706"/>
      <c r="X16" s="1355"/>
      <c r="Y16" s="3730"/>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0"/>
      <c r="Q18" s="1352"/>
      <c r="R18" s="705"/>
      <c r="S18" s="706"/>
      <c r="T18" s="705"/>
      <c r="U18" s="706"/>
      <c r="V18" s="705"/>
      <c r="W18" s="706"/>
      <c r="X18" s="1355"/>
      <c r="Y18" s="3730"/>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0"/>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0"/>
      <c r="Q20" s="1352"/>
      <c r="R20" s="705"/>
      <c r="S20" s="706"/>
      <c r="T20" s="705"/>
      <c r="U20" s="706"/>
      <c r="V20" s="705"/>
      <c r="W20" s="706"/>
      <c r="X20" s="1355"/>
      <c r="Y20" s="3730"/>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0"/>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0"/>
      <c r="Q22" s="1352"/>
      <c r="R22" s="705"/>
      <c r="S22" s="706"/>
      <c r="T22" s="705"/>
      <c r="U22" s="706"/>
      <c r="V22" s="705"/>
      <c r="W22" s="706"/>
      <c r="X22" s="1355"/>
      <c r="Y22" s="3730"/>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0"/>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0"/>
      <c r="Q24" s="1352"/>
      <c r="R24" s="705"/>
      <c r="S24" s="706"/>
      <c r="T24" s="705"/>
      <c r="U24" s="706"/>
      <c r="V24" s="705"/>
      <c r="W24" s="706"/>
      <c r="X24" s="1355"/>
      <c r="Y24" s="373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0"/>
      <c r="Q25" s="1352">
        <f>B25</f>
        <v>111</v>
      </c>
      <c r="R25" s="705" t="s">
        <v>14</v>
      </c>
      <c r="S25" s="706">
        <f>F25</f>
        <v>100</v>
      </c>
      <c r="T25" s="705" t="s">
        <v>14</v>
      </c>
      <c r="U25" s="706">
        <f>H25</f>
        <v>100</v>
      </c>
      <c r="V25" s="705" t="s">
        <v>14</v>
      </c>
      <c r="W25" s="706">
        <f>J25</f>
        <v>100</v>
      </c>
      <c r="X25" s="1355"/>
      <c r="Y25" s="373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0"/>
      <c r="Q26" s="1352">
        <f t="shared" ref="Q26:Q40" si="11">B26</f>
        <v>111</v>
      </c>
      <c r="R26" s="705" t="s">
        <v>14</v>
      </c>
      <c r="S26" s="706">
        <f>F26</f>
        <v>100</v>
      </c>
      <c r="T26" s="705" t="s">
        <v>14</v>
      </c>
      <c r="U26" s="706">
        <f>H26</f>
        <v>100</v>
      </c>
      <c r="V26" s="705" t="s">
        <v>14</v>
      </c>
      <c r="W26" s="706">
        <f>J26</f>
        <v>100</v>
      </c>
      <c r="X26" s="1355"/>
      <c r="Y26" s="373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0"/>
      <c r="Q27" s="1343">
        <f t="shared" si="11"/>
        <v>111</v>
      </c>
      <c r="R27" s="701" t="s">
        <v>14</v>
      </c>
      <c r="S27" s="702">
        <f>F27</f>
        <v>100</v>
      </c>
      <c r="T27" s="701" t="s">
        <v>14</v>
      </c>
      <c r="U27" s="702">
        <f>H27</f>
        <v>100</v>
      </c>
      <c r="V27" s="701" t="s">
        <v>14</v>
      </c>
      <c r="W27" s="702">
        <f>J27</f>
        <v>100</v>
      </c>
      <c r="X27" s="703"/>
      <c r="Y27" s="3730"/>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0"/>
      <c r="Q28" s="1352">
        <f t="shared" si="11"/>
        <v>111</v>
      </c>
      <c r="R28" s="705" t="s">
        <v>14</v>
      </c>
      <c r="S28" s="706">
        <f t="shared" ref="S28:S40" si="12">F28</f>
        <v>100</v>
      </c>
      <c r="T28" s="705" t="s">
        <v>14</v>
      </c>
      <c r="U28" s="706">
        <f t="shared" ref="U28:U40" si="13">H28</f>
        <v>100</v>
      </c>
      <c r="V28" s="705" t="s">
        <v>14</v>
      </c>
      <c r="W28" s="706">
        <f t="shared" ref="W28:W40" si="14">J28</f>
        <v>100</v>
      </c>
      <c r="X28" s="1355"/>
      <c r="Y28" s="3730"/>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1" t="s">
        <v>1696</v>
      </c>
      <c r="Q29" s="1352" t="str">
        <f t="shared" si="11"/>
        <v>建筑类型</v>
      </c>
      <c r="R29" s="705" t="s">
        <v>14</v>
      </c>
      <c r="S29" s="706">
        <f t="shared" si="12"/>
        <v>100</v>
      </c>
      <c r="T29" s="705" t="s">
        <v>14</v>
      </c>
      <c r="U29" s="706">
        <f t="shared" si="13"/>
        <v>100</v>
      </c>
      <c r="V29" s="705" t="s">
        <v>14</v>
      </c>
      <c r="W29" s="706">
        <f t="shared" si="14"/>
        <v>100</v>
      </c>
      <c r="X29" s="1355"/>
      <c r="Y29" s="373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2"/>
      <c r="Q30" s="707" t="str">
        <f t="shared" si="11"/>
        <v>项目建筑规模</v>
      </c>
      <c r="R30" s="708" t="s">
        <v>14</v>
      </c>
      <c r="S30" s="709" t="e">
        <f t="shared" si="12"/>
        <v>#N/A</v>
      </c>
      <c r="T30" s="708" t="s">
        <v>14</v>
      </c>
      <c r="U30" s="709" t="e">
        <f t="shared" si="13"/>
        <v>#N/A</v>
      </c>
      <c r="V30" s="708" t="s">
        <v>14</v>
      </c>
      <c r="W30" s="709" t="e">
        <f t="shared" si="14"/>
        <v>#N/A</v>
      </c>
      <c r="X30" s="710"/>
      <c r="Y30" s="373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2"/>
      <c r="Q31" s="1352" t="str">
        <f t="shared" si="11"/>
        <v>建筑结构</v>
      </c>
      <c r="R31" s="705" t="s">
        <v>14</v>
      </c>
      <c r="S31" s="706">
        <f t="shared" si="12"/>
        <v>100</v>
      </c>
      <c r="T31" s="705" t="s">
        <v>14</v>
      </c>
      <c r="U31" s="706">
        <f t="shared" si="13"/>
        <v>100</v>
      </c>
      <c r="V31" s="705" t="s">
        <v>14</v>
      </c>
      <c r="W31" s="706">
        <f t="shared" si="14"/>
        <v>100</v>
      </c>
      <c r="X31" s="1355"/>
      <c r="Y31" s="373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2"/>
      <c r="Q32" s="1352" t="str">
        <f t="shared" si="11"/>
        <v>公共部分装修</v>
      </c>
      <c r="R32" s="705" t="s">
        <v>14</v>
      </c>
      <c r="S32" s="706">
        <f t="shared" si="12"/>
        <v>100</v>
      </c>
      <c r="T32" s="705" t="s">
        <v>14</v>
      </c>
      <c r="U32" s="706">
        <f t="shared" si="13"/>
        <v>100</v>
      </c>
      <c r="V32" s="705" t="s">
        <v>14</v>
      </c>
      <c r="W32" s="706">
        <f t="shared" si="14"/>
        <v>100</v>
      </c>
      <c r="X32" s="1355"/>
      <c r="Y32" s="373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2"/>
      <c r="Q33" s="1352" t="str">
        <f t="shared" si="11"/>
        <v>成新度</v>
      </c>
      <c r="R33" s="705" t="s">
        <v>14</v>
      </c>
      <c r="S33" s="706" t="e">
        <f t="shared" si="12"/>
        <v>#N/A</v>
      </c>
      <c r="T33" s="705" t="s">
        <v>14</v>
      </c>
      <c r="U33" s="706" t="e">
        <f t="shared" si="13"/>
        <v>#N/A</v>
      </c>
      <c r="V33" s="705" t="s">
        <v>14</v>
      </c>
      <c r="W33" s="706" t="e">
        <f t="shared" si="14"/>
        <v>#N/A</v>
      </c>
      <c r="X33" s="1355"/>
      <c r="Y33" s="373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2"/>
      <c r="Q34" s="1343" t="str">
        <f t="shared" si="11"/>
        <v>物业管理</v>
      </c>
      <c r="R34" s="701" t="s">
        <v>14</v>
      </c>
      <c r="S34" s="702">
        <f t="shared" si="12"/>
        <v>100</v>
      </c>
      <c r="T34" s="701" t="s">
        <v>14</v>
      </c>
      <c r="U34" s="702">
        <f t="shared" si="13"/>
        <v>100</v>
      </c>
      <c r="V34" s="701" t="s">
        <v>14</v>
      </c>
      <c r="W34" s="702">
        <f t="shared" si="14"/>
        <v>100</v>
      </c>
      <c r="X34" s="703"/>
      <c r="Y34" s="373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2" t="s">
        <v>1696</v>
      </c>
      <c r="Q35" s="1352" t="str">
        <f t="shared" si="11"/>
        <v>市政基础设施</v>
      </c>
      <c r="R35" s="705" t="s">
        <v>14</v>
      </c>
      <c r="S35" s="706">
        <f t="shared" si="12"/>
        <v>100</v>
      </c>
      <c r="T35" s="705" t="s">
        <v>14</v>
      </c>
      <c r="U35" s="706">
        <f t="shared" si="13"/>
        <v>100</v>
      </c>
      <c r="V35" s="705" t="s">
        <v>14</v>
      </c>
      <c r="W35" s="706">
        <f t="shared" si="14"/>
        <v>100</v>
      </c>
      <c r="X35" s="1355"/>
      <c r="Y35" s="373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2"/>
      <c r="Q36" s="1352" t="str">
        <f t="shared" si="11"/>
        <v>内部装修</v>
      </c>
      <c r="R36" s="705" t="s">
        <v>14</v>
      </c>
      <c r="S36" s="706">
        <f t="shared" si="12"/>
        <v>100</v>
      </c>
      <c r="T36" s="705" t="s">
        <v>14</v>
      </c>
      <c r="U36" s="706">
        <f t="shared" si="13"/>
        <v>100</v>
      </c>
      <c r="V36" s="705" t="s">
        <v>14</v>
      </c>
      <c r="W36" s="706">
        <f t="shared" si="14"/>
        <v>100</v>
      </c>
      <c r="X36" s="1355"/>
      <c r="Y36" s="373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2"/>
      <c r="Q37" s="1352" t="str">
        <f t="shared" si="11"/>
        <v>内部装修状况</v>
      </c>
      <c r="R37" s="705" t="s">
        <v>14</v>
      </c>
      <c r="S37" s="706">
        <f t="shared" si="12"/>
        <v>100</v>
      </c>
      <c r="T37" s="705" t="s">
        <v>14</v>
      </c>
      <c r="U37" s="706">
        <f t="shared" si="13"/>
        <v>100</v>
      </c>
      <c r="V37" s="705" t="s">
        <v>14</v>
      </c>
      <c r="W37" s="706">
        <f t="shared" si="14"/>
        <v>100</v>
      </c>
      <c r="X37" s="1355"/>
      <c r="Y37" s="373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2"/>
      <c r="Q38" s="707">
        <f t="shared" si="11"/>
        <v>111</v>
      </c>
      <c r="R38" s="708" t="s">
        <v>14</v>
      </c>
      <c r="S38" s="709">
        <f t="shared" si="12"/>
        <v>100</v>
      </c>
      <c r="T38" s="708" t="s">
        <v>14</v>
      </c>
      <c r="U38" s="709">
        <f t="shared" si="13"/>
        <v>100</v>
      </c>
      <c r="V38" s="708" t="s">
        <v>14</v>
      </c>
      <c r="W38" s="709">
        <f t="shared" si="14"/>
        <v>100</v>
      </c>
      <c r="X38" s="710"/>
      <c r="Y38" s="373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2"/>
      <c r="Q39" s="1352">
        <f t="shared" si="11"/>
        <v>111</v>
      </c>
      <c r="R39" s="705" t="s">
        <v>14</v>
      </c>
      <c r="S39" s="706">
        <f t="shared" si="12"/>
        <v>100</v>
      </c>
      <c r="T39" s="705" t="s">
        <v>14</v>
      </c>
      <c r="U39" s="706">
        <f t="shared" si="13"/>
        <v>100</v>
      </c>
      <c r="V39" s="705" t="s">
        <v>14</v>
      </c>
      <c r="W39" s="706">
        <f t="shared" si="14"/>
        <v>100</v>
      </c>
      <c r="X39" s="1355"/>
      <c r="Y39" s="3732"/>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87"/>
      <c r="Q40" s="1352">
        <f t="shared" si="11"/>
        <v>111</v>
      </c>
      <c r="R40" s="705" t="s">
        <v>14</v>
      </c>
      <c r="S40" s="706">
        <f t="shared" si="12"/>
        <v>100</v>
      </c>
      <c r="T40" s="705" t="s">
        <v>14</v>
      </c>
      <c r="U40" s="706">
        <f t="shared" si="13"/>
        <v>100</v>
      </c>
      <c r="V40" s="705" t="s">
        <v>14</v>
      </c>
      <c r="W40" s="706">
        <f t="shared" si="14"/>
        <v>100</v>
      </c>
      <c r="X40" s="1355"/>
      <c r="Y40" s="3787"/>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14" t="str">
        <f>A41</f>
        <v>成交单价（元/平方米）</v>
      </c>
      <c r="Q41" s="3714"/>
      <c r="R41" s="3733">
        <f>E41</f>
        <v>0</v>
      </c>
      <c r="S41" s="3733"/>
      <c r="T41" s="3733">
        <f>G41</f>
        <v>0</v>
      </c>
      <c r="U41" s="3733"/>
      <c r="V41" s="3733">
        <f>I41</f>
        <v>0</v>
      </c>
      <c r="W41" s="3733"/>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4" t="str">
        <f>A42</f>
        <v>比较价值（元/平方米）</v>
      </c>
      <c r="Q42" s="3714"/>
      <c r="R42" s="3733" t="e">
        <f>IF(F1="售价",ROUND(PRODUCT(R41,AA7:AA40),0),ROUND(PRODUCT(R41,AA7:AA40),1))</f>
        <v>#DIV/0!</v>
      </c>
      <c r="S42" s="3733"/>
      <c r="T42" s="3733" t="e">
        <f>IF(F1="售价",ROUND(PRODUCT(T41,AB7:AB40),0),ROUND(PRODUCT(T41,AB7:AB40),1))</f>
        <v>#DIV/0!</v>
      </c>
      <c r="U42" s="3733"/>
      <c r="V42" s="3733" t="e">
        <f>IF(F1="售价",ROUND(PRODUCT(V41,AC7:AC40),0),ROUND(PRODUCT(V41,AC7:AC40),1))</f>
        <v>#DIV/0!</v>
      </c>
      <c r="W42" s="3733"/>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34" t="str">
        <f>A43</f>
        <v>估价对象XX用房的比较价值（楼面单价，元/平方米）</v>
      </c>
      <c r="Q43" s="3735"/>
      <c r="R43" s="3783" t="e">
        <f>IF(F1="售价",ROUND(IF(D42="简单平均",AVERAGE(R42:V42),R42*F42+T42*H42+V42*J42),0),ROUND(IF(D42="简单平均",AVERAGE(R42:V42),R42*F42+T42*H42+V42*J42),1))</f>
        <v>#DIV/0!</v>
      </c>
      <c r="S43" s="3783"/>
      <c r="T43" s="3783"/>
      <c r="U43" s="3783"/>
      <c r="V43" s="3783"/>
      <c r="W43" s="378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2025-10</v>
      </c>
      <c r="D52" s="1185">
        <f>EDATE(C52,-1)</f>
        <v>45901</v>
      </c>
      <c r="E52" s="1185">
        <f t="shared" ref="E52:O52" si="16">EDATE(D52,-1)</f>
        <v>45870</v>
      </c>
      <c r="F52" s="1185">
        <f t="shared" si="16"/>
        <v>45839</v>
      </c>
      <c r="G52" s="1185">
        <f t="shared" si="16"/>
        <v>45809</v>
      </c>
      <c r="H52" s="1185">
        <f t="shared" si="16"/>
        <v>45778</v>
      </c>
      <c r="I52" s="1185">
        <f t="shared" si="16"/>
        <v>45748</v>
      </c>
      <c r="J52" s="1185">
        <f t="shared" si="16"/>
        <v>45717</v>
      </c>
      <c r="K52" s="1185">
        <f t="shared" si="16"/>
        <v>45689</v>
      </c>
      <c r="L52" s="1185">
        <f t="shared" si="16"/>
        <v>45658</v>
      </c>
      <c r="M52" s="1185">
        <f t="shared" si="16"/>
        <v>45627</v>
      </c>
      <c r="N52" s="1185">
        <f t="shared" si="16"/>
        <v>45597</v>
      </c>
      <c r="O52" s="1185">
        <f t="shared" si="16"/>
        <v>45566</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15" t="s">
        <v>1770</v>
      </c>
      <c r="D4" s="3716"/>
      <c r="E4" s="3717" t="s">
        <v>1771</v>
      </c>
      <c r="F4" s="3718"/>
      <c r="G4" s="3715" t="s">
        <v>1772</v>
      </c>
      <c r="H4" s="3716"/>
      <c r="I4" s="3715" t="s">
        <v>1773</v>
      </c>
      <c r="J4" s="3716"/>
      <c r="K4" s="559" t="s">
        <v>1774</v>
      </c>
      <c r="L4" s="2715"/>
      <c r="M4" s="2716"/>
      <c r="N4" s="2716"/>
      <c r="O4" s="2716"/>
      <c r="P4" s="3719" t="s">
        <v>1775</v>
      </c>
      <c r="Q4" s="3720"/>
      <c r="R4" s="3702" t="s">
        <v>1771</v>
      </c>
      <c r="S4" s="3703"/>
      <c r="T4" s="3702" t="s">
        <v>1772</v>
      </c>
      <c r="U4" s="3703"/>
      <c r="V4" s="3727" t="s">
        <v>1773</v>
      </c>
      <c r="W4" s="3727"/>
      <c r="X4" s="1355"/>
      <c r="Y4" s="3702" t="s">
        <v>1775</v>
      </c>
      <c r="Z4" s="3703"/>
      <c r="AA4" s="3697" t="s">
        <v>1771</v>
      </c>
      <c r="AB4" s="3698" t="s">
        <v>1772</v>
      </c>
      <c r="AC4" s="3697" t="s">
        <v>1773</v>
      </c>
    </row>
    <row r="5" spans="1:29">
      <c r="A5" s="358"/>
      <c r="B5" s="359"/>
      <c r="C5" s="3708" t="s">
        <v>1673</v>
      </c>
      <c r="D5" s="3709"/>
      <c r="E5" s="3706" t="s">
        <v>1674</v>
      </c>
      <c r="F5" s="3707"/>
      <c r="G5" s="3708" t="s">
        <v>1675</v>
      </c>
      <c r="H5" s="3709"/>
      <c r="I5" s="3708" t="s">
        <v>1676</v>
      </c>
      <c r="J5" s="3709"/>
      <c r="K5" s="559"/>
      <c r="L5" s="2715"/>
      <c r="M5" s="2716"/>
      <c r="N5" s="2716"/>
      <c r="O5" s="2716"/>
      <c r="P5" s="3721"/>
      <c r="Q5" s="3722"/>
      <c r="R5" s="3704"/>
      <c r="S5" s="3705"/>
      <c r="T5" s="3704"/>
      <c r="U5" s="3705"/>
      <c r="V5" s="3727"/>
      <c r="W5" s="3727"/>
      <c r="X5" s="1355"/>
      <c r="Y5" s="3704"/>
      <c r="Z5" s="3705"/>
      <c r="AA5" s="3698"/>
      <c r="AB5" s="3698"/>
      <c r="AC5" s="3698"/>
    </row>
    <row r="6" spans="1:29" ht="15" thickBot="1">
      <c r="A6" s="360"/>
      <c r="B6" s="361"/>
      <c r="C6" s="3710" t="s">
        <v>1677</v>
      </c>
      <c r="D6" s="3711"/>
      <c r="E6" s="3712" t="s">
        <v>1677</v>
      </c>
      <c r="F6" s="3713"/>
      <c r="G6" s="3710" t="s">
        <v>1677</v>
      </c>
      <c r="H6" s="3711"/>
      <c r="I6" s="3710" t="s">
        <v>1677</v>
      </c>
      <c r="J6" s="3711"/>
      <c r="K6" s="559" t="s">
        <v>1678</v>
      </c>
      <c r="L6" s="2715"/>
      <c r="M6" s="2716"/>
      <c r="N6" s="2716"/>
      <c r="O6" s="2716"/>
      <c r="P6" s="3723"/>
      <c r="Q6" s="3724"/>
      <c r="R6" s="3704"/>
      <c r="S6" s="3705"/>
      <c r="T6" s="3725"/>
      <c r="U6" s="3726"/>
      <c r="V6" s="3727"/>
      <c r="W6" s="3727"/>
      <c r="X6" s="1355"/>
      <c r="Y6" s="3725"/>
      <c r="Z6" s="3726"/>
      <c r="AA6" s="3699"/>
      <c r="AB6" s="3699"/>
      <c r="AC6" s="3699"/>
    </row>
    <row r="7" spans="1:29" s="108" customFormat="1" ht="15" thickBot="1">
      <c r="A7" s="362" t="s">
        <v>1679</v>
      </c>
      <c r="B7" s="363"/>
      <c r="C7" s="364">
        <f>'数据-取费表'!B2</f>
        <v>45952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0" t="s">
        <v>1680</v>
      </c>
      <c r="Q7" s="3728"/>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4" t="s">
        <v>1686</v>
      </c>
      <c r="Q9" s="1343" t="str">
        <f t="shared" ref="Q9:Q14" si="6">B9</f>
        <v>用途</v>
      </c>
      <c r="R9" s="701" t="s">
        <v>14</v>
      </c>
      <c r="S9" s="702">
        <f t="shared" si="0"/>
        <v>100</v>
      </c>
      <c r="T9" s="701" t="s">
        <v>14</v>
      </c>
      <c r="U9" s="702">
        <f t="shared" si="1"/>
        <v>100</v>
      </c>
      <c r="V9" s="701" t="s">
        <v>14</v>
      </c>
      <c r="W9" s="702">
        <f t="shared" si="2"/>
        <v>100</v>
      </c>
      <c r="X9" s="703"/>
      <c r="Y9" s="3669"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4"/>
      <c r="Q10" s="1343" t="str">
        <f t="shared" si="6"/>
        <v>土地使用年限（年）</v>
      </c>
      <c r="R10" s="701" t="s">
        <v>14</v>
      </c>
      <c r="S10" s="702">
        <f t="shared" si="0"/>
        <v>100</v>
      </c>
      <c r="T10" s="701" t="s">
        <v>14</v>
      </c>
      <c r="U10" s="702">
        <f t="shared" si="1"/>
        <v>100</v>
      </c>
      <c r="V10" s="701" t="s">
        <v>14</v>
      </c>
      <c r="W10" s="702">
        <f t="shared" si="2"/>
        <v>100</v>
      </c>
      <c r="X10" s="703"/>
      <c r="Y10" s="366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4"/>
      <c r="Q11" s="1343">
        <f t="shared" si="6"/>
        <v>111</v>
      </c>
      <c r="R11" s="701" t="s">
        <v>14</v>
      </c>
      <c r="S11" s="702">
        <f t="shared" si="0"/>
        <v>100</v>
      </c>
      <c r="T11" s="701" t="s">
        <v>14</v>
      </c>
      <c r="U11" s="702">
        <f t="shared" si="1"/>
        <v>100</v>
      </c>
      <c r="V11" s="701" t="s">
        <v>14</v>
      </c>
      <c r="W11" s="702">
        <f t="shared" si="2"/>
        <v>100</v>
      </c>
      <c r="X11" s="703"/>
      <c r="Y11" s="366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4"/>
      <c r="Q12" s="1343">
        <f t="shared" si="6"/>
        <v>111</v>
      </c>
      <c r="R12" s="701" t="s">
        <v>14</v>
      </c>
      <c r="S12" s="702">
        <f t="shared" si="0"/>
        <v>100</v>
      </c>
      <c r="T12" s="701" t="s">
        <v>14</v>
      </c>
      <c r="U12" s="702">
        <f t="shared" si="1"/>
        <v>100</v>
      </c>
      <c r="V12" s="701" t="s">
        <v>14</v>
      </c>
      <c r="W12" s="702">
        <f t="shared" si="2"/>
        <v>100</v>
      </c>
      <c r="X12" s="703"/>
      <c r="Y12" s="3669"/>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4"/>
      <c r="Q13" s="1343">
        <f t="shared" si="6"/>
        <v>111</v>
      </c>
      <c r="R13" s="701" t="s">
        <v>14</v>
      </c>
      <c r="S13" s="702">
        <f t="shared" si="0"/>
        <v>100</v>
      </c>
      <c r="T13" s="701" t="s">
        <v>14</v>
      </c>
      <c r="U13" s="702">
        <f t="shared" si="1"/>
        <v>100</v>
      </c>
      <c r="V13" s="701" t="s">
        <v>14</v>
      </c>
      <c r="W13" s="702">
        <f t="shared" si="2"/>
        <v>100</v>
      </c>
      <c r="X13" s="703"/>
      <c r="Y13" s="3669"/>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0"/>
      <c r="Q15" s="1352"/>
      <c r="R15" s="705"/>
      <c r="S15" s="706"/>
      <c r="T15" s="705"/>
      <c r="U15" s="706"/>
      <c r="V15" s="705"/>
      <c r="W15" s="706"/>
      <c r="X15" s="1355"/>
      <c r="Y15" s="3730"/>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0"/>
      <c r="Q17" s="1352"/>
      <c r="R17" s="705"/>
      <c r="S17" s="706"/>
      <c r="T17" s="705"/>
      <c r="U17" s="706"/>
      <c r="V17" s="705"/>
      <c r="W17" s="706"/>
      <c r="X17" s="1355"/>
      <c r="Y17" s="3730"/>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0"/>
      <c r="Q19" s="1352"/>
      <c r="R19" s="705"/>
      <c r="S19" s="706"/>
      <c r="T19" s="705"/>
      <c r="U19" s="706"/>
      <c r="V19" s="705"/>
      <c r="W19" s="706"/>
      <c r="X19" s="1355"/>
      <c r="Y19" s="3730"/>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0"/>
      <c r="Q21" s="1352"/>
      <c r="R21" s="705"/>
      <c r="S21" s="706"/>
      <c r="T21" s="705"/>
      <c r="U21" s="706"/>
      <c r="V21" s="705"/>
      <c r="W21" s="706"/>
      <c r="X21" s="1355"/>
      <c r="Y21" s="373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0"/>
      <c r="Q24" s="1352">
        <f t="shared" ref="Q24:Q36"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2"/>
      <c r="Q27" s="707" t="str">
        <f t="shared" si="11"/>
        <v>项目停车位配比</v>
      </c>
      <c r="R27" s="708" t="s">
        <v>14</v>
      </c>
      <c r="S27" s="709">
        <f t="shared" si="12"/>
        <v>100</v>
      </c>
      <c r="T27" s="708" t="s">
        <v>14</v>
      </c>
      <c r="U27" s="709">
        <f t="shared" si="13"/>
        <v>100</v>
      </c>
      <c r="V27" s="708" t="s">
        <v>14</v>
      </c>
      <c r="W27" s="709">
        <f t="shared" si="14"/>
        <v>100</v>
      </c>
      <c r="X27" s="710"/>
      <c r="Y27" s="373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2"/>
      <c r="Q28" s="1352" t="str">
        <f t="shared" si="11"/>
        <v>公共部分装修</v>
      </c>
      <c r="R28" s="705" t="s">
        <v>14</v>
      </c>
      <c r="S28" s="706">
        <f t="shared" si="12"/>
        <v>100</v>
      </c>
      <c r="T28" s="705" t="s">
        <v>14</v>
      </c>
      <c r="U28" s="706">
        <f t="shared" si="13"/>
        <v>100</v>
      </c>
      <c r="V28" s="705" t="s">
        <v>14</v>
      </c>
      <c r="W28" s="706">
        <f t="shared" si="14"/>
        <v>100</v>
      </c>
      <c r="X28" s="1355"/>
      <c r="Y28" s="373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2"/>
      <c r="Q29" s="1352" t="str">
        <f t="shared" si="11"/>
        <v>成新率</v>
      </c>
      <c r="R29" s="705" t="s">
        <v>14</v>
      </c>
      <c r="S29" s="706" t="e">
        <f t="shared" si="12"/>
        <v>#N/A</v>
      </c>
      <c r="T29" s="705" t="s">
        <v>14</v>
      </c>
      <c r="U29" s="706" t="e">
        <f t="shared" si="13"/>
        <v>#N/A</v>
      </c>
      <c r="V29" s="705" t="s">
        <v>14</v>
      </c>
      <c r="W29" s="706" t="e">
        <f t="shared" si="14"/>
        <v>#N/A</v>
      </c>
      <c r="X29" s="1355"/>
      <c r="Y29" s="373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2"/>
      <c r="Q30" s="1352" t="str">
        <f t="shared" si="11"/>
        <v>物业等级</v>
      </c>
      <c r="R30" s="705" t="s">
        <v>14</v>
      </c>
      <c r="S30" s="706">
        <f t="shared" si="12"/>
        <v>100</v>
      </c>
      <c r="T30" s="705" t="s">
        <v>14</v>
      </c>
      <c r="U30" s="706">
        <f t="shared" si="13"/>
        <v>100</v>
      </c>
      <c r="V30" s="705" t="s">
        <v>14</v>
      </c>
      <c r="W30" s="706">
        <f t="shared" si="14"/>
        <v>100</v>
      </c>
      <c r="X30" s="1355"/>
      <c r="Y30" s="373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2"/>
      <c r="Q31" s="1343" t="str">
        <f t="shared" si="11"/>
        <v>停车位面积</v>
      </c>
      <c r="R31" s="701" t="s">
        <v>14</v>
      </c>
      <c r="S31" s="702" t="e">
        <f t="shared" si="12"/>
        <v>#N/A</v>
      </c>
      <c r="T31" s="701" t="s">
        <v>14</v>
      </c>
      <c r="U31" s="702" t="e">
        <f t="shared" si="13"/>
        <v>#N/A</v>
      </c>
      <c r="V31" s="701" t="s">
        <v>14</v>
      </c>
      <c r="W31" s="702" t="e">
        <f t="shared" si="14"/>
        <v>#N/A</v>
      </c>
      <c r="X31" s="703"/>
      <c r="Y31" s="373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2" t="s">
        <v>1696</v>
      </c>
      <c r="Q32" s="1352" t="str">
        <f t="shared" si="11"/>
        <v>车位类型</v>
      </c>
      <c r="R32" s="705" t="s">
        <v>14</v>
      </c>
      <c r="S32" s="706">
        <f t="shared" si="12"/>
        <v>100</v>
      </c>
      <c r="T32" s="705" t="s">
        <v>14</v>
      </c>
      <c r="U32" s="706">
        <f t="shared" si="13"/>
        <v>100</v>
      </c>
      <c r="V32" s="705" t="s">
        <v>14</v>
      </c>
      <c r="W32" s="706">
        <f t="shared" si="14"/>
        <v>100</v>
      </c>
      <c r="X32" s="1355"/>
      <c r="Y32" s="373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2"/>
      <c r="Q33" s="1352" t="str">
        <f t="shared" si="11"/>
        <v>是否直接入户</v>
      </c>
      <c r="R33" s="705" t="s">
        <v>14</v>
      </c>
      <c r="S33" s="706">
        <f t="shared" si="12"/>
        <v>100</v>
      </c>
      <c r="T33" s="705" t="s">
        <v>14</v>
      </c>
      <c r="U33" s="706">
        <f t="shared" si="13"/>
        <v>100</v>
      </c>
      <c r="V33" s="705" t="s">
        <v>14</v>
      </c>
      <c r="W33" s="706">
        <f t="shared" si="14"/>
        <v>100</v>
      </c>
      <c r="X33" s="1355"/>
      <c r="Y33" s="373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2"/>
      <c r="Q34" s="1352">
        <f t="shared" si="11"/>
        <v>111</v>
      </c>
      <c r="R34" s="705" t="s">
        <v>14</v>
      </c>
      <c r="S34" s="706">
        <f t="shared" si="12"/>
        <v>100</v>
      </c>
      <c r="T34" s="705" t="s">
        <v>14</v>
      </c>
      <c r="U34" s="706">
        <f t="shared" si="13"/>
        <v>100</v>
      </c>
      <c r="V34" s="705" t="s">
        <v>14</v>
      </c>
      <c r="W34" s="706">
        <f t="shared" si="14"/>
        <v>100</v>
      </c>
      <c r="X34" s="1355"/>
      <c r="Y34" s="373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2"/>
      <c r="Q35" s="707">
        <f t="shared" si="11"/>
        <v>111</v>
      </c>
      <c r="R35" s="708" t="s">
        <v>14</v>
      </c>
      <c r="S35" s="709">
        <f t="shared" si="12"/>
        <v>100</v>
      </c>
      <c r="T35" s="708" t="s">
        <v>14</v>
      </c>
      <c r="U35" s="709">
        <f t="shared" si="13"/>
        <v>100</v>
      </c>
      <c r="V35" s="708" t="s">
        <v>14</v>
      </c>
      <c r="W35" s="709">
        <f t="shared" si="14"/>
        <v>100</v>
      </c>
      <c r="X35" s="710"/>
      <c r="Y35" s="3732"/>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2"/>
      <c r="Q36" s="1352">
        <f t="shared" si="11"/>
        <v>111</v>
      </c>
      <c r="R36" s="705" t="s">
        <v>14</v>
      </c>
      <c r="S36" s="706">
        <f t="shared" si="12"/>
        <v>100</v>
      </c>
      <c r="T36" s="705" t="s">
        <v>14</v>
      </c>
      <c r="U36" s="706">
        <f t="shared" si="13"/>
        <v>100</v>
      </c>
      <c r="V36" s="705" t="s">
        <v>14</v>
      </c>
      <c r="W36" s="706">
        <f t="shared" si="14"/>
        <v>100</v>
      </c>
      <c r="X36" s="1355"/>
      <c r="Y36" s="3732"/>
      <c r="Z36" s="1356">
        <f t="shared" si="15"/>
        <v>111</v>
      </c>
      <c r="AA36" s="1353">
        <f t="shared" si="3"/>
        <v>1</v>
      </c>
      <c r="AB36" s="1353">
        <f t="shared" si="4"/>
        <v>1</v>
      </c>
      <c r="AC36" s="1353">
        <f t="shared" si="5"/>
        <v>1</v>
      </c>
    </row>
    <row r="37" spans="1:29" ht="14.4">
      <c r="A37" s="430" t="s">
        <v>1844</v>
      </c>
      <c r="B37" s="1973" t="s">
        <v>3351</v>
      </c>
      <c r="C37" s="1154" t="s">
        <v>0</v>
      </c>
      <c r="D37" s="1155"/>
      <c r="E37" s="1156"/>
      <c r="F37" s="1157"/>
      <c r="G37" s="1158"/>
      <c r="H37" s="1159"/>
      <c r="I37" s="1156"/>
      <c r="J37" s="1159"/>
      <c r="K37" s="568"/>
      <c r="L37" s="2724"/>
      <c r="M37" s="2725"/>
      <c r="N37" s="2716"/>
      <c r="O37" s="2725"/>
      <c r="P37" s="3714" t="str">
        <f>A37</f>
        <v>成交单价</v>
      </c>
      <c r="Q37" s="3714"/>
      <c r="R37" s="3733">
        <f>E37</f>
        <v>0</v>
      </c>
      <c r="S37" s="3733"/>
      <c r="T37" s="3733">
        <f>G37</f>
        <v>0</v>
      </c>
      <c r="U37" s="3733"/>
      <c r="V37" s="3733">
        <f>I37</f>
        <v>0</v>
      </c>
      <c r="W37" s="3733"/>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4" t="str">
        <f>A38</f>
        <v>比较价值（元/平方米）</v>
      </c>
      <c r="Q38" s="3714"/>
      <c r="R38" s="3733" t="e">
        <f>IF(F1="售价",ROUND(PRODUCT(R37,AA7:AA36),0),ROUND(PRODUCT(R37,AA7:AA36),1))</f>
        <v>#DIV/0!</v>
      </c>
      <c r="S38" s="3733"/>
      <c r="T38" s="3733" t="e">
        <f>IF(F1="售价",ROUND(PRODUCT(T37,AB7:AB36),0),ROUND(PRODUCT(T37,AB7:AB36),1))</f>
        <v>#DIV/0!</v>
      </c>
      <c r="U38" s="3733"/>
      <c r="V38" s="3733" t="e">
        <f>IF(F1="售价",ROUND(PRODUCT(V37,AC7:AC36),0),ROUND(PRODUCT(V37,AC7:AC36),1))</f>
        <v>#DIV/0!</v>
      </c>
      <c r="W38" s="3733"/>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34" t="str">
        <f>A39</f>
        <v>估价对象XX用房的比较价值（楼面单价，元/平方米）</v>
      </c>
      <c r="Q39" s="3735"/>
      <c r="R39" s="3736" t="e">
        <f>IF(F1="售价",ROUND(IF(D38="简单平均",AVERAGE(R38:W38),R38*F38+T38*H38+V38*J38),0),ROUND(IF(D38="简单平均",AVERAGE(R38:V38),R38*F38+T38*H38+V38*J38),1))</f>
        <v>#DIV/0!</v>
      </c>
      <c r="S39" s="3736"/>
      <c r="T39" s="3736"/>
      <c r="U39" s="3736"/>
      <c r="V39" s="3736"/>
      <c r="W39" s="373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2025-10</v>
      </c>
      <c r="D48" s="1185">
        <f>EDATE(C48,-1)</f>
        <v>45901</v>
      </c>
      <c r="E48" s="1185">
        <f t="shared" ref="E48:O48" si="16">EDATE(D48,-1)</f>
        <v>45870</v>
      </c>
      <c r="F48" s="1185">
        <f t="shared" si="16"/>
        <v>45839</v>
      </c>
      <c r="G48" s="1185">
        <f t="shared" si="16"/>
        <v>45809</v>
      </c>
      <c r="H48" s="1185">
        <f t="shared" si="16"/>
        <v>45778</v>
      </c>
      <c r="I48" s="1185">
        <f t="shared" si="16"/>
        <v>45748</v>
      </c>
      <c r="J48" s="1185">
        <f t="shared" si="16"/>
        <v>45717</v>
      </c>
      <c r="K48" s="1185">
        <f t="shared" si="16"/>
        <v>45689</v>
      </c>
      <c r="L48" s="1185">
        <f t="shared" si="16"/>
        <v>45658</v>
      </c>
      <c r="M48" s="1185">
        <f t="shared" si="16"/>
        <v>45627</v>
      </c>
      <c r="N48" s="1185">
        <f t="shared" si="16"/>
        <v>45597</v>
      </c>
      <c r="O48" s="1185">
        <f t="shared" si="16"/>
        <v>45566</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15" t="s">
        <v>1770</v>
      </c>
      <c r="D4" s="3716"/>
      <c r="E4" s="3717" t="s">
        <v>1771</v>
      </c>
      <c r="F4" s="3718"/>
      <c r="G4" s="3715" t="s">
        <v>1772</v>
      </c>
      <c r="H4" s="3716"/>
      <c r="I4" s="3715" t="s">
        <v>1773</v>
      </c>
      <c r="J4" s="3716"/>
      <c r="K4" s="559" t="s">
        <v>1774</v>
      </c>
      <c r="L4" s="2715"/>
      <c r="M4" s="2716"/>
      <c r="N4" s="2716"/>
      <c r="O4" s="2716"/>
      <c r="P4" s="3719" t="s">
        <v>1775</v>
      </c>
      <c r="Q4" s="3720"/>
      <c r="R4" s="3702" t="s">
        <v>1771</v>
      </c>
      <c r="S4" s="3703"/>
      <c r="T4" s="3702" t="s">
        <v>1772</v>
      </c>
      <c r="U4" s="3703"/>
      <c r="V4" s="3727" t="s">
        <v>1773</v>
      </c>
      <c r="W4" s="3727"/>
      <c r="X4" s="1355"/>
      <c r="Y4" s="3702" t="s">
        <v>1775</v>
      </c>
      <c r="Z4" s="3703"/>
      <c r="AA4" s="3697" t="s">
        <v>1771</v>
      </c>
      <c r="AB4" s="3698" t="s">
        <v>1772</v>
      </c>
      <c r="AC4" s="3697" t="s">
        <v>1773</v>
      </c>
    </row>
    <row r="5" spans="1:30">
      <c r="A5" s="358"/>
      <c r="B5" s="359"/>
      <c r="C5" s="3708" t="s">
        <v>1673</v>
      </c>
      <c r="D5" s="3709"/>
      <c r="E5" s="3706" t="s">
        <v>1674</v>
      </c>
      <c r="F5" s="3707"/>
      <c r="G5" s="3708" t="s">
        <v>1675</v>
      </c>
      <c r="H5" s="3709"/>
      <c r="I5" s="3708" t="s">
        <v>1676</v>
      </c>
      <c r="J5" s="3709"/>
      <c r="K5" s="559"/>
      <c r="L5" s="2715"/>
      <c r="M5" s="2716"/>
      <c r="N5" s="2716"/>
      <c r="O5" s="2716"/>
      <c r="P5" s="3721"/>
      <c r="Q5" s="3722"/>
      <c r="R5" s="3704"/>
      <c r="S5" s="3705"/>
      <c r="T5" s="3704"/>
      <c r="U5" s="3705"/>
      <c r="V5" s="3727"/>
      <c r="W5" s="3727"/>
      <c r="X5" s="1355"/>
      <c r="Y5" s="3704"/>
      <c r="Z5" s="3705"/>
      <c r="AA5" s="3698"/>
      <c r="AB5" s="3698"/>
      <c r="AC5" s="3698"/>
    </row>
    <row r="6" spans="1:30" ht="15" thickBot="1">
      <c r="A6" s="360"/>
      <c r="B6" s="361"/>
      <c r="C6" s="3710" t="s">
        <v>1677</v>
      </c>
      <c r="D6" s="3711"/>
      <c r="E6" s="3712" t="s">
        <v>1677</v>
      </c>
      <c r="F6" s="3713"/>
      <c r="G6" s="3710" t="s">
        <v>1677</v>
      </c>
      <c r="H6" s="3711"/>
      <c r="I6" s="3710" t="s">
        <v>1677</v>
      </c>
      <c r="J6" s="3711"/>
      <c r="K6" s="559" t="s">
        <v>1678</v>
      </c>
      <c r="L6" s="2715"/>
      <c r="M6" s="2716"/>
      <c r="N6" s="2716"/>
      <c r="O6" s="2716"/>
      <c r="P6" s="3723"/>
      <c r="Q6" s="3724"/>
      <c r="R6" s="3704"/>
      <c r="S6" s="3705"/>
      <c r="T6" s="3725"/>
      <c r="U6" s="3726"/>
      <c r="V6" s="3727"/>
      <c r="W6" s="3727"/>
      <c r="X6" s="1355"/>
      <c r="Y6" s="3725"/>
      <c r="Z6" s="3726"/>
      <c r="AA6" s="3699"/>
      <c r="AB6" s="3699"/>
      <c r="AC6" s="3699"/>
    </row>
    <row r="7" spans="1:30" s="108" customFormat="1" ht="15" thickBot="1">
      <c r="A7" s="362" t="s">
        <v>1679</v>
      </c>
      <c r="B7" s="363"/>
      <c r="C7" s="364">
        <f>'数据-取费表'!B2</f>
        <v>45952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0" t="s">
        <v>1680</v>
      </c>
      <c r="Q7" s="3728"/>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4" t="s">
        <v>1686</v>
      </c>
      <c r="Q9" s="1343" t="str">
        <f t="shared" ref="Q9:Q15" si="6">B9</f>
        <v>用途</v>
      </c>
      <c r="R9" s="701" t="s">
        <v>14</v>
      </c>
      <c r="S9" s="702">
        <f t="shared" si="0"/>
        <v>100</v>
      </c>
      <c r="T9" s="701" t="s">
        <v>14</v>
      </c>
      <c r="U9" s="702">
        <f t="shared" si="1"/>
        <v>100</v>
      </c>
      <c r="V9" s="701" t="s">
        <v>14</v>
      </c>
      <c r="W9" s="702">
        <f t="shared" si="2"/>
        <v>100</v>
      </c>
      <c r="X9" s="703"/>
      <c r="Y9" s="3669"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100</v>
      </c>
      <c r="G10" s="414"/>
      <c r="H10" s="127">
        <f>ROUND(100/'数据-取费表'!G16,0)</f>
        <v>100</v>
      </c>
      <c r="I10" s="414"/>
      <c r="J10" s="127">
        <f>ROUND(100/'数据-取费表'!G16,0)</f>
        <v>100</v>
      </c>
      <c r="K10" s="620"/>
      <c r="L10" s="2719"/>
      <c r="M10" s="2720"/>
      <c r="N10" s="2720"/>
      <c r="O10" s="2773"/>
      <c r="P10" s="3714"/>
      <c r="Q10" s="1343" t="str">
        <f t="shared" si="6"/>
        <v>土地使用年限（年）</v>
      </c>
      <c r="R10" s="701" t="s">
        <v>14</v>
      </c>
      <c r="S10" s="702">
        <f t="shared" si="0"/>
        <v>100</v>
      </c>
      <c r="T10" s="701" t="s">
        <v>14</v>
      </c>
      <c r="U10" s="702">
        <f t="shared" si="1"/>
        <v>100</v>
      </c>
      <c r="V10" s="701" t="s">
        <v>14</v>
      </c>
      <c r="W10" s="702">
        <f t="shared" si="2"/>
        <v>100</v>
      </c>
      <c r="X10" s="703"/>
      <c r="Y10" s="3669"/>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4"/>
      <c r="Q11" s="1343" t="str">
        <f t="shared" si="6"/>
        <v>容积率</v>
      </c>
      <c r="R11" s="701" t="s">
        <v>14</v>
      </c>
      <c r="S11" s="702" t="e">
        <f t="shared" si="0"/>
        <v>#N/A</v>
      </c>
      <c r="T11" s="701" t="s">
        <v>14</v>
      </c>
      <c r="U11" s="702" t="e">
        <f t="shared" si="1"/>
        <v>#N/A</v>
      </c>
      <c r="V11" s="701" t="s">
        <v>14</v>
      </c>
      <c r="W11" s="702" t="e">
        <f t="shared" si="2"/>
        <v>#N/A</v>
      </c>
      <c r="X11" s="703"/>
      <c r="Y11" s="366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4"/>
      <c r="Q12" s="1343" t="str">
        <f t="shared" si="6"/>
        <v>配建</v>
      </c>
      <c r="R12" s="701" t="s">
        <v>14</v>
      </c>
      <c r="S12" s="702">
        <f t="shared" si="0"/>
        <v>100</v>
      </c>
      <c r="T12" s="701" t="s">
        <v>14</v>
      </c>
      <c r="U12" s="702">
        <f t="shared" si="1"/>
        <v>100</v>
      </c>
      <c r="V12" s="701" t="s">
        <v>14</v>
      </c>
      <c r="W12" s="702">
        <f t="shared" si="2"/>
        <v>100</v>
      </c>
      <c r="X12" s="703"/>
      <c r="Y12" s="366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4"/>
      <c r="Q13" s="1343">
        <f t="shared" si="6"/>
        <v>111</v>
      </c>
      <c r="R13" s="701" t="s">
        <v>14</v>
      </c>
      <c r="S13" s="702">
        <f t="shared" si="0"/>
        <v>100</v>
      </c>
      <c r="T13" s="701" t="s">
        <v>14</v>
      </c>
      <c r="U13" s="702">
        <f t="shared" si="1"/>
        <v>100</v>
      </c>
      <c r="V13" s="701" t="s">
        <v>14</v>
      </c>
      <c r="W13" s="702">
        <f t="shared" si="2"/>
        <v>100</v>
      </c>
      <c r="X13" s="703"/>
      <c r="Y13" s="3669"/>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4"/>
      <c r="Q14" s="1343">
        <f t="shared" si="6"/>
        <v>111</v>
      </c>
      <c r="R14" s="701" t="s">
        <v>14</v>
      </c>
      <c r="S14" s="702">
        <f t="shared" si="0"/>
        <v>100</v>
      </c>
      <c r="T14" s="701" t="s">
        <v>14</v>
      </c>
      <c r="U14" s="702">
        <f t="shared" si="1"/>
        <v>100</v>
      </c>
      <c r="V14" s="701" t="s">
        <v>14</v>
      </c>
      <c r="W14" s="702">
        <f t="shared" si="2"/>
        <v>100</v>
      </c>
      <c r="X14" s="703"/>
      <c r="Y14" s="3669"/>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9" t="s">
        <v>1691</v>
      </c>
      <c r="Q15" s="1352" t="str">
        <f t="shared" si="6"/>
        <v>居住社区成熟度</v>
      </c>
      <c r="R15" s="705" t="s">
        <v>14</v>
      </c>
      <c r="S15" s="706">
        <f t="shared" si="0"/>
        <v>100</v>
      </c>
      <c r="T15" s="705" t="s">
        <v>14</v>
      </c>
      <c r="U15" s="706">
        <f t="shared" si="1"/>
        <v>100</v>
      </c>
      <c r="V15" s="705" t="s">
        <v>14</v>
      </c>
      <c r="W15" s="706">
        <f t="shared" si="2"/>
        <v>100</v>
      </c>
      <c r="X15" s="1355"/>
      <c r="Y15" s="372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0"/>
      <c r="Q17" s="1352" t="str">
        <f>B17</f>
        <v>商业繁华度</v>
      </c>
      <c r="R17" s="705" t="s">
        <v>14</v>
      </c>
      <c r="S17" s="706">
        <f>F17</f>
        <v>100</v>
      </c>
      <c r="T17" s="705" t="s">
        <v>14</v>
      </c>
      <c r="U17" s="706">
        <f>H17</f>
        <v>100</v>
      </c>
      <c r="V17" s="705" t="s">
        <v>14</v>
      </c>
      <c r="W17" s="706">
        <f>J17</f>
        <v>100</v>
      </c>
      <c r="X17" s="1355"/>
      <c r="Y17" s="373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0"/>
      <c r="Q19" s="1352" t="str">
        <f>B19</f>
        <v>办公集聚程度</v>
      </c>
      <c r="R19" s="705" t="s">
        <v>14</v>
      </c>
      <c r="S19" s="706">
        <f>F19</f>
        <v>100</v>
      </c>
      <c r="T19" s="705" t="s">
        <v>14</v>
      </c>
      <c r="U19" s="706">
        <f>H19</f>
        <v>100</v>
      </c>
      <c r="V19" s="705" t="s">
        <v>14</v>
      </c>
      <c r="W19" s="706">
        <f>J19</f>
        <v>100</v>
      </c>
      <c r="X19" s="1355"/>
      <c r="Y19" s="373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0"/>
      <c r="Q20" s="1352"/>
      <c r="R20" s="705"/>
      <c r="S20" s="706"/>
      <c r="T20" s="705"/>
      <c r="U20" s="706"/>
      <c r="V20" s="705"/>
      <c r="W20" s="706"/>
      <c r="X20" s="1355"/>
      <c r="Y20" s="3730"/>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0"/>
      <c r="Q21" s="1352" t="str">
        <f>B21</f>
        <v>交通便捷度</v>
      </c>
      <c r="R21" s="705" t="s">
        <v>14</v>
      </c>
      <c r="S21" s="706">
        <f>F21</f>
        <v>100</v>
      </c>
      <c r="T21" s="705" t="s">
        <v>14</v>
      </c>
      <c r="U21" s="706">
        <f>H21</f>
        <v>100</v>
      </c>
      <c r="V21" s="705" t="s">
        <v>14</v>
      </c>
      <c r="W21" s="706">
        <f>J21</f>
        <v>100</v>
      </c>
      <c r="X21" s="1355"/>
      <c r="Y21" s="373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0"/>
      <c r="Q23" s="1352" t="str">
        <f t="shared" ref="Q23:Q37" si="8">B23</f>
        <v>区域土地利用方向</v>
      </c>
      <c r="R23" s="705" t="s">
        <v>14</v>
      </c>
      <c r="S23" s="706">
        <f>F23</f>
        <v>100</v>
      </c>
      <c r="T23" s="705" t="s">
        <v>14</v>
      </c>
      <c r="U23" s="706">
        <f>H23</f>
        <v>100</v>
      </c>
      <c r="V23" s="705" t="s">
        <v>14</v>
      </c>
      <c r="W23" s="706">
        <f>J23</f>
        <v>100</v>
      </c>
      <c r="X23" s="1355"/>
      <c r="Y23" s="373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0"/>
      <c r="Q24" s="1352"/>
      <c r="R24" s="705"/>
      <c r="S24" s="706"/>
      <c r="T24" s="705"/>
      <c r="U24" s="706"/>
      <c r="V24" s="705"/>
      <c r="W24" s="706"/>
      <c r="X24" s="1355"/>
      <c r="Y24" s="3730"/>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0"/>
      <c r="Q25" s="1352" t="str">
        <f t="shared" si="8"/>
        <v>自然及人文环境状况</v>
      </c>
      <c r="R25" s="705" t="s">
        <v>14</v>
      </c>
      <c r="S25" s="706">
        <f>F25</f>
        <v>100</v>
      </c>
      <c r="T25" s="705" t="s">
        <v>14</v>
      </c>
      <c r="U25" s="706">
        <f>H25</f>
        <v>100</v>
      </c>
      <c r="V25" s="705" t="s">
        <v>14</v>
      </c>
      <c r="W25" s="706">
        <f>J25</f>
        <v>100</v>
      </c>
      <c r="X25" s="1355"/>
      <c r="Y25" s="373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0"/>
      <c r="Q26" s="1352"/>
      <c r="R26" s="705"/>
      <c r="S26" s="706"/>
      <c r="T26" s="705"/>
      <c r="U26" s="706"/>
      <c r="V26" s="705"/>
      <c r="W26" s="706"/>
      <c r="X26" s="1355"/>
      <c r="Y26" s="3730"/>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0"/>
      <c r="Q27" s="1343" t="str">
        <f t="shared" si="8"/>
        <v>公共配套设施</v>
      </c>
      <c r="R27" s="701" t="s">
        <v>14</v>
      </c>
      <c r="S27" s="702">
        <f>F27</f>
        <v>100</v>
      </c>
      <c r="T27" s="701" t="s">
        <v>14</v>
      </c>
      <c r="U27" s="702">
        <f>H27</f>
        <v>100</v>
      </c>
      <c r="V27" s="701" t="s">
        <v>14</v>
      </c>
      <c r="W27" s="702">
        <f>J27</f>
        <v>100</v>
      </c>
      <c r="X27" s="703"/>
      <c r="Y27" s="373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0"/>
      <c r="Q28" s="1343"/>
      <c r="R28" s="701"/>
      <c r="S28" s="702"/>
      <c r="T28" s="701"/>
      <c r="U28" s="702"/>
      <c r="V28" s="701"/>
      <c r="W28" s="702"/>
      <c r="X28" s="703"/>
      <c r="Y28" s="3730"/>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0"/>
      <c r="Q29" s="1343" t="str">
        <f t="shared" ref="Q29" si="9">B29</f>
        <v>基础设施水平</v>
      </c>
      <c r="R29" s="701" t="s">
        <v>14</v>
      </c>
      <c r="S29" s="702">
        <f>F29</f>
        <v>100</v>
      </c>
      <c r="T29" s="701" t="s">
        <v>14</v>
      </c>
      <c r="U29" s="702">
        <f>H29</f>
        <v>100</v>
      </c>
      <c r="V29" s="701" t="s">
        <v>14</v>
      </c>
      <c r="W29" s="702">
        <f>J29</f>
        <v>100</v>
      </c>
      <c r="X29" s="703"/>
      <c r="Y29" s="373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0"/>
      <c r="Q30" s="1343"/>
      <c r="R30" s="701"/>
      <c r="S30" s="702"/>
      <c r="T30" s="701"/>
      <c r="U30" s="702"/>
      <c r="V30" s="701"/>
      <c r="W30" s="702"/>
      <c r="X30" s="703"/>
      <c r="Y30" s="373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0"/>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0"/>
      <c r="Q32" s="1352" t="str">
        <f t="shared" si="8"/>
        <v>毗邻道路的类型与等级</v>
      </c>
      <c r="R32" s="705" t="s">
        <v>14</v>
      </c>
      <c r="S32" s="706">
        <f t="shared" si="10"/>
        <v>100</v>
      </c>
      <c r="T32" s="705" t="s">
        <v>14</v>
      </c>
      <c r="U32" s="706">
        <f t="shared" si="11"/>
        <v>100</v>
      </c>
      <c r="V32" s="705" t="s">
        <v>14</v>
      </c>
      <c r="W32" s="706">
        <f t="shared" si="12"/>
        <v>100</v>
      </c>
      <c r="X32" s="1355"/>
      <c r="Y32" s="373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0"/>
      <c r="Q33" s="1352"/>
      <c r="R33" s="705"/>
      <c r="S33" s="706"/>
      <c r="T33" s="705"/>
      <c r="U33" s="706"/>
      <c r="V33" s="705"/>
      <c r="W33" s="706"/>
      <c r="X33" s="1355"/>
      <c r="Y33" s="373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0"/>
      <c r="Q34" s="1352" t="str">
        <f t="shared" si="8"/>
        <v>土地级别</v>
      </c>
      <c r="R34" s="705" t="s">
        <v>14</v>
      </c>
      <c r="S34" s="706">
        <f t="shared" si="10"/>
        <v>100</v>
      </c>
      <c r="T34" s="705" t="s">
        <v>14</v>
      </c>
      <c r="U34" s="706">
        <f t="shared" si="11"/>
        <v>100</v>
      </c>
      <c r="V34" s="705" t="s">
        <v>14</v>
      </c>
      <c r="W34" s="706">
        <f t="shared" si="12"/>
        <v>100</v>
      </c>
      <c r="X34" s="1355"/>
      <c r="Y34" s="373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0"/>
      <c r="Q35" s="1352">
        <f t="shared" si="8"/>
        <v>111</v>
      </c>
      <c r="R35" s="705" t="s">
        <v>14</v>
      </c>
      <c r="S35" s="706">
        <f t="shared" si="10"/>
        <v>100</v>
      </c>
      <c r="T35" s="705" t="s">
        <v>14</v>
      </c>
      <c r="U35" s="706">
        <f t="shared" si="11"/>
        <v>100</v>
      </c>
      <c r="V35" s="705" t="s">
        <v>14</v>
      </c>
      <c r="W35" s="706">
        <f t="shared" si="12"/>
        <v>100</v>
      </c>
      <c r="X35" s="1355"/>
      <c r="Y35" s="373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1" t="s">
        <v>1696</v>
      </c>
      <c r="Q36" s="1352">
        <f t="shared" si="8"/>
        <v>111</v>
      </c>
      <c r="R36" s="705" t="s">
        <v>14</v>
      </c>
      <c r="S36" s="706">
        <f t="shared" si="10"/>
        <v>100</v>
      </c>
      <c r="T36" s="705" t="s">
        <v>14</v>
      </c>
      <c r="U36" s="706">
        <f t="shared" si="11"/>
        <v>100</v>
      </c>
      <c r="V36" s="705" t="s">
        <v>14</v>
      </c>
      <c r="W36" s="706">
        <f t="shared" si="12"/>
        <v>100</v>
      </c>
      <c r="X36" s="1355"/>
      <c r="Y36" s="3732"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2"/>
      <c r="Q37" s="1352">
        <f t="shared" si="8"/>
        <v>111</v>
      </c>
      <c r="R37" s="708" t="s">
        <v>14</v>
      </c>
      <c r="S37" s="709">
        <f t="shared" si="10"/>
        <v>100</v>
      </c>
      <c r="T37" s="708" t="s">
        <v>14</v>
      </c>
      <c r="U37" s="709">
        <f t="shared" si="11"/>
        <v>100</v>
      </c>
      <c r="V37" s="708" t="s">
        <v>14</v>
      </c>
      <c r="W37" s="709">
        <f t="shared" si="12"/>
        <v>100</v>
      </c>
      <c r="X37" s="710"/>
      <c r="Y37" s="3732"/>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2"/>
      <c r="Q38" s="1352" t="str">
        <f>B38</f>
        <v>宗地面积</v>
      </c>
      <c r="R38" s="705" t="s">
        <v>14</v>
      </c>
      <c r="S38" s="706" t="e">
        <f t="shared" si="10"/>
        <v>#N/A</v>
      </c>
      <c r="T38" s="705" t="s">
        <v>14</v>
      </c>
      <c r="U38" s="706" t="e">
        <f t="shared" si="11"/>
        <v>#N/A</v>
      </c>
      <c r="V38" s="705" t="s">
        <v>14</v>
      </c>
      <c r="W38" s="706" t="e">
        <f t="shared" si="12"/>
        <v>#N/A</v>
      </c>
      <c r="X38" s="1355"/>
      <c r="Y38" s="373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2"/>
      <c r="Q39" s="1352" t="str">
        <f t="shared" ref="Q39:Q45" si="14">B39</f>
        <v>宗地形状</v>
      </c>
      <c r="R39" s="705" t="s">
        <v>14</v>
      </c>
      <c r="S39" s="706">
        <f t="shared" si="10"/>
        <v>100</v>
      </c>
      <c r="T39" s="705" t="s">
        <v>14</v>
      </c>
      <c r="U39" s="706">
        <f t="shared" si="11"/>
        <v>100</v>
      </c>
      <c r="V39" s="705" t="s">
        <v>14</v>
      </c>
      <c r="W39" s="706">
        <f t="shared" si="12"/>
        <v>100</v>
      </c>
      <c r="X39" s="1355"/>
      <c r="Y39" s="373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2"/>
      <c r="Q40" s="1352" t="str">
        <f t="shared" si="14"/>
        <v>临街宽度及深度</v>
      </c>
      <c r="R40" s="705" t="s">
        <v>14</v>
      </c>
      <c r="S40" s="706">
        <f t="shared" si="10"/>
        <v>100</v>
      </c>
      <c r="T40" s="705" t="s">
        <v>14</v>
      </c>
      <c r="U40" s="706">
        <f t="shared" si="11"/>
        <v>100</v>
      </c>
      <c r="V40" s="705" t="s">
        <v>14</v>
      </c>
      <c r="W40" s="706">
        <f t="shared" si="12"/>
        <v>100</v>
      </c>
      <c r="X40" s="1355"/>
      <c r="Y40" s="373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2"/>
      <c r="Q41" s="1352" t="str">
        <f t="shared" si="14"/>
        <v>宗地开发程度</v>
      </c>
      <c r="R41" s="701" t="s">
        <v>14</v>
      </c>
      <c r="S41" s="702">
        <f t="shared" si="10"/>
        <v>100</v>
      </c>
      <c r="T41" s="701" t="s">
        <v>14</v>
      </c>
      <c r="U41" s="702">
        <f t="shared" si="11"/>
        <v>100</v>
      </c>
      <c r="V41" s="701" t="s">
        <v>14</v>
      </c>
      <c r="W41" s="702">
        <f t="shared" si="12"/>
        <v>100</v>
      </c>
      <c r="X41" s="703"/>
      <c r="Y41" s="373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2" t="s">
        <v>1696</v>
      </c>
      <c r="Q42" s="1352" t="str">
        <f t="shared" si="14"/>
        <v>工程地质条件</v>
      </c>
      <c r="R42" s="705" t="s">
        <v>14</v>
      </c>
      <c r="S42" s="706">
        <f t="shared" si="10"/>
        <v>100</v>
      </c>
      <c r="T42" s="705" t="s">
        <v>14</v>
      </c>
      <c r="U42" s="706">
        <f t="shared" si="11"/>
        <v>100</v>
      </c>
      <c r="V42" s="705" t="s">
        <v>14</v>
      </c>
      <c r="W42" s="706">
        <f t="shared" si="12"/>
        <v>100</v>
      </c>
      <c r="X42" s="1355"/>
      <c r="Y42" s="373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2"/>
      <c r="Q43" s="1352">
        <f t="shared" si="14"/>
        <v>111</v>
      </c>
      <c r="R43" s="705" t="s">
        <v>14</v>
      </c>
      <c r="S43" s="706">
        <f t="shared" si="10"/>
        <v>100</v>
      </c>
      <c r="T43" s="705" t="s">
        <v>14</v>
      </c>
      <c r="U43" s="706">
        <f t="shared" si="11"/>
        <v>100</v>
      </c>
      <c r="V43" s="705" t="s">
        <v>14</v>
      </c>
      <c r="W43" s="706">
        <f t="shared" si="12"/>
        <v>100</v>
      </c>
      <c r="X43" s="1355"/>
      <c r="Y43" s="373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2"/>
      <c r="Q44" s="1352">
        <f t="shared" si="14"/>
        <v>111</v>
      </c>
      <c r="R44" s="705" t="s">
        <v>14</v>
      </c>
      <c r="S44" s="706">
        <f t="shared" si="10"/>
        <v>100</v>
      </c>
      <c r="T44" s="705" t="s">
        <v>14</v>
      </c>
      <c r="U44" s="706">
        <f t="shared" si="11"/>
        <v>100</v>
      </c>
      <c r="V44" s="705" t="s">
        <v>14</v>
      </c>
      <c r="W44" s="706">
        <f t="shared" si="12"/>
        <v>100</v>
      </c>
      <c r="X44" s="1355"/>
      <c r="Y44" s="3732"/>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2"/>
      <c r="Q45" s="1352">
        <f t="shared" si="14"/>
        <v>111</v>
      </c>
      <c r="R45" s="708" t="s">
        <v>14</v>
      </c>
      <c r="S45" s="709">
        <f t="shared" si="10"/>
        <v>100</v>
      </c>
      <c r="T45" s="708" t="s">
        <v>14</v>
      </c>
      <c r="U45" s="709">
        <f t="shared" si="11"/>
        <v>100</v>
      </c>
      <c r="V45" s="708" t="s">
        <v>14</v>
      </c>
      <c r="W45" s="709">
        <f t="shared" si="12"/>
        <v>100</v>
      </c>
      <c r="X45" s="710"/>
      <c r="Y45" s="3732"/>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14" t="str">
        <f>A46</f>
        <v>成交单价</v>
      </c>
      <c r="Q46" s="3714"/>
      <c r="R46" s="3727">
        <f>E46</f>
        <v>0</v>
      </c>
      <c r="S46" s="3727"/>
      <c r="T46" s="3727">
        <f>G46</f>
        <v>0</v>
      </c>
      <c r="U46" s="3727"/>
      <c r="V46" s="3727">
        <f>I46</f>
        <v>0</v>
      </c>
      <c r="W46" s="3727"/>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4" t="str">
        <f>A47</f>
        <v>比较价值（元/平方米）</v>
      </c>
      <c r="Q47" s="3714"/>
      <c r="R47" s="3805" t="e">
        <f>ROUND(PRODUCT(R46,AA7:AA45),0)</f>
        <v>#DIV/0!</v>
      </c>
      <c r="S47" s="3805"/>
      <c r="T47" s="3805" t="e">
        <f>ROUND(PRODUCT(T46,AB7:AB45),0)</f>
        <v>#DIV/0!</v>
      </c>
      <c r="U47" s="3805"/>
      <c r="V47" s="3805" t="e">
        <f>ROUND(PRODUCT(V46,AC7:AC45),0)</f>
        <v>#DIV/0!</v>
      </c>
      <c r="W47" s="3805"/>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34" t="str">
        <f>A48</f>
        <v>估价对象XX用房的比较价值（楼面单价，元/平方米）</v>
      </c>
      <c r="Q48" s="3735"/>
      <c r="R48" s="3806" t="e">
        <f>ROUND(IF(D47="简单平均",AVERAGE(R47:W47),R47*F47+T47*H47+V47*J47),0)</f>
        <v>#DIV/0!</v>
      </c>
      <c r="S48" s="3806"/>
      <c r="T48" s="3806"/>
      <c r="U48" s="3806"/>
      <c r="V48" s="3806"/>
      <c r="W48" s="380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5" t="s">
        <v>1887</v>
      </c>
      <c r="H55" s="380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16683.080000000002</v>
      </c>
      <c r="F56" s="886" t="e">
        <f t="shared" ref="F56:F64" si="15">ROUND(B56*E56/10000,0)</f>
        <v>#DIV/0!</v>
      </c>
      <c r="G56" s="3782"/>
      <c r="H56" s="371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16683.080000000002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2025-10-1</v>
      </c>
      <c r="D67" s="692">
        <f>EDATE(C67,-3)</f>
        <v>45839</v>
      </c>
      <c r="E67" s="692">
        <f>EDATE(D67,-3)</f>
        <v>45748</v>
      </c>
      <c r="F67" s="692">
        <f t="shared" ref="F67:O67" si="18">EDATE(E67,-3)</f>
        <v>45658</v>
      </c>
      <c r="G67" s="692">
        <f t="shared" si="18"/>
        <v>45566</v>
      </c>
      <c r="H67" s="692">
        <f t="shared" si="18"/>
        <v>45474</v>
      </c>
      <c r="I67" s="692">
        <f t="shared" si="18"/>
        <v>45383</v>
      </c>
      <c r="J67" s="692">
        <f t="shared" si="18"/>
        <v>45292</v>
      </c>
      <c r="K67" s="692">
        <f t="shared" si="18"/>
        <v>45200</v>
      </c>
      <c r="L67" s="692">
        <f t="shared" si="18"/>
        <v>45108</v>
      </c>
      <c r="M67" s="692">
        <f t="shared" si="18"/>
        <v>45017</v>
      </c>
      <c r="N67" s="692">
        <f t="shared" si="18"/>
        <v>44927</v>
      </c>
      <c r="O67" s="692">
        <f t="shared" si="18"/>
        <v>44835</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5" t="s">
        <v>1770</v>
      </c>
      <c r="D4" s="3716"/>
      <c r="E4" s="3717" t="s">
        <v>1771</v>
      </c>
      <c r="F4" s="3718"/>
      <c r="G4" s="3715" t="s">
        <v>1772</v>
      </c>
      <c r="H4" s="3716"/>
      <c r="I4" s="3715" t="s">
        <v>1773</v>
      </c>
      <c r="J4" s="3716"/>
      <c r="K4" s="559" t="s">
        <v>1774</v>
      </c>
      <c r="L4" s="2715"/>
      <c r="M4" s="2716"/>
      <c r="N4" s="2716"/>
      <c r="O4" s="2716"/>
      <c r="P4" s="3719" t="s">
        <v>1775</v>
      </c>
      <c r="Q4" s="3720"/>
      <c r="R4" s="3702" t="s">
        <v>1771</v>
      </c>
      <c r="S4" s="3703"/>
      <c r="T4" s="3702" t="s">
        <v>1772</v>
      </c>
      <c r="U4" s="3703"/>
      <c r="V4" s="3727" t="s">
        <v>1773</v>
      </c>
      <c r="W4" s="3727"/>
      <c r="X4" s="1355"/>
      <c r="Y4" s="3702" t="s">
        <v>1775</v>
      </c>
      <c r="Z4" s="3703"/>
      <c r="AA4" s="3697" t="s">
        <v>1771</v>
      </c>
      <c r="AB4" s="3698" t="s">
        <v>1772</v>
      </c>
      <c r="AC4" s="3697" t="s">
        <v>1773</v>
      </c>
    </row>
    <row r="5" spans="1:29">
      <c r="A5" s="358"/>
      <c r="B5" s="359"/>
      <c r="C5" s="3708" t="s">
        <v>1673</v>
      </c>
      <c r="D5" s="3709"/>
      <c r="E5" s="3706" t="s">
        <v>1674</v>
      </c>
      <c r="F5" s="3707"/>
      <c r="G5" s="3708" t="s">
        <v>1675</v>
      </c>
      <c r="H5" s="3709"/>
      <c r="I5" s="3708" t="s">
        <v>1676</v>
      </c>
      <c r="J5" s="3709"/>
      <c r="K5" s="559"/>
      <c r="L5" s="2715"/>
      <c r="M5" s="2716"/>
      <c r="N5" s="2716"/>
      <c r="O5" s="2716"/>
      <c r="P5" s="3721"/>
      <c r="Q5" s="3722"/>
      <c r="R5" s="3704"/>
      <c r="S5" s="3705"/>
      <c r="T5" s="3704"/>
      <c r="U5" s="3705"/>
      <c r="V5" s="3727"/>
      <c r="W5" s="3727"/>
      <c r="X5" s="1355"/>
      <c r="Y5" s="3704"/>
      <c r="Z5" s="3705"/>
      <c r="AA5" s="3698"/>
      <c r="AB5" s="3698"/>
      <c r="AC5" s="3698"/>
    </row>
    <row r="6" spans="1:29" ht="15" thickBot="1">
      <c r="A6" s="360"/>
      <c r="B6" s="361"/>
      <c r="C6" s="3808" t="s">
        <v>1919</v>
      </c>
      <c r="D6" s="3809"/>
      <c r="E6" s="3810" t="s">
        <v>1919</v>
      </c>
      <c r="F6" s="3811"/>
      <c r="G6" s="3808" t="s">
        <v>1919</v>
      </c>
      <c r="H6" s="3809"/>
      <c r="I6" s="3808" t="s">
        <v>1919</v>
      </c>
      <c r="J6" s="3809"/>
      <c r="K6" s="559" t="s">
        <v>1678</v>
      </c>
      <c r="L6" s="2715"/>
      <c r="M6" s="2716"/>
      <c r="N6" s="2716"/>
      <c r="O6" s="2716"/>
      <c r="P6" s="3723"/>
      <c r="Q6" s="3724"/>
      <c r="R6" s="3704"/>
      <c r="S6" s="3705"/>
      <c r="T6" s="3725"/>
      <c r="U6" s="3726"/>
      <c r="V6" s="3727"/>
      <c r="W6" s="3727"/>
      <c r="X6" s="1355"/>
      <c r="Y6" s="3725"/>
      <c r="Z6" s="3726"/>
      <c r="AA6" s="3699"/>
      <c r="AB6" s="3699"/>
      <c r="AC6" s="3699"/>
    </row>
    <row r="7" spans="1:29" s="108" customFormat="1" ht="15" thickBot="1">
      <c r="A7" s="362" t="s">
        <v>1679</v>
      </c>
      <c r="B7" s="363"/>
      <c r="C7" s="364">
        <f>'数据-取费表'!B2</f>
        <v>45952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0" t="s">
        <v>1680</v>
      </c>
      <c r="Q7" s="3728"/>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4" t="s">
        <v>1686</v>
      </c>
      <c r="Q9" s="1343" t="str">
        <f t="shared" ref="Q9:Q15" si="6">B9</f>
        <v>用途</v>
      </c>
      <c r="R9" s="701" t="s">
        <v>14</v>
      </c>
      <c r="S9" s="702">
        <f t="shared" si="0"/>
        <v>100</v>
      </c>
      <c r="T9" s="701" t="s">
        <v>14</v>
      </c>
      <c r="U9" s="702">
        <f t="shared" si="1"/>
        <v>100</v>
      </c>
      <c r="V9" s="701" t="s">
        <v>14</v>
      </c>
      <c r="W9" s="702">
        <f t="shared" si="2"/>
        <v>100</v>
      </c>
      <c r="X9" s="703"/>
      <c r="Y9" s="3669"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100</v>
      </c>
      <c r="G10" s="383"/>
      <c r="H10" s="127">
        <f>ROUND(100/'数据-取费表'!G16,0)</f>
        <v>100</v>
      </c>
      <c r="I10" s="383"/>
      <c r="J10" s="127">
        <f>ROUND(100/'数据-取费表'!G16,0)</f>
        <v>100</v>
      </c>
      <c r="K10" s="620"/>
      <c r="L10" s="2719"/>
      <c r="M10" s="2720"/>
      <c r="N10" s="2720"/>
      <c r="O10" s="2773"/>
      <c r="P10" s="3714"/>
      <c r="Q10" s="1343" t="str">
        <f t="shared" si="6"/>
        <v>土地使用年限（年）</v>
      </c>
      <c r="R10" s="701" t="s">
        <v>14</v>
      </c>
      <c r="S10" s="702">
        <f t="shared" si="0"/>
        <v>100</v>
      </c>
      <c r="T10" s="701" t="s">
        <v>14</v>
      </c>
      <c r="U10" s="702">
        <f t="shared" si="1"/>
        <v>100</v>
      </c>
      <c r="V10" s="701" t="s">
        <v>14</v>
      </c>
      <c r="W10" s="702">
        <f t="shared" si="2"/>
        <v>100</v>
      </c>
      <c r="X10" s="703"/>
      <c r="Y10" s="3669"/>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4"/>
      <c r="Q11" s="1343" t="str">
        <f t="shared" si="6"/>
        <v>容积率</v>
      </c>
      <c r="R11" s="701" t="s">
        <v>14</v>
      </c>
      <c r="S11" s="702" t="e">
        <f t="shared" si="0"/>
        <v>#N/A</v>
      </c>
      <c r="T11" s="701" t="s">
        <v>14</v>
      </c>
      <c r="U11" s="702" t="e">
        <f t="shared" si="1"/>
        <v>#N/A</v>
      </c>
      <c r="V11" s="701" t="s">
        <v>14</v>
      </c>
      <c r="W11" s="702" t="e">
        <f t="shared" si="2"/>
        <v>#N/A</v>
      </c>
      <c r="X11" s="703"/>
      <c r="Y11" s="366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4"/>
      <c r="Q12" s="1343">
        <f t="shared" si="6"/>
        <v>111</v>
      </c>
      <c r="R12" s="701" t="s">
        <v>14</v>
      </c>
      <c r="S12" s="702">
        <f t="shared" si="0"/>
        <v>100</v>
      </c>
      <c r="T12" s="701" t="s">
        <v>14</v>
      </c>
      <c r="U12" s="702">
        <f t="shared" si="1"/>
        <v>100</v>
      </c>
      <c r="V12" s="701" t="s">
        <v>14</v>
      </c>
      <c r="W12" s="702">
        <f t="shared" si="2"/>
        <v>100</v>
      </c>
      <c r="X12" s="703"/>
      <c r="Y12" s="366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4"/>
      <c r="Q13" s="1343">
        <f t="shared" si="6"/>
        <v>111</v>
      </c>
      <c r="R13" s="701" t="s">
        <v>14</v>
      </c>
      <c r="S13" s="702">
        <f t="shared" si="0"/>
        <v>100</v>
      </c>
      <c r="T13" s="701" t="s">
        <v>14</v>
      </c>
      <c r="U13" s="702">
        <f t="shared" si="1"/>
        <v>100</v>
      </c>
      <c r="V13" s="701" t="s">
        <v>14</v>
      </c>
      <c r="W13" s="702">
        <f t="shared" si="2"/>
        <v>100</v>
      </c>
      <c r="X13" s="703"/>
      <c r="Y13" s="3669"/>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4"/>
      <c r="Q14" s="1343">
        <f t="shared" si="6"/>
        <v>111</v>
      </c>
      <c r="R14" s="701" t="s">
        <v>14</v>
      </c>
      <c r="S14" s="702">
        <f t="shared" si="0"/>
        <v>100</v>
      </c>
      <c r="T14" s="701" t="s">
        <v>14</v>
      </c>
      <c r="U14" s="702">
        <f t="shared" si="1"/>
        <v>100</v>
      </c>
      <c r="V14" s="701" t="s">
        <v>14</v>
      </c>
      <c r="W14" s="702">
        <f t="shared" si="2"/>
        <v>100</v>
      </c>
      <c r="X14" s="703"/>
      <c r="Y14" s="3669"/>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0"/>
      <c r="Q19" s="1352" t="str">
        <f t="shared" ref="Q19:Q33" si="8">B19</f>
        <v>区域土地利用方向</v>
      </c>
      <c r="R19" s="705" t="s">
        <v>14</v>
      </c>
      <c r="S19" s="706">
        <f>F19</f>
        <v>100</v>
      </c>
      <c r="T19" s="705" t="s">
        <v>14</v>
      </c>
      <c r="U19" s="706">
        <f>H19</f>
        <v>100</v>
      </c>
      <c r="V19" s="705" t="s">
        <v>14</v>
      </c>
      <c r="W19" s="706">
        <f>J19</f>
        <v>100</v>
      </c>
      <c r="X19" s="1355"/>
      <c r="Y19" s="373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0"/>
      <c r="Q20" s="1352"/>
      <c r="R20" s="705"/>
      <c r="S20" s="706"/>
      <c r="T20" s="705"/>
      <c r="U20" s="706"/>
      <c r="V20" s="705"/>
      <c r="W20" s="706"/>
      <c r="X20" s="1355"/>
      <c r="Y20" s="3730"/>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0"/>
      <c r="Q21" s="1352" t="str">
        <f t="shared" si="8"/>
        <v>环境状况</v>
      </c>
      <c r="R21" s="705" t="s">
        <v>14</v>
      </c>
      <c r="S21" s="706">
        <f>F21</f>
        <v>100</v>
      </c>
      <c r="T21" s="705" t="s">
        <v>14</v>
      </c>
      <c r="U21" s="706">
        <f>H21</f>
        <v>100</v>
      </c>
      <c r="V21" s="705" t="s">
        <v>14</v>
      </c>
      <c r="W21" s="706">
        <f>J21</f>
        <v>100</v>
      </c>
      <c r="X21" s="1355"/>
      <c r="Y21" s="373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0"/>
      <c r="Q23" s="1343" t="str">
        <f t="shared" si="8"/>
        <v>公共配套设施</v>
      </c>
      <c r="R23" s="701" t="s">
        <v>14</v>
      </c>
      <c r="S23" s="702">
        <f>F23</f>
        <v>100</v>
      </c>
      <c r="T23" s="701" t="s">
        <v>14</v>
      </c>
      <c r="U23" s="702">
        <f>H23</f>
        <v>100</v>
      </c>
      <c r="V23" s="701" t="s">
        <v>14</v>
      </c>
      <c r="W23" s="702">
        <f>J23</f>
        <v>100</v>
      </c>
      <c r="X23" s="703"/>
      <c r="Y23" s="373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0"/>
      <c r="Q24" s="1343"/>
      <c r="R24" s="701"/>
      <c r="S24" s="702"/>
      <c r="T24" s="701"/>
      <c r="U24" s="702"/>
      <c r="V24" s="701"/>
      <c r="W24" s="702"/>
      <c r="X24" s="703"/>
      <c r="Y24" s="3730"/>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0"/>
      <c r="Q25" s="1343" t="str">
        <f t="shared" ref="Q25" si="9">B25</f>
        <v>基础设施水平</v>
      </c>
      <c r="R25" s="701" t="s">
        <v>14</v>
      </c>
      <c r="S25" s="702">
        <f>F25</f>
        <v>100</v>
      </c>
      <c r="T25" s="701" t="s">
        <v>14</v>
      </c>
      <c r="U25" s="702">
        <f>H25</f>
        <v>100</v>
      </c>
      <c r="V25" s="701" t="s">
        <v>14</v>
      </c>
      <c r="W25" s="702">
        <f>J25</f>
        <v>100</v>
      </c>
      <c r="X25" s="703"/>
      <c r="Y25" s="373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0"/>
      <c r="Q26" s="1343"/>
      <c r="R26" s="701"/>
      <c r="S26" s="702"/>
      <c r="T26" s="701"/>
      <c r="U26" s="702"/>
      <c r="V26" s="701"/>
      <c r="W26" s="702"/>
      <c r="X26" s="703"/>
      <c r="Y26" s="373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0"/>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0"/>
      <c r="Q28" s="1352" t="str">
        <f t="shared" si="8"/>
        <v>毗邻道路的类型与等级</v>
      </c>
      <c r="R28" s="705" t="s">
        <v>14</v>
      </c>
      <c r="S28" s="706">
        <f t="shared" si="10"/>
        <v>100</v>
      </c>
      <c r="T28" s="705" t="s">
        <v>14</v>
      </c>
      <c r="U28" s="706">
        <f t="shared" si="11"/>
        <v>100</v>
      </c>
      <c r="V28" s="705" t="s">
        <v>14</v>
      </c>
      <c r="W28" s="706">
        <f t="shared" si="12"/>
        <v>100</v>
      </c>
      <c r="X28" s="1355"/>
      <c r="Y28" s="373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0"/>
      <c r="Q29" s="1352"/>
      <c r="R29" s="705"/>
      <c r="S29" s="706"/>
      <c r="T29" s="705"/>
      <c r="U29" s="706"/>
      <c r="V29" s="705"/>
      <c r="W29" s="706"/>
      <c r="X29" s="1355"/>
      <c r="Y29" s="373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0"/>
      <c r="Q30" s="1352" t="str">
        <f t="shared" si="8"/>
        <v>土地级别</v>
      </c>
      <c r="R30" s="705" t="s">
        <v>14</v>
      </c>
      <c r="S30" s="706">
        <f t="shared" si="10"/>
        <v>100</v>
      </c>
      <c r="T30" s="705" t="s">
        <v>14</v>
      </c>
      <c r="U30" s="706">
        <f t="shared" si="11"/>
        <v>100</v>
      </c>
      <c r="V30" s="705" t="s">
        <v>14</v>
      </c>
      <c r="W30" s="706">
        <f t="shared" si="12"/>
        <v>100</v>
      </c>
      <c r="X30" s="1355"/>
      <c r="Y30" s="373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0"/>
      <c r="Q31" s="1352">
        <f t="shared" si="8"/>
        <v>111</v>
      </c>
      <c r="R31" s="705" t="s">
        <v>14</v>
      </c>
      <c r="S31" s="706">
        <f t="shared" si="10"/>
        <v>100</v>
      </c>
      <c r="T31" s="705" t="s">
        <v>14</v>
      </c>
      <c r="U31" s="706">
        <f t="shared" si="11"/>
        <v>100</v>
      </c>
      <c r="V31" s="705" t="s">
        <v>14</v>
      </c>
      <c r="W31" s="706">
        <f t="shared" si="12"/>
        <v>100</v>
      </c>
      <c r="X31" s="1355"/>
      <c r="Y31" s="373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1" t="s">
        <v>1696</v>
      </c>
      <c r="Q32" s="1352">
        <f t="shared" si="8"/>
        <v>111</v>
      </c>
      <c r="R32" s="705" t="s">
        <v>14</v>
      </c>
      <c r="S32" s="706">
        <f t="shared" si="10"/>
        <v>100</v>
      </c>
      <c r="T32" s="705" t="s">
        <v>14</v>
      </c>
      <c r="U32" s="706">
        <f t="shared" si="11"/>
        <v>100</v>
      </c>
      <c r="V32" s="705" t="s">
        <v>14</v>
      </c>
      <c r="W32" s="706">
        <f t="shared" si="12"/>
        <v>100</v>
      </c>
      <c r="X32" s="1355"/>
      <c r="Y32" s="3732"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2"/>
      <c r="Q33" s="1352">
        <f t="shared" si="8"/>
        <v>111</v>
      </c>
      <c r="R33" s="708" t="s">
        <v>14</v>
      </c>
      <c r="S33" s="709">
        <f t="shared" si="10"/>
        <v>100</v>
      </c>
      <c r="T33" s="708" t="s">
        <v>14</v>
      </c>
      <c r="U33" s="709">
        <f t="shared" si="11"/>
        <v>100</v>
      </c>
      <c r="V33" s="708" t="s">
        <v>14</v>
      </c>
      <c r="W33" s="709">
        <f t="shared" si="12"/>
        <v>100</v>
      </c>
      <c r="X33" s="710"/>
      <c r="Y33" s="373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2"/>
      <c r="Q34" s="1352" t="str">
        <f>B34</f>
        <v>宗地面积</v>
      </c>
      <c r="R34" s="705" t="s">
        <v>14</v>
      </c>
      <c r="S34" s="706" t="e">
        <f t="shared" si="10"/>
        <v>#N/A</v>
      </c>
      <c r="T34" s="705" t="s">
        <v>14</v>
      </c>
      <c r="U34" s="706" t="e">
        <f t="shared" si="11"/>
        <v>#N/A</v>
      </c>
      <c r="V34" s="705" t="s">
        <v>14</v>
      </c>
      <c r="W34" s="706" t="e">
        <f t="shared" si="12"/>
        <v>#N/A</v>
      </c>
      <c r="X34" s="1355"/>
      <c r="Y34" s="373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2"/>
      <c r="Q35" s="1352" t="str">
        <f t="shared" ref="Q35:Q40" si="14">B35</f>
        <v>宗地形状</v>
      </c>
      <c r="R35" s="705" t="s">
        <v>14</v>
      </c>
      <c r="S35" s="706">
        <f t="shared" si="10"/>
        <v>100</v>
      </c>
      <c r="T35" s="705" t="s">
        <v>14</v>
      </c>
      <c r="U35" s="706">
        <f t="shared" si="11"/>
        <v>100</v>
      </c>
      <c r="V35" s="705" t="s">
        <v>14</v>
      </c>
      <c r="W35" s="706">
        <f t="shared" si="12"/>
        <v>100</v>
      </c>
      <c r="X35" s="1355"/>
      <c r="Y35" s="373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2"/>
      <c r="Q36" s="1352" t="str">
        <f t="shared" si="14"/>
        <v>宗地开发程度</v>
      </c>
      <c r="R36" s="701" t="s">
        <v>14</v>
      </c>
      <c r="S36" s="702">
        <f t="shared" si="10"/>
        <v>100</v>
      </c>
      <c r="T36" s="701" t="s">
        <v>14</v>
      </c>
      <c r="U36" s="702">
        <f t="shared" si="11"/>
        <v>100</v>
      </c>
      <c r="V36" s="701" t="s">
        <v>14</v>
      </c>
      <c r="W36" s="702">
        <f t="shared" si="12"/>
        <v>100</v>
      </c>
      <c r="X36" s="703"/>
      <c r="Y36" s="373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2" t="s">
        <v>1696</v>
      </c>
      <c r="Q37" s="1352" t="str">
        <f t="shared" si="14"/>
        <v>工程地质条件</v>
      </c>
      <c r="R37" s="705" t="s">
        <v>14</v>
      </c>
      <c r="S37" s="706">
        <f t="shared" si="10"/>
        <v>100</v>
      </c>
      <c r="T37" s="705" t="s">
        <v>14</v>
      </c>
      <c r="U37" s="706">
        <f t="shared" si="11"/>
        <v>100</v>
      </c>
      <c r="V37" s="705" t="s">
        <v>14</v>
      </c>
      <c r="W37" s="706">
        <f t="shared" si="12"/>
        <v>100</v>
      </c>
      <c r="X37" s="1355"/>
      <c r="Y37" s="373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2"/>
      <c r="Q38" s="1352">
        <f t="shared" si="14"/>
        <v>111</v>
      </c>
      <c r="R38" s="705" t="s">
        <v>14</v>
      </c>
      <c r="S38" s="706">
        <f t="shared" si="10"/>
        <v>100</v>
      </c>
      <c r="T38" s="705" t="s">
        <v>14</v>
      </c>
      <c r="U38" s="706">
        <f t="shared" si="11"/>
        <v>100</v>
      </c>
      <c r="V38" s="705" t="s">
        <v>14</v>
      </c>
      <c r="W38" s="706">
        <f t="shared" si="12"/>
        <v>100</v>
      </c>
      <c r="X38" s="1355"/>
      <c r="Y38" s="373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2"/>
      <c r="Q39" s="1352">
        <f t="shared" si="14"/>
        <v>111</v>
      </c>
      <c r="R39" s="705" t="s">
        <v>14</v>
      </c>
      <c r="S39" s="706">
        <f t="shared" si="10"/>
        <v>100</v>
      </c>
      <c r="T39" s="705" t="s">
        <v>14</v>
      </c>
      <c r="U39" s="706">
        <f t="shared" si="11"/>
        <v>100</v>
      </c>
      <c r="V39" s="705" t="s">
        <v>14</v>
      </c>
      <c r="W39" s="706">
        <f t="shared" si="12"/>
        <v>100</v>
      </c>
      <c r="X39" s="1355"/>
      <c r="Y39" s="3732"/>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2"/>
      <c r="Q40" s="1352">
        <f t="shared" si="14"/>
        <v>111</v>
      </c>
      <c r="R40" s="708" t="s">
        <v>14</v>
      </c>
      <c r="S40" s="709">
        <f t="shared" si="10"/>
        <v>100</v>
      </c>
      <c r="T40" s="708" t="s">
        <v>14</v>
      </c>
      <c r="U40" s="709">
        <f t="shared" si="11"/>
        <v>100</v>
      </c>
      <c r="V40" s="708" t="s">
        <v>14</v>
      </c>
      <c r="W40" s="709">
        <f t="shared" si="12"/>
        <v>100</v>
      </c>
      <c r="X40" s="710"/>
      <c r="Y40" s="3732"/>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14" t="str">
        <f>A41</f>
        <v>成交单价</v>
      </c>
      <c r="Q41" s="3714"/>
      <c r="R41" s="3727">
        <f>E41</f>
        <v>0</v>
      </c>
      <c r="S41" s="3727"/>
      <c r="T41" s="3727">
        <f>G41</f>
        <v>0</v>
      </c>
      <c r="U41" s="3727"/>
      <c r="V41" s="3727">
        <f>I41</f>
        <v>0</v>
      </c>
      <c r="W41" s="3727"/>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4" t="str">
        <f>A42</f>
        <v>比较价值（元/平方米）</v>
      </c>
      <c r="Q42" s="3714"/>
      <c r="R42" s="3805" t="e">
        <f>ROUND(PRODUCT(R41,AA7:AA40),0)</f>
        <v>#DIV/0!</v>
      </c>
      <c r="S42" s="3805"/>
      <c r="T42" s="3805" t="e">
        <f>ROUND(PRODUCT(T41,AB7:AB40),0)</f>
        <v>#DIV/0!</v>
      </c>
      <c r="U42" s="3805"/>
      <c r="V42" s="3805" t="e">
        <f>ROUND(PRODUCT(V41,AC7:AC40),0)</f>
        <v>#DIV/0!</v>
      </c>
      <c r="W42" s="3805"/>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34" t="str">
        <f>A43</f>
        <v>估价对象XX用房的比较价值（楼面单价，元/平方米）</v>
      </c>
      <c r="Q43" s="3735"/>
      <c r="R43" s="3806" t="e">
        <f>ROUND(IF(D42="简单平均",AVERAGE(R42:W42),R42*F42+T42*H42+V42*J42),0)</f>
        <v>#DIV/0!</v>
      </c>
      <c r="S43" s="3806"/>
      <c r="T43" s="3806"/>
      <c r="U43" s="3806"/>
      <c r="V43" s="3806"/>
      <c r="W43" s="380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15" t="s">
        <v>1887</v>
      </c>
      <c r="H50" s="380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16683.080000000002</v>
      </c>
      <c r="F51" s="639" t="e">
        <f t="shared" ref="F51:F60" si="15">ROUND(B51*E51/10000,0)</f>
        <v>#DIV/0!</v>
      </c>
      <c r="G51" s="3782"/>
      <c r="H51" s="371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6666.7</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2025-10-1</v>
      </c>
      <c r="D63" s="692">
        <f>EDATE(C63,-3)</f>
        <v>45839</v>
      </c>
      <c r="E63" s="692">
        <f>EDATE(D63,-3)</f>
        <v>45748</v>
      </c>
      <c r="F63" s="692">
        <f t="shared" ref="F63:O63" si="18">EDATE(E63,-3)</f>
        <v>45658</v>
      </c>
      <c r="G63" s="692">
        <f t="shared" si="18"/>
        <v>45566</v>
      </c>
      <c r="H63" s="692">
        <f t="shared" si="18"/>
        <v>45474</v>
      </c>
      <c r="I63" s="692">
        <f t="shared" si="18"/>
        <v>45383</v>
      </c>
      <c r="J63" s="692">
        <f t="shared" si="18"/>
        <v>45292</v>
      </c>
      <c r="K63" s="692">
        <f t="shared" si="18"/>
        <v>45200</v>
      </c>
      <c r="L63" s="692">
        <f t="shared" si="18"/>
        <v>45108</v>
      </c>
      <c r="M63" s="692">
        <f t="shared" si="18"/>
        <v>45017</v>
      </c>
      <c r="N63" s="692">
        <f t="shared" si="18"/>
        <v>44927</v>
      </c>
      <c r="O63" s="692">
        <f t="shared" si="18"/>
        <v>44835</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5"/>
      <c r="C2" s="3515"/>
      <c r="D2" s="3515"/>
      <c r="E2" s="3515"/>
    </row>
    <row r="3" spans="1:5" ht="17.399999999999999">
      <c r="A3" s="3516" t="str">
        <f>IF(项目基本情况!B9="房地产市场价值","估价结果一览表（市场价值不需“结果表-1”）","估价结果一览表")</f>
        <v>估价结果一览表</v>
      </c>
      <c r="B3" s="3516"/>
      <c r="C3" s="3516"/>
      <c r="D3" s="3516"/>
      <c r="E3" s="3516"/>
    </row>
    <row r="4" spans="1:5" ht="18" thickBot="1">
      <c r="A4" s="1493"/>
      <c r="B4" s="3514" t="s">
        <v>917</v>
      </c>
      <c r="C4" s="3514"/>
      <c r="D4" s="3514"/>
      <c r="E4" s="1493"/>
    </row>
    <row r="5" spans="1:5" ht="16.2" thickTop="1">
      <c r="A5" s="1491"/>
      <c r="B5" s="3512" t="s">
        <v>909</v>
      </c>
      <c r="C5" s="1494" t="s">
        <v>910</v>
      </c>
      <c r="D5" s="850" t="e">
        <f ca="1">结果表!H101</f>
        <v>#REF!</v>
      </c>
      <c r="E5" s="1491"/>
    </row>
    <row r="6" spans="1:5" ht="15.6">
      <c r="A6" s="1491"/>
      <c r="B6" s="3512"/>
      <c r="C6" s="1494" t="s">
        <v>911</v>
      </c>
      <c r="D6" s="850" t="e">
        <f ca="1">NUMBERSTRING(INT(D5*10000),2)&amp;"元整"</f>
        <v>#REF!</v>
      </c>
      <c r="E6" s="1491"/>
    </row>
    <row r="7" spans="1:5" ht="15.6">
      <c r="A7" s="1491"/>
      <c r="B7" s="3517"/>
      <c r="C7" s="1495" t="s">
        <v>912</v>
      </c>
      <c r="D7" s="851" t="e">
        <f ca="1">结果表!H102</f>
        <v>#REF!</v>
      </c>
      <c r="E7" s="1491"/>
    </row>
    <row r="8" spans="1:5" ht="15.6">
      <c r="A8" s="1491"/>
      <c r="B8" s="3518" t="str">
        <f>结果表!E103</f>
        <v>2.估价师知悉的法定优先受偿款</v>
      </c>
      <c r="C8" s="1496" t="s">
        <v>913</v>
      </c>
      <c r="D8" s="851">
        <f>结果表!H103</f>
        <v>0</v>
      </c>
      <c r="E8" s="1491"/>
    </row>
    <row r="9" spans="1:5" ht="15.6">
      <c r="A9" s="1491"/>
      <c r="B9" s="3520"/>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11" t="str">
        <f>结果表!E107</f>
        <v>3.房地产抵押价值</v>
      </c>
      <c r="C13" s="1499" t="s">
        <v>910</v>
      </c>
      <c r="D13" s="853" t="e">
        <f ca="1">结果表!H107</f>
        <v>#REF!</v>
      </c>
      <c r="E13" s="1491"/>
    </row>
    <row r="14" spans="1:5" ht="15.6">
      <c r="A14" s="1491"/>
      <c r="B14" s="3512"/>
      <c r="C14" s="1494" t="s">
        <v>911</v>
      </c>
      <c r="D14" s="850" t="e">
        <f ca="1">NUMBERSTRING(INT(D13*10000),2)&amp;"元整"</f>
        <v>#REF!</v>
      </c>
      <c r="E14" s="1491"/>
    </row>
    <row r="15" spans="1:5" ht="15.6">
      <c r="A15" s="1491"/>
      <c r="B15" s="3517"/>
      <c r="C15" s="1495" t="s">
        <v>921</v>
      </c>
      <c r="D15" s="859" t="e">
        <f ca="1">结果表!H108</f>
        <v>#REF!</v>
      </c>
      <c r="E15" s="1491"/>
    </row>
    <row r="16" spans="1:5" ht="15.6">
      <c r="A16" s="1491"/>
      <c r="B16" s="3518" t="str">
        <f>结果表!E109</f>
        <v>——</v>
      </c>
      <c r="C16" s="1499" t="s">
        <v>922</v>
      </c>
      <c r="D16" s="1500" t="str">
        <f>结果表!H109</f>
        <v>——</v>
      </c>
      <c r="E16" s="1491"/>
    </row>
    <row r="17" spans="1:5" ht="15.6">
      <c r="A17" s="1491"/>
      <c r="B17" s="3519"/>
      <c r="C17" s="1494" t="s">
        <v>923</v>
      </c>
      <c r="D17" s="850" t="e">
        <f>NUMBERSTRING(INT(D16*10000),2)&amp;"元整"</f>
        <v>#VALUE!</v>
      </c>
      <c r="E17" s="1491"/>
    </row>
    <row r="18" spans="1:5" ht="15.6">
      <c r="A18" s="1491"/>
      <c r="B18" s="3520"/>
      <c r="C18" s="1495" t="s">
        <v>912</v>
      </c>
      <c r="D18" s="859" t="str">
        <f>结果表!H110</f>
        <v>——</v>
      </c>
      <c r="E18" s="1491"/>
    </row>
    <row r="19" spans="1:5" ht="15.6">
      <c r="A19" s="1491"/>
      <c r="B19" s="3511" t="str">
        <f>结果表!E111</f>
        <v>——</v>
      </c>
      <c r="C19" s="1499" t="s">
        <v>910</v>
      </c>
      <c r="D19" s="851" t="str">
        <f>结果表!H111</f>
        <v>——</v>
      </c>
      <c r="E19" s="1491"/>
    </row>
    <row r="20" spans="1:5" ht="15.6">
      <c r="A20" s="1491"/>
      <c r="B20" s="3512"/>
      <c r="C20" s="1494" t="s">
        <v>923</v>
      </c>
      <c r="D20" s="850" t="e">
        <f>NUMBERSTRING(INT(D19*10000),2)&amp;"元整"</f>
        <v>#VALUE!</v>
      </c>
      <c r="E20" s="1491"/>
    </row>
    <row r="21" spans="1:5" ht="16.2" thickBot="1">
      <c r="A21" s="1491"/>
      <c r="B21" s="3513"/>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15" t="s">
        <v>2084</v>
      </c>
      <c r="D1" s="3816"/>
      <c r="E1" s="3816"/>
      <c r="F1" s="3816"/>
      <c r="G1" s="3816"/>
      <c r="H1" s="3816"/>
      <c r="I1" s="3816"/>
      <c r="J1" s="3816"/>
      <c r="K1" s="3816"/>
      <c r="L1" s="3816"/>
      <c r="M1" s="3816"/>
      <c r="N1" s="3816"/>
      <c r="O1" s="3816"/>
      <c r="P1" s="3816"/>
      <c r="Q1" s="3816"/>
      <c r="R1" s="3816"/>
      <c r="S1" s="381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12" t="s">
        <v>27</v>
      </c>
      <c r="D22" s="3813"/>
      <c r="E22" s="3813"/>
      <c r="F22" s="3813"/>
      <c r="G22" s="3813"/>
      <c r="H22" s="3813"/>
      <c r="I22" s="3813"/>
      <c r="J22" s="3813"/>
      <c r="K22" s="3813"/>
      <c r="L22" s="3813"/>
      <c r="M22" s="3813"/>
      <c r="N22" s="3813"/>
      <c r="O22" s="3813"/>
      <c r="P22" s="3813"/>
      <c r="Q22" s="381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3508</v>
      </c>
      <c r="C2" s="2145" t="s">
        <v>2074</v>
      </c>
      <c r="D2" s="2145" t="s">
        <v>2075</v>
      </c>
      <c r="E2" s="2612">
        <f ca="1">SUMIF(E6:E13,"&lt;&gt;#ref!",E6:E13)</f>
        <v>16683.080000000002</v>
      </c>
      <c r="F2" s="2793"/>
      <c r="G2" s="2793"/>
      <c r="H2" s="2793"/>
      <c r="I2" s="2793"/>
      <c r="J2" s="2793"/>
      <c r="K2" s="2793"/>
      <c r="L2" s="2793"/>
      <c r="M2" s="2793"/>
      <c r="N2" s="2793"/>
      <c r="O2" s="2793"/>
      <c r="P2" s="2793"/>
    </row>
    <row r="3" spans="1:16" ht="15.6">
      <c r="A3" s="2145" t="s">
        <v>2076</v>
      </c>
      <c r="B3" s="2602">
        <f ca="1">ROUND(B2*10000/E2,0)</f>
        <v>2103</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3508</v>
      </c>
      <c r="C6" s="2145" t="s">
        <v>2074</v>
      </c>
      <c r="D6" s="2793"/>
      <c r="E6" s="2612">
        <f ca="1">SUMIF(INDIRECT("'"&amp;A6&amp;"'"&amp;"!C:C"),"建筑面积",INDIRECT("'"&amp;A6&amp;"'"&amp;"!D:D"))</f>
        <v>16683.080000000002</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28" t="s">
        <v>2607</v>
      </c>
      <c r="B20" s="3818" t="s">
        <v>2628</v>
      </c>
      <c r="C20" s="3477" t="s">
        <v>2439</v>
      </c>
      <c r="D20" s="3477"/>
      <c r="E20" s="3105">
        <v>1</v>
      </c>
      <c r="F20" s="3106" t="s">
        <v>2440</v>
      </c>
      <c r="G20" s="3106"/>
    </row>
    <row r="21" spans="1:13" ht="19.5" customHeight="1">
      <c r="A21" s="3829"/>
      <c r="B21" s="3819"/>
      <c r="C21" s="3467" t="s">
        <v>2441</v>
      </c>
      <c r="D21" s="3467"/>
      <c r="E21" s="3109">
        <v>1</v>
      </c>
      <c r="F21" s="3106" t="s">
        <v>2442</v>
      </c>
      <c r="G21" s="3106"/>
    </row>
    <row r="22" spans="1:13" ht="19.5" customHeight="1">
      <c r="A22" s="3829"/>
      <c r="B22" s="3819"/>
      <c r="C22" s="3467" t="s">
        <v>2443</v>
      </c>
      <c r="D22" s="3467"/>
      <c r="E22" s="3109">
        <v>0.9</v>
      </c>
      <c r="F22" s="3106" t="s">
        <v>2444</v>
      </c>
      <c r="G22" s="3106"/>
    </row>
    <row r="23" spans="1:13" ht="19.5" customHeight="1">
      <c r="A23" s="3829"/>
      <c r="B23" s="3819"/>
      <c r="C23" s="3467" t="s">
        <v>2445</v>
      </c>
      <c r="D23" s="3467"/>
      <c r="E23" s="3109">
        <v>0.9</v>
      </c>
      <c r="F23" s="3106" t="s">
        <v>2446</v>
      </c>
      <c r="G23" s="3106"/>
    </row>
    <row r="24" spans="1:13" ht="19.5" customHeight="1">
      <c r="A24" s="3829"/>
      <c r="B24" s="3819"/>
      <c r="C24" s="3467" t="s">
        <v>2447</v>
      </c>
      <c r="D24" s="3467"/>
      <c r="E24" s="3109">
        <v>0.8</v>
      </c>
      <c r="F24" s="3106" t="s">
        <v>2448</v>
      </c>
      <c r="G24" s="3106"/>
    </row>
    <row r="25" spans="1:13" ht="19.5" customHeight="1">
      <c r="A25" s="3829"/>
      <c r="B25" s="3819"/>
      <c r="C25" s="3467" t="s">
        <v>2449</v>
      </c>
      <c r="D25" s="3467"/>
      <c r="E25" s="3109">
        <v>0.8</v>
      </c>
      <c r="F25" s="3106"/>
      <c r="G25" s="3106"/>
    </row>
    <row r="26" spans="1:13" ht="19.5" customHeight="1">
      <c r="A26" s="3829"/>
      <c r="B26" s="3819"/>
      <c r="C26" s="3470" t="s">
        <v>3406</v>
      </c>
      <c r="D26" s="3470"/>
      <c r="E26" s="3471">
        <v>0.43</v>
      </c>
      <c r="F26" s="3106"/>
      <c r="G26" s="3106"/>
    </row>
    <row r="27" spans="1:13" ht="19.5" customHeight="1" thickBot="1">
      <c r="A27" s="3830"/>
      <c r="B27" s="3820"/>
      <c r="C27" s="3472" t="s">
        <v>3407</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821" t="s">
        <v>2631</v>
      </c>
      <c r="B29" s="3824" t="s">
        <v>2612</v>
      </c>
      <c r="C29" s="3103" t="s">
        <v>2452</v>
      </c>
      <c r="D29" s="3104"/>
      <c r="E29" s="3105">
        <v>1</v>
      </c>
      <c r="F29" s="3106" t="s">
        <v>2453</v>
      </c>
      <c r="G29" s="3106"/>
    </row>
    <row r="30" spans="1:13" ht="19.5" customHeight="1">
      <c r="A30" s="3822"/>
      <c r="B30" s="3825"/>
      <c r="C30" s="3107" t="s">
        <v>2454</v>
      </c>
      <c r="D30" s="3108"/>
      <c r="E30" s="3109">
        <v>1</v>
      </c>
      <c r="F30" s="3106" t="s">
        <v>2455</v>
      </c>
      <c r="G30" s="3106"/>
    </row>
    <row r="31" spans="1:13" ht="19.5" customHeight="1">
      <c r="A31" s="3822"/>
      <c r="B31" s="3825"/>
      <c r="C31" s="3107" t="s">
        <v>2456</v>
      </c>
      <c r="D31" s="3108"/>
      <c r="E31" s="3109">
        <v>0.8</v>
      </c>
      <c r="F31" s="3106" t="s">
        <v>2457</v>
      </c>
      <c r="G31" s="3106"/>
    </row>
    <row r="32" spans="1:13" ht="19.5" customHeight="1">
      <c r="A32" s="3822"/>
      <c r="B32" s="3825"/>
      <c r="C32" s="3107" t="s">
        <v>2458</v>
      </c>
      <c r="D32" s="3108"/>
      <c r="E32" s="3109">
        <v>0.8</v>
      </c>
      <c r="F32" s="3106" t="s">
        <v>2459</v>
      </c>
      <c r="G32" s="3106"/>
    </row>
    <row r="33" spans="1:7" ht="19.5" customHeight="1">
      <c r="A33" s="3822"/>
      <c r="B33" s="3825"/>
      <c r="C33" s="3107" t="s">
        <v>2460</v>
      </c>
      <c r="D33" s="3108"/>
      <c r="E33" s="3109">
        <v>0.8</v>
      </c>
      <c r="F33" s="3106" t="s">
        <v>2461</v>
      </c>
      <c r="G33" s="3106"/>
    </row>
    <row r="34" spans="1:7" ht="19.5" customHeight="1">
      <c r="A34" s="3822"/>
      <c r="B34" s="3825"/>
      <c r="C34" s="3107" t="s">
        <v>2462</v>
      </c>
      <c r="D34" s="3108"/>
      <c r="E34" s="3109">
        <v>0.7</v>
      </c>
      <c r="F34" s="3106" t="s">
        <v>2463</v>
      </c>
      <c r="G34" s="3106"/>
    </row>
    <row r="35" spans="1:7" ht="19.5" customHeight="1">
      <c r="A35" s="3822"/>
      <c r="B35" s="3825"/>
      <c r="C35" s="3107" t="s">
        <v>2464</v>
      </c>
      <c r="D35" s="3108"/>
      <c r="E35" s="3109">
        <v>0.8</v>
      </c>
      <c r="F35" s="3106" t="s">
        <v>2465</v>
      </c>
      <c r="G35" s="3106"/>
    </row>
    <row r="36" spans="1:7" ht="19.5" customHeight="1">
      <c r="A36" s="3822"/>
      <c r="B36" s="3825"/>
      <c r="C36" s="3107" t="s">
        <v>2466</v>
      </c>
      <c r="D36" s="3108"/>
      <c r="E36" s="3109">
        <v>0.6</v>
      </c>
      <c r="F36" s="3106" t="s">
        <v>2467</v>
      </c>
      <c r="G36" s="3106"/>
    </row>
    <row r="37" spans="1:7" ht="19.5" customHeight="1">
      <c r="A37" s="3822"/>
      <c r="B37" s="3825"/>
      <c r="C37" s="3107" t="s">
        <v>2468</v>
      </c>
      <c r="D37" s="3108"/>
      <c r="E37" s="3109">
        <v>0.2</v>
      </c>
      <c r="F37" s="3106" t="s">
        <v>2469</v>
      </c>
      <c r="G37" s="3106"/>
    </row>
    <row r="38" spans="1:7" ht="19.5" customHeight="1">
      <c r="A38" s="3822"/>
      <c r="B38" s="3825"/>
      <c r="C38" s="3107" t="s">
        <v>2470</v>
      </c>
      <c r="D38" s="3108"/>
      <c r="E38" s="3109">
        <v>0.2</v>
      </c>
      <c r="F38" s="3106" t="s">
        <v>2471</v>
      </c>
      <c r="G38" s="3106"/>
    </row>
    <row r="39" spans="1:7" ht="19.5" customHeight="1">
      <c r="A39" s="3822"/>
      <c r="B39" s="3826" t="s">
        <v>2632</v>
      </c>
      <c r="C39" s="3107" t="s">
        <v>2472</v>
      </c>
      <c r="D39" s="3108"/>
      <c r="E39" s="3109">
        <v>0.6</v>
      </c>
      <c r="F39" s="3106" t="s">
        <v>2473</v>
      </c>
      <c r="G39" s="3106"/>
    </row>
    <row r="40" spans="1:7" ht="19.5" customHeight="1">
      <c r="A40" s="3822"/>
      <c r="B40" s="3825"/>
      <c r="C40" s="3107" t="s">
        <v>2474</v>
      </c>
      <c r="D40" s="3108"/>
      <c r="E40" s="3109">
        <v>0.6</v>
      </c>
      <c r="F40" s="3106" t="s">
        <v>2475</v>
      </c>
      <c r="G40" s="3106"/>
    </row>
    <row r="41" spans="1:7" ht="19.5" customHeight="1" thickBot="1">
      <c r="A41" s="3823"/>
      <c r="B41" s="3827"/>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828" t="s">
        <v>2610</v>
      </c>
      <c r="B43" s="3824" t="s">
        <v>2634</v>
      </c>
      <c r="C43" s="3103" t="s">
        <v>2479</v>
      </c>
      <c r="D43" s="3104"/>
      <c r="E43" s="3105">
        <v>1</v>
      </c>
      <c r="F43" s="3106" t="s">
        <v>2480</v>
      </c>
      <c r="G43" s="3106"/>
    </row>
    <row r="44" spans="1:7" ht="19.5" customHeight="1">
      <c r="A44" s="3829"/>
      <c r="B44" s="3825"/>
      <c r="C44" s="3107" t="s">
        <v>2481</v>
      </c>
      <c r="D44" s="3108"/>
      <c r="E44" s="3109">
        <v>1</v>
      </c>
      <c r="F44" s="3106" t="s">
        <v>2482</v>
      </c>
      <c r="G44" s="3106"/>
    </row>
    <row r="45" spans="1:7" ht="19.5" customHeight="1">
      <c r="A45" s="3829"/>
      <c r="B45" s="3831"/>
      <c r="C45" s="3107" t="s">
        <v>2483</v>
      </c>
      <c r="D45" s="3108"/>
      <c r="E45" s="3109">
        <v>1.5</v>
      </c>
      <c r="F45" s="3106" t="s">
        <v>2484</v>
      </c>
      <c r="G45" s="3106"/>
    </row>
    <row r="46" spans="1:7" ht="19.5" customHeight="1">
      <c r="A46" s="3829"/>
      <c r="B46" s="3118" t="s">
        <v>2635</v>
      </c>
      <c r="C46" s="3107" t="s">
        <v>2636</v>
      </c>
      <c r="D46" s="3108"/>
      <c r="E46" s="3109">
        <v>2</v>
      </c>
      <c r="F46" s="3106" t="s">
        <v>2485</v>
      </c>
      <c r="G46" s="3106"/>
    </row>
    <row r="47" spans="1:7" ht="19.5" customHeight="1">
      <c r="A47" s="3829"/>
      <c r="B47" s="3826" t="s">
        <v>2637</v>
      </c>
      <c r="C47" s="3107" t="s">
        <v>2486</v>
      </c>
      <c r="D47" s="3108"/>
      <c r="E47" s="3109">
        <v>1</v>
      </c>
      <c r="F47" s="3106" t="s">
        <v>2487</v>
      </c>
      <c r="G47" s="3106"/>
    </row>
    <row r="48" spans="1:7" ht="19.5" customHeight="1">
      <c r="A48" s="3829"/>
      <c r="B48" s="3825"/>
      <c r="C48" s="3107" t="s">
        <v>2488</v>
      </c>
      <c r="D48" s="3108"/>
      <c r="E48" s="3109">
        <v>1</v>
      </c>
      <c r="F48" s="3106" t="s">
        <v>2489</v>
      </c>
      <c r="G48" s="3106"/>
    </row>
    <row r="49" spans="1:7" ht="19.5" customHeight="1">
      <c r="A49" s="3829"/>
      <c r="B49" s="3825"/>
      <c r="C49" s="3107" t="s">
        <v>2490</v>
      </c>
      <c r="D49" s="3108"/>
      <c r="E49" s="3109">
        <v>1</v>
      </c>
      <c r="F49" s="3106" t="s">
        <v>2491</v>
      </c>
      <c r="G49" s="3106"/>
    </row>
    <row r="50" spans="1:7" ht="19.5" customHeight="1">
      <c r="A50" s="3829"/>
      <c r="B50" s="3825"/>
      <c r="C50" s="3107" t="s">
        <v>2492</v>
      </c>
      <c r="D50" s="3108"/>
      <c r="E50" s="3109">
        <v>1</v>
      </c>
      <c r="F50" s="3106" t="s">
        <v>2493</v>
      </c>
      <c r="G50" s="3106"/>
    </row>
    <row r="51" spans="1:7" ht="19.5" customHeight="1">
      <c r="A51" s="3829"/>
      <c r="B51" s="3825"/>
      <c r="C51" s="3107" t="s">
        <v>2494</v>
      </c>
      <c r="D51" s="3108"/>
      <c r="E51" s="3109">
        <v>1</v>
      </c>
      <c r="F51" s="3106" t="s">
        <v>2495</v>
      </c>
      <c r="G51" s="3106"/>
    </row>
    <row r="52" spans="1:7" ht="19.5" customHeight="1">
      <c r="A52" s="3829"/>
      <c r="B52" s="3825"/>
      <c r="C52" s="3107" t="s">
        <v>2496</v>
      </c>
      <c r="D52" s="3108"/>
      <c r="E52" s="3109">
        <v>1</v>
      </c>
      <c r="F52" s="3106" t="s">
        <v>2497</v>
      </c>
      <c r="G52" s="3106"/>
    </row>
    <row r="53" spans="1:7" ht="19.5" customHeight="1" thickBot="1">
      <c r="A53" s="3830"/>
      <c r="B53" s="3827"/>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4.4">
      <c r="A74" s="3118"/>
      <c r="B74" s="3118"/>
      <c r="C74" s="3118" t="s">
        <v>2650</v>
      </c>
      <c r="D74" s="3118"/>
      <c r="E74" s="3118" t="s">
        <v>2621</v>
      </c>
      <c r="F74" s="3118" t="s">
        <v>2621</v>
      </c>
    </row>
    <row r="75" spans="1:7" ht="14.4">
      <c r="A75" s="3118">
        <v>1</v>
      </c>
      <c r="B75" s="3826" t="s">
        <v>2651</v>
      </c>
      <c r="C75" s="3092" t="s">
        <v>2652</v>
      </c>
      <c r="D75" s="3092" t="s">
        <v>2653</v>
      </c>
      <c r="E75" s="3118">
        <v>0.2</v>
      </c>
      <c r="F75" s="3118">
        <v>25</v>
      </c>
    </row>
    <row r="76" spans="1:7" ht="24">
      <c r="A76" s="3118">
        <v>2</v>
      </c>
      <c r="B76" s="3825"/>
      <c r="C76" s="3092" t="s">
        <v>2654</v>
      </c>
      <c r="D76" s="3092" t="s">
        <v>2655</v>
      </c>
      <c r="E76" s="3118">
        <v>0.2</v>
      </c>
      <c r="F76" s="3118">
        <v>25</v>
      </c>
    </row>
    <row r="77" spans="1:7" ht="24">
      <c r="A77" s="3118">
        <v>3</v>
      </c>
      <c r="B77" s="3825"/>
      <c r="C77" s="3092" t="s">
        <v>2656</v>
      </c>
      <c r="D77" s="3092" t="s">
        <v>2657</v>
      </c>
      <c r="E77" s="3118">
        <v>0.2</v>
      </c>
      <c r="F77" s="3118">
        <v>25</v>
      </c>
    </row>
    <row r="78" spans="1:7" ht="14.4">
      <c r="A78" s="3118">
        <v>4</v>
      </c>
      <c r="B78" s="3825"/>
      <c r="C78" s="3092" t="s">
        <v>2658</v>
      </c>
      <c r="D78" s="3092" t="s">
        <v>2659</v>
      </c>
      <c r="E78" s="3118">
        <v>0.15</v>
      </c>
      <c r="F78" s="3118">
        <v>20</v>
      </c>
    </row>
    <row r="79" spans="1:7" ht="24">
      <c r="A79" s="3118">
        <v>5</v>
      </c>
      <c r="B79" s="3825"/>
      <c r="C79" s="3092" t="s">
        <v>2660</v>
      </c>
      <c r="D79" s="3092" t="s">
        <v>2661</v>
      </c>
      <c r="E79" s="3118">
        <v>0.15</v>
      </c>
      <c r="F79" s="3118">
        <v>20</v>
      </c>
    </row>
    <row r="80" spans="1:7" ht="24">
      <c r="A80" s="3118">
        <v>6</v>
      </c>
      <c r="B80" s="3825"/>
      <c r="C80" s="3092" t="s">
        <v>2662</v>
      </c>
      <c r="D80" s="3092" t="s">
        <v>2663</v>
      </c>
      <c r="E80" s="3118">
        <v>0.15</v>
      </c>
      <c r="F80" s="3118">
        <v>20</v>
      </c>
    </row>
    <row r="81" spans="1:6" ht="24">
      <c r="A81" s="3118">
        <v>7</v>
      </c>
      <c r="B81" s="3825"/>
      <c r="C81" s="3092" t="s">
        <v>2664</v>
      </c>
      <c r="D81" s="3092" t="s">
        <v>2665</v>
      </c>
      <c r="E81" s="3118">
        <v>0.15</v>
      </c>
      <c r="F81" s="3118">
        <v>20</v>
      </c>
    </row>
    <row r="82" spans="1:6" ht="24">
      <c r="A82" s="3118">
        <v>8</v>
      </c>
      <c r="B82" s="3825"/>
      <c r="C82" s="3092" t="s">
        <v>2666</v>
      </c>
      <c r="D82" s="3092" t="s">
        <v>2667</v>
      </c>
      <c r="E82" s="3118">
        <v>0.1</v>
      </c>
      <c r="F82" s="3118">
        <v>15</v>
      </c>
    </row>
    <row r="83" spans="1:6" ht="24">
      <c r="A83" s="3118">
        <v>9</v>
      </c>
      <c r="B83" s="3825"/>
      <c r="C83" s="3092" t="s">
        <v>2668</v>
      </c>
      <c r="D83" s="3092" t="s">
        <v>2669</v>
      </c>
      <c r="E83" s="3118">
        <v>0.1</v>
      </c>
      <c r="F83" s="3118">
        <v>15</v>
      </c>
    </row>
    <row r="84" spans="1:6" ht="24">
      <c r="A84" s="3118">
        <v>10</v>
      </c>
      <c r="B84" s="3825"/>
      <c r="C84" s="3092" t="s">
        <v>2670</v>
      </c>
      <c r="D84" s="3092" t="s">
        <v>2671</v>
      </c>
      <c r="E84" s="3118">
        <v>0.1</v>
      </c>
      <c r="F84" s="3118">
        <v>15</v>
      </c>
    </row>
    <row r="85" spans="1:6" ht="24">
      <c r="A85" s="3118">
        <v>11</v>
      </c>
      <c r="B85" s="3825"/>
      <c r="C85" s="3092" t="s">
        <v>2672</v>
      </c>
      <c r="D85" s="3092" t="s">
        <v>2673</v>
      </c>
      <c r="E85" s="3118">
        <v>0.1</v>
      </c>
      <c r="F85" s="3118">
        <v>15</v>
      </c>
    </row>
    <row r="86" spans="1:6" ht="24">
      <c r="A86" s="3118">
        <v>12</v>
      </c>
      <c r="B86" s="3825"/>
      <c r="C86" s="3092" t="s">
        <v>2674</v>
      </c>
      <c r="D86" s="3092" t="s">
        <v>2675</v>
      </c>
      <c r="E86" s="3118">
        <v>0.1</v>
      </c>
      <c r="F86" s="3118">
        <v>15</v>
      </c>
    </row>
    <row r="87" spans="1:6" ht="24">
      <c r="A87" s="3118">
        <v>13</v>
      </c>
      <c r="B87" s="3825"/>
      <c r="C87" s="3092" t="s">
        <v>2676</v>
      </c>
      <c r="D87" s="3092" t="s">
        <v>2677</v>
      </c>
      <c r="E87" s="3118">
        <v>0.1</v>
      </c>
      <c r="F87" s="3118">
        <v>15</v>
      </c>
    </row>
    <row r="88" spans="1:6" ht="24">
      <c r="A88" s="3118">
        <v>14</v>
      </c>
      <c r="B88" s="3825"/>
      <c r="C88" s="3092" t="s">
        <v>2678</v>
      </c>
      <c r="D88" s="3092" t="s">
        <v>2679</v>
      </c>
      <c r="E88" s="3118">
        <v>0.1</v>
      </c>
      <c r="F88" s="3118">
        <v>15</v>
      </c>
    </row>
    <row r="89" spans="1:6" ht="24">
      <c r="A89" s="3118">
        <v>15</v>
      </c>
      <c r="B89" s="3825"/>
      <c r="C89" s="3092" t="s">
        <v>2680</v>
      </c>
      <c r="D89" s="3092" t="s">
        <v>2681</v>
      </c>
      <c r="E89" s="3118">
        <v>0.1</v>
      </c>
      <c r="F89" s="3118">
        <v>15</v>
      </c>
    </row>
    <row r="90" spans="1:6" ht="24">
      <c r="A90" s="3118">
        <v>16</v>
      </c>
      <c r="B90" s="3825"/>
      <c r="C90" s="3092" t="s">
        <v>2682</v>
      </c>
      <c r="D90" s="3092" t="s">
        <v>2683</v>
      </c>
      <c r="E90" s="3118">
        <v>0.1</v>
      </c>
      <c r="F90" s="3118">
        <v>15</v>
      </c>
    </row>
    <row r="91" spans="1:6" ht="24">
      <c r="A91" s="3118">
        <v>17</v>
      </c>
      <c r="B91" s="3831"/>
      <c r="C91" s="3092" t="s">
        <v>2684</v>
      </c>
      <c r="D91" s="3092" t="s">
        <v>2685</v>
      </c>
      <c r="E91" s="3118">
        <v>0.1</v>
      </c>
      <c r="F91" s="3118">
        <v>15</v>
      </c>
    </row>
    <row r="92" spans="1:6" ht="14.4">
      <c r="A92" s="3118">
        <v>18</v>
      </c>
      <c r="B92" s="3826" t="s">
        <v>2686</v>
      </c>
      <c r="C92" s="3092" t="s">
        <v>2687</v>
      </c>
      <c r="D92" s="3092" t="s">
        <v>2688</v>
      </c>
      <c r="E92" s="3118">
        <v>0.2</v>
      </c>
      <c r="F92" s="3118">
        <v>25</v>
      </c>
    </row>
    <row r="93" spans="1:6" ht="24">
      <c r="A93" s="3118">
        <v>19</v>
      </c>
      <c r="B93" s="3825"/>
      <c r="C93" s="3092" t="s">
        <v>2689</v>
      </c>
      <c r="D93" s="3092" t="s">
        <v>2690</v>
      </c>
      <c r="E93" s="3118">
        <v>0.2</v>
      </c>
      <c r="F93" s="3118">
        <v>25</v>
      </c>
    </row>
    <row r="94" spans="1:6" ht="14.4">
      <c r="A94" s="3118">
        <v>20</v>
      </c>
      <c r="B94" s="3825"/>
      <c r="C94" s="3092" t="s">
        <v>2691</v>
      </c>
      <c r="D94" s="3092" t="s">
        <v>2692</v>
      </c>
      <c r="E94" s="3118">
        <v>0.15</v>
      </c>
      <c r="F94" s="3118">
        <v>20</v>
      </c>
    </row>
    <row r="95" spans="1:6" ht="24">
      <c r="A95" s="3118">
        <v>21</v>
      </c>
      <c r="B95" s="3825"/>
      <c r="C95" s="3092" t="s">
        <v>2693</v>
      </c>
      <c r="D95" s="3092" t="s">
        <v>2694</v>
      </c>
      <c r="E95" s="3118">
        <v>0.15</v>
      </c>
      <c r="F95" s="3118">
        <v>20</v>
      </c>
    </row>
    <row r="96" spans="1:6" ht="24">
      <c r="A96" s="3118">
        <v>22</v>
      </c>
      <c r="B96" s="3825"/>
      <c r="C96" s="3092" t="s">
        <v>2695</v>
      </c>
      <c r="D96" s="3092" t="s">
        <v>2696</v>
      </c>
      <c r="E96" s="3118">
        <v>0.15</v>
      </c>
      <c r="F96" s="3118">
        <v>20</v>
      </c>
    </row>
    <row r="97" spans="1:6" ht="36">
      <c r="A97" s="3118">
        <v>23</v>
      </c>
      <c r="B97" s="3825"/>
      <c r="C97" s="3092" t="s">
        <v>2697</v>
      </c>
      <c r="D97" s="3092" t="s">
        <v>2698</v>
      </c>
      <c r="E97" s="3118">
        <v>0.15</v>
      </c>
      <c r="F97" s="3118">
        <v>20</v>
      </c>
    </row>
    <row r="98" spans="1:6" ht="24">
      <c r="A98" s="3118">
        <v>24</v>
      </c>
      <c r="B98" s="3825"/>
      <c r="C98" s="3092" t="s">
        <v>2699</v>
      </c>
      <c r="D98" s="3092" t="s">
        <v>2700</v>
      </c>
      <c r="E98" s="3118">
        <v>0.1</v>
      </c>
      <c r="F98" s="3118">
        <v>15</v>
      </c>
    </row>
    <row r="99" spans="1:6" ht="24">
      <c r="A99" s="3118">
        <v>25</v>
      </c>
      <c r="B99" s="3825"/>
      <c r="C99" s="3092" t="s">
        <v>2701</v>
      </c>
      <c r="D99" s="3092" t="s">
        <v>2702</v>
      </c>
      <c r="E99" s="3118">
        <v>0.1</v>
      </c>
      <c r="F99" s="3118">
        <v>15</v>
      </c>
    </row>
    <row r="100" spans="1:6" ht="24">
      <c r="A100" s="3118">
        <v>26</v>
      </c>
      <c r="B100" s="3825"/>
      <c r="C100" s="3092" t="s">
        <v>2703</v>
      </c>
      <c r="D100" s="3092" t="s">
        <v>2704</v>
      </c>
      <c r="E100" s="3118">
        <v>0.1</v>
      </c>
      <c r="F100" s="3118">
        <v>15</v>
      </c>
    </row>
    <row r="101" spans="1:6" ht="24">
      <c r="A101" s="3118">
        <v>27</v>
      </c>
      <c r="B101" s="3825"/>
      <c r="C101" s="3092" t="s">
        <v>2705</v>
      </c>
      <c r="D101" s="3092" t="s">
        <v>2706</v>
      </c>
      <c r="E101" s="3118">
        <v>0.1</v>
      </c>
      <c r="F101" s="3118">
        <v>15</v>
      </c>
    </row>
    <row r="102" spans="1:6" ht="24">
      <c r="A102" s="3118">
        <v>28</v>
      </c>
      <c r="B102" s="3825"/>
      <c r="C102" s="3092" t="s">
        <v>2707</v>
      </c>
      <c r="D102" s="3092" t="s">
        <v>2708</v>
      </c>
      <c r="E102" s="3118">
        <v>0.1</v>
      </c>
      <c r="F102" s="3118">
        <v>15</v>
      </c>
    </row>
    <row r="103" spans="1:6" ht="24">
      <c r="A103" s="3118">
        <v>29</v>
      </c>
      <c r="B103" s="3825"/>
      <c r="C103" s="3092" t="s">
        <v>2709</v>
      </c>
      <c r="D103" s="3092" t="s">
        <v>2710</v>
      </c>
      <c r="E103" s="3118">
        <v>0.1</v>
      </c>
      <c r="F103" s="3118">
        <v>15</v>
      </c>
    </row>
    <row r="104" spans="1:6" ht="24">
      <c r="A104" s="3118">
        <v>30</v>
      </c>
      <c r="B104" s="3825"/>
      <c r="C104" s="3092" t="s">
        <v>2711</v>
      </c>
      <c r="D104" s="3092" t="s">
        <v>2712</v>
      </c>
      <c r="E104" s="3118">
        <v>0.1</v>
      </c>
      <c r="F104" s="3118">
        <v>15</v>
      </c>
    </row>
    <row r="105" spans="1:6" ht="24">
      <c r="A105" s="3118">
        <v>31</v>
      </c>
      <c r="B105" s="3825"/>
      <c r="C105" s="3092" t="s">
        <v>2713</v>
      </c>
      <c r="D105" s="3092" t="s">
        <v>2714</v>
      </c>
      <c r="E105" s="3118">
        <v>0.1</v>
      </c>
      <c r="F105" s="3118">
        <v>15</v>
      </c>
    </row>
    <row r="106" spans="1:6" ht="24">
      <c r="A106" s="3118">
        <v>32</v>
      </c>
      <c r="B106" s="3825"/>
      <c r="C106" s="3092" t="s">
        <v>2715</v>
      </c>
      <c r="D106" s="3092" t="s">
        <v>2716</v>
      </c>
      <c r="E106" s="3118">
        <v>0.1</v>
      </c>
      <c r="F106" s="3118">
        <v>15</v>
      </c>
    </row>
    <row r="107" spans="1:6" ht="24">
      <c r="A107" s="3118">
        <v>33</v>
      </c>
      <c r="B107" s="3825"/>
      <c r="C107" s="3092" t="s">
        <v>2717</v>
      </c>
      <c r="D107" s="3092" t="s">
        <v>2718</v>
      </c>
      <c r="E107" s="3118">
        <v>0.1</v>
      </c>
      <c r="F107" s="3118">
        <v>15</v>
      </c>
    </row>
    <row r="108" spans="1:6" ht="24">
      <c r="A108" s="3118">
        <v>34</v>
      </c>
      <c r="B108" s="3831"/>
      <c r="C108" s="3092" t="s">
        <v>2719</v>
      </c>
      <c r="D108" s="3092" t="s">
        <v>2720</v>
      </c>
      <c r="E108" s="3118">
        <v>0.1</v>
      </c>
      <c r="F108" s="3118">
        <v>15</v>
      </c>
    </row>
    <row r="109" spans="1:6" ht="36">
      <c r="A109" s="3118">
        <v>35</v>
      </c>
      <c r="B109" s="3826" t="s">
        <v>2721</v>
      </c>
      <c r="C109" s="3118" t="s">
        <v>2722</v>
      </c>
      <c r="D109" s="3092" t="s">
        <v>2723</v>
      </c>
      <c r="E109" s="3118">
        <v>0.15</v>
      </c>
      <c r="F109" s="3118">
        <v>20</v>
      </c>
    </row>
    <row r="110" spans="1:6" ht="24">
      <c r="A110" s="3118">
        <v>36</v>
      </c>
      <c r="B110" s="3825"/>
      <c r="C110" s="3118" t="s">
        <v>2724</v>
      </c>
      <c r="D110" s="3092" t="s">
        <v>2725</v>
      </c>
      <c r="E110" s="3118">
        <v>0.15</v>
      </c>
      <c r="F110" s="3118">
        <v>20</v>
      </c>
    </row>
    <row r="111" spans="1:6" ht="24">
      <c r="A111" s="3118">
        <v>37</v>
      </c>
      <c r="B111" s="3825"/>
      <c r="C111" s="3118" t="s">
        <v>2726</v>
      </c>
      <c r="D111" s="3092" t="s">
        <v>2727</v>
      </c>
      <c r="E111" s="3118">
        <v>0.15</v>
      </c>
      <c r="F111" s="3118">
        <v>20</v>
      </c>
    </row>
    <row r="112" spans="1:6" ht="24">
      <c r="A112" s="3118">
        <v>38</v>
      </c>
      <c r="B112" s="3825"/>
      <c r="C112" s="3118" t="s">
        <v>2728</v>
      </c>
      <c r="D112" s="3092" t="s">
        <v>2729</v>
      </c>
      <c r="E112" s="3118">
        <v>0.1</v>
      </c>
      <c r="F112" s="3118">
        <v>15</v>
      </c>
    </row>
    <row r="113" spans="1:6" ht="24">
      <c r="A113" s="3118">
        <v>39</v>
      </c>
      <c r="B113" s="3825"/>
      <c r="C113" s="3118" t="s">
        <v>2730</v>
      </c>
      <c r="D113" s="3092" t="s">
        <v>2731</v>
      </c>
      <c r="E113" s="3118">
        <v>0.1</v>
      </c>
      <c r="F113" s="3118">
        <v>15</v>
      </c>
    </row>
    <row r="114" spans="1:6" ht="24">
      <c r="A114" s="3118">
        <v>40</v>
      </c>
      <c r="B114" s="3831"/>
      <c r="C114" s="3118" t="s">
        <v>2732</v>
      </c>
      <c r="D114" s="3092" t="s">
        <v>2733</v>
      </c>
      <c r="E114" s="3118">
        <v>0.1</v>
      </c>
      <c r="F114" s="3118">
        <v>15</v>
      </c>
    </row>
    <row r="115" spans="1:6" ht="24">
      <c r="A115" s="3118">
        <v>41</v>
      </c>
      <c r="B115" s="3819" t="s">
        <v>2734</v>
      </c>
      <c r="C115" s="3118" t="s">
        <v>2735</v>
      </c>
      <c r="D115" s="3092" t="s">
        <v>2736</v>
      </c>
      <c r="E115" s="3118">
        <v>0.1</v>
      </c>
      <c r="F115" s="3118">
        <v>15</v>
      </c>
    </row>
    <row r="116" spans="1:6" ht="24">
      <c r="A116" s="3118">
        <v>42</v>
      </c>
      <c r="B116" s="3819"/>
      <c r="C116" s="3118" t="s">
        <v>2737</v>
      </c>
      <c r="D116" s="3092" t="s">
        <v>2738</v>
      </c>
      <c r="E116" s="3118">
        <v>0.1</v>
      </c>
      <c r="F116" s="3118">
        <v>15</v>
      </c>
    </row>
    <row r="117" spans="1:6" ht="24">
      <c r="A117" s="3118">
        <v>43</v>
      </c>
      <c r="B117" s="3819"/>
      <c r="C117" s="3118" t="s">
        <v>2739</v>
      </c>
      <c r="D117" s="3092" t="s">
        <v>2740</v>
      </c>
      <c r="E117" s="3118">
        <v>0.1</v>
      </c>
      <c r="F117" s="3118">
        <v>15</v>
      </c>
    </row>
    <row r="118" spans="1:6" ht="24">
      <c r="A118" s="3118">
        <v>44</v>
      </c>
      <c r="B118" s="3826" t="s">
        <v>2741</v>
      </c>
      <c r="C118" s="3118" t="s">
        <v>2742</v>
      </c>
      <c r="D118" s="3092" t="s">
        <v>2743</v>
      </c>
      <c r="E118" s="3118">
        <v>0.1</v>
      </c>
      <c r="F118" s="3118">
        <v>15</v>
      </c>
    </row>
    <row r="119" spans="1:6" ht="24">
      <c r="A119" s="3118">
        <v>45</v>
      </c>
      <c r="B119" s="3831"/>
      <c r="C119" s="3092" t="s">
        <v>2744</v>
      </c>
      <c r="D119" s="3092" t="s">
        <v>2745</v>
      </c>
      <c r="E119" s="3118">
        <v>0.1</v>
      </c>
      <c r="F119" s="3118">
        <v>15</v>
      </c>
    </row>
    <row r="120" spans="1:6" ht="24">
      <c r="A120" s="3118">
        <v>46</v>
      </c>
      <c r="B120" s="3826" t="s">
        <v>2746</v>
      </c>
      <c r="C120" s="3118" t="s">
        <v>2747</v>
      </c>
      <c r="D120" s="3092" t="s">
        <v>2748</v>
      </c>
      <c r="E120" s="3118">
        <v>0.1</v>
      </c>
      <c r="F120" s="3118">
        <v>15</v>
      </c>
    </row>
    <row r="121" spans="1:6" ht="24">
      <c r="A121" s="3118">
        <v>47</v>
      </c>
      <c r="B121" s="3831"/>
      <c r="C121" s="3118" t="s">
        <v>2749</v>
      </c>
      <c r="D121" s="3092" t="s">
        <v>2750</v>
      </c>
      <c r="E121" s="3118">
        <v>0.1</v>
      </c>
      <c r="F121" s="3118">
        <v>15</v>
      </c>
    </row>
    <row r="122" spans="1:6" ht="24">
      <c r="A122" s="3118">
        <v>48</v>
      </c>
      <c r="B122" s="3826" t="s">
        <v>2751</v>
      </c>
      <c r="C122" s="3118" t="s">
        <v>2752</v>
      </c>
      <c r="D122" s="3092" t="s">
        <v>2753</v>
      </c>
      <c r="E122" s="3118">
        <v>0.1</v>
      </c>
      <c r="F122" s="3118">
        <v>15</v>
      </c>
    </row>
    <row r="123" spans="1:6" ht="24">
      <c r="A123" s="3118">
        <v>49</v>
      </c>
      <c r="B123" s="3831"/>
      <c r="C123" s="3118" t="s">
        <v>2754</v>
      </c>
      <c r="D123" s="3092" t="s">
        <v>2755</v>
      </c>
      <c r="E123" s="3118">
        <v>0.1</v>
      </c>
      <c r="F123" s="3118">
        <v>15</v>
      </c>
    </row>
    <row r="124" spans="1:6" ht="24">
      <c r="A124" s="3118">
        <v>50</v>
      </c>
      <c r="B124" s="3819" t="s">
        <v>2756</v>
      </c>
      <c r="C124" s="3118" t="s">
        <v>2757</v>
      </c>
      <c r="D124" s="3092" t="s">
        <v>2758</v>
      </c>
      <c r="E124" s="3118">
        <v>0.1</v>
      </c>
      <c r="F124" s="3118">
        <v>15</v>
      </c>
    </row>
    <row r="125" spans="1:6" ht="24">
      <c r="A125" s="3118">
        <v>51</v>
      </c>
      <c r="B125" s="3819"/>
      <c r="C125" s="3118" t="s">
        <v>2759</v>
      </c>
      <c r="D125" s="3092" t="s">
        <v>2760</v>
      </c>
      <c r="E125" s="3118">
        <v>0.1</v>
      </c>
      <c r="F125" s="3118">
        <v>15</v>
      </c>
    </row>
    <row r="126" spans="1:6" ht="24">
      <c r="A126" s="3118">
        <v>52</v>
      </c>
      <c r="B126" s="3819" t="s">
        <v>2761</v>
      </c>
      <c r="C126" s="3118" t="s">
        <v>2762</v>
      </c>
      <c r="D126" s="3092" t="s">
        <v>2763</v>
      </c>
      <c r="E126" s="3118">
        <v>0.1</v>
      </c>
      <c r="F126" s="3118">
        <v>15</v>
      </c>
    </row>
    <row r="127" spans="1:6" ht="24">
      <c r="A127" s="3118">
        <v>53</v>
      </c>
      <c r="B127" s="3819"/>
      <c r="C127" s="3118" t="s">
        <v>2764</v>
      </c>
      <c r="D127" s="3092" t="s">
        <v>2765</v>
      </c>
      <c r="E127" s="3118">
        <v>0.1</v>
      </c>
      <c r="F127" s="3118">
        <v>15</v>
      </c>
    </row>
    <row r="128" spans="1:6" ht="24">
      <c r="A128" s="3118">
        <v>54</v>
      </c>
      <c r="B128" s="3118" t="s">
        <v>2766</v>
      </c>
      <c r="C128" s="3118" t="s">
        <v>2767</v>
      </c>
      <c r="D128" s="3092" t="s">
        <v>2768</v>
      </c>
      <c r="E128" s="3118">
        <v>0.1</v>
      </c>
      <c r="F128" s="3118">
        <v>15</v>
      </c>
    </row>
    <row r="129" spans="1:6" ht="24">
      <c r="A129" s="3118">
        <v>55</v>
      </c>
      <c r="B129" s="3819" t="s">
        <v>2769</v>
      </c>
      <c r="C129" s="3118" t="s">
        <v>2770</v>
      </c>
      <c r="D129" s="3092" t="s">
        <v>2771</v>
      </c>
      <c r="E129" s="3118">
        <v>0.1</v>
      </c>
      <c r="F129" s="3118">
        <v>15</v>
      </c>
    </row>
    <row r="130" spans="1:6" ht="24">
      <c r="A130" s="3118">
        <v>56</v>
      </c>
      <c r="B130" s="3819"/>
      <c r="C130" s="3118" t="s">
        <v>2772</v>
      </c>
      <c r="D130" s="3092" t="s">
        <v>2773</v>
      </c>
      <c r="E130" s="3118">
        <v>0.1</v>
      </c>
      <c r="F130" s="3118">
        <v>15</v>
      </c>
    </row>
    <row r="131" spans="1:6" ht="24">
      <c r="A131" s="3118">
        <v>57</v>
      </c>
      <c r="B131" s="3819"/>
      <c r="C131" s="3118" t="s">
        <v>2774</v>
      </c>
      <c r="D131" s="3092" t="s">
        <v>2775</v>
      </c>
      <c r="E131" s="3118">
        <v>0.1</v>
      </c>
      <c r="F131" s="3118">
        <v>15</v>
      </c>
    </row>
    <row r="132" spans="1:6" ht="24">
      <c r="A132" s="3118">
        <v>58</v>
      </c>
      <c r="B132" s="3819" t="s">
        <v>2776</v>
      </c>
      <c r="C132" s="3118" t="s">
        <v>2777</v>
      </c>
      <c r="D132" s="3092" t="s">
        <v>2778</v>
      </c>
      <c r="E132" s="3118">
        <v>0.1</v>
      </c>
      <c r="F132" s="3118">
        <v>15</v>
      </c>
    </row>
    <row r="133" spans="1:6" ht="24">
      <c r="A133" s="3118">
        <v>59</v>
      </c>
      <c r="B133" s="3819"/>
      <c r="C133" s="3118" t="s">
        <v>2779</v>
      </c>
      <c r="D133" s="3092" t="s">
        <v>2780</v>
      </c>
      <c r="E133" s="3118">
        <v>0.1</v>
      </c>
      <c r="F133" s="3118">
        <v>15</v>
      </c>
    </row>
    <row r="134" spans="1:6" ht="24">
      <c r="A134" s="3118">
        <v>60</v>
      </c>
      <c r="B134" s="3826" t="s">
        <v>2781</v>
      </c>
      <c r="C134" s="3118" t="s">
        <v>2782</v>
      </c>
      <c r="D134" s="3092" t="s">
        <v>2783</v>
      </c>
      <c r="E134" s="3118">
        <v>0.1</v>
      </c>
      <c r="F134" s="3118">
        <v>15</v>
      </c>
    </row>
    <row r="135" spans="1:6" ht="24">
      <c r="A135" s="3118">
        <v>61</v>
      </c>
      <c r="B135" s="3831"/>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24">
      <c r="A137" s="3118">
        <v>63</v>
      </c>
      <c r="B137" s="3819" t="s">
        <v>2789</v>
      </c>
      <c r="C137" s="3118" t="s">
        <v>2790</v>
      </c>
      <c r="D137" s="3092" t="s">
        <v>2791</v>
      </c>
      <c r="E137" s="3118">
        <v>0.1</v>
      </c>
      <c r="F137" s="3118">
        <v>15</v>
      </c>
    </row>
    <row r="138" spans="1:6" ht="24">
      <c r="A138" s="3118">
        <v>64</v>
      </c>
      <c r="B138" s="3819"/>
      <c r="C138" s="3118" t="s">
        <v>2792</v>
      </c>
      <c r="D138" s="3092" t="s">
        <v>2793</v>
      </c>
      <c r="E138" s="3118">
        <v>0.1</v>
      </c>
      <c r="F138" s="3118">
        <v>15</v>
      </c>
    </row>
    <row r="139" spans="1:6" ht="24">
      <c r="A139" s="3118">
        <v>65</v>
      </c>
      <c r="B139" s="3118" t="s">
        <v>2794</v>
      </c>
      <c r="C139" s="3118" t="s">
        <v>2795</v>
      </c>
      <c r="D139" s="3092" t="s">
        <v>2796</v>
      </c>
      <c r="E139" s="3118">
        <v>0.1</v>
      </c>
      <c r="F139" s="3118">
        <v>15</v>
      </c>
    </row>
    <row r="140" spans="1:6" ht="14.4">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0.95120000000000005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32688</v>
      </c>
      <c r="C2" s="2" t="s">
        <v>106</v>
      </c>
      <c r="D2" s="199"/>
      <c r="E2" s="199"/>
      <c r="F2" s="199"/>
      <c r="G2" s="199"/>
    </row>
    <row r="3" spans="1:7" s="200" customFormat="1" ht="18" customHeight="1" thickBot="1">
      <c r="A3" s="203" t="s">
        <v>58</v>
      </c>
      <c r="B3" s="204">
        <f ca="1">ROUND(B2*10000/'数据-汇总表'!E3,0)</f>
        <v>19594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334</v>
      </c>
      <c r="D10" s="845">
        <f>'数据-汇总表'!E6</f>
        <v>16683.080000000002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526</v>
      </c>
      <c r="D19" s="849">
        <f>'数据-汇总表'!E3</f>
        <v>16683.080000000002</v>
      </c>
      <c r="E19" s="211">
        <f>'数据-取费表'!B31</f>
        <v>315</v>
      </c>
      <c r="F19" s="231"/>
      <c r="G19" s="1" t="s">
        <v>436</v>
      </c>
    </row>
    <row r="20" spans="1:7" s="214" customFormat="1" ht="13.5" customHeight="1">
      <c r="A20" s="777" t="s">
        <v>419</v>
      </c>
      <c r="B20" s="210" t="s">
        <v>77</v>
      </c>
      <c r="C20" s="232">
        <f>ROUND((C5+C19)*F20,0)</f>
        <v>423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987</v>
      </c>
      <c r="D22" s="235">
        <f ca="1">C26</f>
        <v>5.0000000000000001E-4</v>
      </c>
      <c r="E22" s="236" t="s">
        <v>99</v>
      </c>
      <c r="F22" s="237">
        <f ca="1">'数据-取费表'!B40</f>
        <v>3.0599999999999999E-2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953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24</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6.4">
      <c r="A27" s="777" t="s">
        <v>342</v>
      </c>
      <c r="B27" s="244" t="s">
        <v>85</v>
      </c>
      <c r="C27" s="245">
        <f>C28</f>
        <v>2156</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2156</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26701</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5689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5005</v>
      </c>
      <c r="D34" s="217"/>
      <c r="E34" s="220"/>
      <c r="F34" s="257">
        <f>IF('数据-取费表'!B24=0,1,'数据-取费表'!N16)</f>
        <v>1</v>
      </c>
      <c r="G34" s="219" t="s">
        <v>89</v>
      </c>
    </row>
    <row r="35" spans="1:7" ht="13.5" customHeight="1">
      <c r="A35" s="780" t="s">
        <v>351</v>
      </c>
      <c r="B35" s="215" t="s">
        <v>33</v>
      </c>
      <c r="C35" s="220">
        <f>ROUND(C34*F35,0)</f>
        <v>250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334</v>
      </c>
      <c r="D37" s="217">
        <f>'数据-汇总表'!E3</f>
        <v>16683.080000000002</v>
      </c>
      <c r="E37" s="249">
        <f>'数据-取费表'!B35</f>
        <v>200</v>
      </c>
      <c r="F37" s="259"/>
      <c r="G37" s="261" t="s">
        <v>92</v>
      </c>
    </row>
    <row r="38" spans="1:7" ht="13.5" customHeight="1">
      <c r="A38" s="780" t="s">
        <v>354</v>
      </c>
      <c r="B38" s="215" t="s">
        <v>36</v>
      </c>
      <c r="C38" s="220">
        <f>ROUND(C34*F38,0)</f>
        <v>100</v>
      </c>
      <c r="D38" s="220"/>
      <c r="E38" s="220"/>
      <c r="F38" s="259">
        <f>'数据-取费表'!B36</f>
        <v>0.02</v>
      </c>
      <c r="G38" s="219" t="s">
        <v>90</v>
      </c>
    </row>
    <row r="39" spans="1:7" s="214" customFormat="1" ht="13.5" customHeight="1">
      <c r="A39" s="777" t="s">
        <v>338</v>
      </c>
      <c r="B39" s="210" t="s">
        <v>77</v>
      </c>
      <c r="C39" s="232">
        <f>ROUND(C33*F20,0)</f>
        <v>114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133</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130</v>
      </c>
      <c r="D42" s="238"/>
      <c r="E42" s="238"/>
      <c r="F42" s="239"/>
      <c r="G42" s="3693" t="s">
        <v>94</v>
      </c>
    </row>
    <row r="43" spans="1:7" ht="13.5" customHeight="1">
      <c r="A43" s="780" t="s">
        <v>347</v>
      </c>
      <c r="B43" s="215" t="s">
        <v>426</v>
      </c>
      <c r="C43" s="238">
        <f ca="1">ROUND(IF('数据-取费表'!B22&lt;=1,C39*F22*'数据-取费表'!B21/2,C39*(POWER((1+F22),'数据-取费表'!B21/2)-1)),0)</f>
        <v>3</v>
      </c>
      <c r="D43" s="238"/>
      <c r="E43" s="238"/>
      <c r="F43" s="239"/>
      <c r="G43" s="3694"/>
    </row>
    <row r="44" spans="1:7" ht="13.5" customHeight="1">
      <c r="A44" s="780" t="s">
        <v>348</v>
      </c>
      <c r="B44" s="215" t="s">
        <v>428</v>
      </c>
      <c r="C44" s="238">
        <f ca="1">ROUND(IF('数据-取费表'!B22&lt;=1,C40*F22*'数据-取费表'!B21/2,C40*(POWER((1+F22),'数据-取费表'!B21/2)-1)),4)</f>
        <v>5.0000000000000001E-4</v>
      </c>
      <c r="D44" s="238"/>
      <c r="E44" s="238"/>
      <c r="F44" s="239"/>
      <c r="G44" s="3695"/>
    </row>
    <row r="45" spans="1:7" s="214" customFormat="1" ht="13.5" customHeight="1">
      <c r="A45" s="777" t="s">
        <v>341</v>
      </c>
      <c r="B45" s="244" t="s">
        <v>85</v>
      </c>
      <c r="C45" s="245">
        <f>C46</f>
        <v>580</v>
      </c>
      <c r="D45" s="235">
        <f>C47</f>
        <v>2E-3</v>
      </c>
      <c r="E45" s="236" t="s">
        <v>102</v>
      </c>
      <c r="F45" s="246"/>
      <c r="G45" s="247" t="s">
        <v>434</v>
      </c>
    </row>
    <row r="46" spans="1:7" s="214" customFormat="1" ht="13.5" customHeight="1">
      <c r="A46" s="780" t="s">
        <v>349</v>
      </c>
      <c r="B46" s="248" t="s">
        <v>427</v>
      </c>
      <c r="C46" s="249">
        <f>ROUND((C33+C39)*F27,0)</f>
        <v>580</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7043</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5987</v>
      </c>
      <c r="D51" s="232"/>
      <c r="E51" s="232"/>
      <c r="F51" s="264"/>
      <c r="G51" s="234" t="s">
        <v>37</v>
      </c>
    </row>
    <row r="52" spans="1:7" s="208" customFormat="1" ht="16.8" thickBot="1">
      <c r="A52" s="265" t="s">
        <v>38</v>
      </c>
      <c r="B52" s="266"/>
      <c r="C52" s="267">
        <f ca="1">C31+C51</f>
        <v>32688</v>
      </c>
      <c r="D52" s="266"/>
      <c r="E52" s="266"/>
      <c r="F52" s="266"/>
      <c r="G52" s="268"/>
    </row>
    <row r="55" spans="1:7" ht="15">
      <c r="B55" s="270" t="s">
        <v>39</v>
      </c>
      <c r="C55" s="271"/>
    </row>
    <row r="56" spans="1:7">
      <c r="B56" s="273" t="s">
        <v>40</v>
      </c>
      <c r="C56" s="274">
        <f ca="1">ROUND(C51/C52,3)</f>
        <v>0.183</v>
      </c>
    </row>
    <row r="57" spans="1:7">
      <c r="B57" s="273" t="s">
        <v>41</v>
      </c>
      <c r="C57" s="275">
        <f ca="1">1-C56</f>
        <v>0.81699999999999995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32" t="s">
        <v>3181</v>
      </c>
      <c r="B1" s="3832"/>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33" t="s">
        <v>3232</v>
      </c>
      <c r="B1" s="3833"/>
      <c r="C1" s="3833"/>
      <c r="D1" s="3833"/>
      <c r="E1" s="3833"/>
      <c r="F1" s="3834"/>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4.4"/>
  <cols>
    <col min="1" max="1" width="13.88671875" customWidth="1"/>
    <col min="11" max="17" width="0" hidden="1" customWidth="1"/>
    <col min="25" max="30" width="0" hidden="1" customWidth="1"/>
  </cols>
  <sheetData>
    <row r="1" spans="1:44">
      <c r="A1" s="3221">
        <f>基准地价修正!G23</f>
        <v>45952</v>
      </c>
      <c r="B1" s="3210" t="s">
        <v>3375</v>
      </c>
      <c r="C1" s="3211"/>
      <c r="D1" s="3211"/>
      <c r="E1" s="3211"/>
      <c r="F1" s="3211"/>
      <c r="G1" s="3211"/>
      <c r="H1" s="3211"/>
      <c r="I1" s="3211"/>
      <c r="J1" s="3165"/>
      <c r="K1" s="3211" t="s">
        <v>454</v>
      </c>
      <c r="L1" s="3211"/>
      <c r="M1" s="3211"/>
      <c r="N1" s="3211"/>
      <c r="O1" s="3211"/>
      <c r="P1" s="3211"/>
      <c r="Q1" s="3165"/>
      <c r="R1" s="3835" t="s">
        <v>456</v>
      </c>
      <c r="S1" s="3836"/>
      <c r="T1" s="3836"/>
      <c r="U1" s="3836"/>
      <c r="V1" s="3836"/>
      <c r="W1" s="3836"/>
      <c r="X1" s="3165"/>
      <c r="Y1" s="3835" t="s">
        <v>457</v>
      </c>
      <c r="Z1" s="3836"/>
      <c r="AA1" s="3836"/>
      <c r="AB1" s="3836"/>
      <c r="AC1" s="3836"/>
      <c r="AD1" s="3836"/>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3400</v>
      </c>
      <c r="AG2" t="s">
        <v>673</v>
      </c>
      <c r="AH2" t="s">
        <v>21</v>
      </c>
      <c r="AI2" t="s">
        <v>3401</v>
      </c>
      <c r="AJ2" t="s">
        <v>3</v>
      </c>
      <c r="AK2" t="s">
        <v>3402</v>
      </c>
      <c r="AM2" t="s">
        <v>3400</v>
      </c>
      <c r="AN2" t="s">
        <v>673</v>
      </c>
      <c r="AO2" t="s">
        <v>21</v>
      </c>
      <c r="AP2" t="s">
        <v>3401</v>
      </c>
      <c r="AQ2" t="s">
        <v>3</v>
      </c>
      <c r="AR2" t="s">
        <v>3402</v>
      </c>
    </row>
    <row r="3" spans="1:44" s="3161" customFormat="1" ht="13.2">
      <c r="A3" s="3149" t="s">
        <v>2819</v>
      </c>
      <c r="B3" s="3150"/>
      <c r="C3" s="3151"/>
      <c r="D3" s="3151">
        <f>ROUND(AVERAGEIF(D4:D24,"&lt;&gt;0"),2)</f>
        <v>0.33</v>
      </c>
      <c r="E3" s="3151">
        <f t="shared" ref="E3:H3" si="0">ROUND(AVERAGEIF(E4:E24,"&lt;&gt;0"),2)</f>
        <v>0.14000000000000001</v>
      </c>
      <c r="F3" s="3151">
        <f t="shared" si="0"/>
        <v>-0.16</v>
      </c>
      <c r="G3" s="3151">
        <f t="shared" si="0"/>
        <v>0.39</v>
      </c>
      <c r="H3" s="3151">
        <f t="shared" si="0"/>
        <v>0.47</v>
      </c>
      <c r="I3" s="3151">
        <f>F3</f>
        <v>-0.16</v>
      </c>
      <c r="J3" s="3152"/>
      <c r="K3" s="3153">
        <f>ROUND(AVERAGEIF(K4:K24,"&lt;&gt;0"),4)</f>
        <v>3.3E-3</v>
      </c>
      <c r="L3" s="3154">
        <f t="shared" ref="L3:O3" si="1">ROUND(AVERAGEIF(L4:L24,"&lt;&gt;0"),4)</f>
        <v>1.4E-3</v>
      </c>
      <c r="M3" s="3154">
        <f t="shared" si="1"/>
        <v>-1.6000000000000001E-3</v>
      </c>
      <c r="N3" s="3154">
        <f t="shared" si="1"/>
        <v>3.8999999999999998E-3</v>
      </c>
      <c r="O3" s="3154">
        <f t="shared" si="1"/>
        <v>4.7000000000000002E-3</v>
      </c>
      <c r="P3" s="3154">
        <f>M3</f>
        <v>-1.6000000000000001E-3</v>
      </c>
      <c r="Q3" s="3152"/>
      <c r="R3" s="3155">
        <f>ROUND(SUMPRODUCT(PRODUCT(1+K4:K24)),4)</f>
        <v>1.0631999999999999</v>
      </c>
      <c r="S3" s="3156">
        <f t="shared" ref="S3:V3" si="2">ROUND(SUMPRODUCT(PRODUCT(1+L4:L24)),4)</f>
        <v>1.0268999999999999</v>
      </c>
      <c r="T3" s="3156">
        <f t="shared" si="2"/>
        <v>0.97040000000000004</v>
      </c>
      <c r="U3" s="3156">
        <f t="shared" si="2"/>
        <v>1.0765</v>
      </c>
      <c r="V3" s="3156">
        <f t="shared" si="2"/>
        <v>1.0933999999999999</v>
      </c>
      <c r="W3" s="3155">
        <f>T3</f>
        <v>0.97040000000000004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3399</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1.0529999999999999</v>
      </c>
      <c r="S5" s="3183">
        <f>ROUND(IF(项目基本情况!$B$8="出让",SUMPRODUCT(PRODUCT(1+L5:$L$24)),SUMPRODUCT(PRODUCT(1+L5:$L$23))),4)</f>
        <v>1.0251999999999999</v>
      </c>
      <c r="T5" s="3183">
        <f>ROUND(IF(项目基本情况!$B$8="出让",SUMPRODUCT(PRODUCT(1+M5:$M$24)),SUMPRODUCT(PRODUCT(1+M5:$M$23))),4)</f>
        <v>0.97289999999999999</v>
      </c>
      <c r="U5" s="3183">
        <f>ROUND(IF(项目基本情况!$B$8="出让",SUMPRODUCT(PRODUCT(1+N5:$N$24)),SUMPRODUCT(PRODUCT(1+N5:$N$23))),4)</f>
        <v>1.0647</v>
      </c>
      <c r="V5" s="3183">
        <f>ROUND(IF(项目基本情况!$B$8="出让",SUMPRODUCT(PRODUCT(1+O5:$O$24)),SUMPRODUCT(PRODUCT(1+O5:$O$23))),4)</f>
        <v>1.0894999999999999</v>
      </c>
      <c r="W5" s="3183">
        <f t="shared" ref="W5:W11" si="11">T5</f>
        <v>0.97289999999999999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105.3</v>
      </c>
      <c r="AG5" s="3458">
        <f t="shared" ref="AG5:AK5" si="18">$AF$24*S5</f>
        <v>102.51999999999998</v>
      </c>
      <c r="AH5" s="3458">
        <f t="shared" si="18"/>
        <v>97.289999999999992</v>
      </c>
      <c r="AI5" s="3458">
        <f t="shared" si="18"/>
        <v>106.47</v>
      </c>
      <c r="AJ5" s="3458">
        <f t="shared" si="18"/>
        <v>108.94999999999999</v>
      </c>
      <c r="AK5" s="3458">
        <f t="shared" si="18"/>
        <v>97.289999999999992</v>
      </c>
      <c r="AM5" s="3464">
        <v>100</v>
      </c>
      <c r="AN5" s="3464">
        <v>100</v>
      </c>
      <c r="AO5" s="3464">
        <v>100</v>
      </c>
      <c r="AP5" s="3464">
        <v>100</v>
      </c>
      <c r="AQ5" s="3464">
        <v>100</v>
      </c>
      <c r="AR5" s="3464">
        <v>100</v>
      </c>
    </row>
    <row r="6" spans="1:44" s="3195" customFormat="1" ht="13.2">
      <c r="A6" s="3186" t="s">
        <v>3413</v>
      </c>
      <c r="B6" s="3187">
        <v>2025</v>
      </c>
      <c r="C6" s="3188">
        <v>3</v>
      </c>
      <c r="D6" s="3189">
        <v>-0.45</v>
      </c>
      <c r="E6" s="3189">
        <v>-0.22</v>
      </c>
      <c r="F6" s="3189">
        <v>-0.82</v>
      </c>
      <c r="G6" s="3189">
        <v>-0.39</v>
      </c>
      <c r="H6" s="3190">
        <v>0.04</v>
      </c>
      <c r="I6" s="3191">
        <f t="shared" ref="I6" si="19">F6</f>
        <v>-0.82</v>
      </c>
      <c r="J6" s="3192"/>
      <c r="K6" s="3193">
        <f t="shared" ref="K6" si="20">D6/100</f>
        <v>-4.5000000000000005E-3</v>
      </c>
      <c r="L6" s="3194">
        <f t="shared" ref="L6" si="21">E6/100</f>
        <v>-2.2000000000000001E-3</v>
      </c>
      <c r="M6" s="3194">
        <f t="shared" ref="M6" si="22">F6/100</f>
        <v>-8.199999999999999E-3</v>
      </c>
      <c r="N6" s="3194">
        <f t="shared" ref="N6" si="23">G6/100</f>
        <v>-3.9000000000000003E-3</v>
      </c>
      <c r="O6" s="3194">
        <f t="shared" ref="O6" si="24">H6/100</f>
        <v>4.0000000000000002E-4</v>
      </c>
      <c r="P6" s="3194">
        <f t="shared" si="10"/>
        <v>-8.199999999999999E-3</v>
      </c>
      <c r="Q6" s="3192"/>
      <c r="R6" s="3192">
        <f>ROUND(IF(项目基本情况!$B$8="出让",SUMPRODUCT(PRODUCT(1+K6:$K$24)),SUMPRODUCT(PRODUCT(1+K6:$K$23))),4)</f>
        <v>1.0529999999999999</v>
      </c>
      <c r="S6" s="3192">
        <f>ROUND(IF(项目基本情况!$B$8="出让",SUMPRODUCT(PRODUCT(1+L6:$L$24)),SUMPRODUCT(PRODUCT(1+L6:$L$23))),4)</f>
        <v>1.0251999999999999</v>
      </c>
      <c r="T6" s="3192">
        <f>ROUND(IF(项目基本情况!$B$8="出让",SUMPRODUCT(PRODUCT(1+M6:$M$24)),SUMPRODUCT(PRODUCT(1+M6:$M$23))),4)</f>
        <v>0.97289999999999999</v>
      </c>
      <c r="U6" s="3192">
        <f>ROUND(IF(项目基本情况!$B$8="出让",SUMPRODUCT(PRODUCT(1+N6:$N$24)),SUMPRODUCT(PRODUCT(1+N6:$N$23))),4)</f>
        <v>1.0647</v>
      </c>
      <c r="V6" s="3192">
        <f>ROUND(IF(项目基本情况!$B$8="出让",SUMPRODUCT(PRODUCT(1+O6:$O$24)),SUMPRODUCT(PRODUCT(1+O6:$O$23))),4)</f>
        <v>1.0894999999999999</v>
      </c>
      <c r="W6" s="3192">
        <f t="shared" si="11"/>
        <v>0.97289999999999999</v>
      </c>
      <c r="X6" s="3192"/>
      <c r="Y6" s="3194">
        <f t="shared" si="12"/>
        <v>1.4E-3</v>
      </c>
      <c r="Z6" s="3194">
        <f t="shared" ref="Z6" si="25">IF(E6=0,0,ROUND(AVERAGE(E6:E19)/100,4))</f>
        <v>5.0000000000000001E-4</v>
      </c>
      <c r="AA6" s="3194">
        <f t="shared" ref="AA6" si="26">IF(F6=0,0,ROUND(AVERAGE(F6:F19)/100,4))</f>
        <v>-2.7000000000000001E-3</v>
      </c>
      <c r="AB6" s="3194">
        <f t="shared" ref="AB6" si="27">IF(G6=0,0,ROUND(AVERAGE(G6:G19)/100,4))</f>
        <v>2E-3</v>
      </c>
      <c r="AC6" s="3194">
        <f t="shared" ref="AC6" si="28">IF(H6=0,0,ROUND(AVERAGE(H6:H19)/100,4))</f>
        <v>4.1999999999999997E-3</v>
      </c>
      <c r="AD6" s="3194">
        <f t="shared" ref="AD6" si="29">AA6</f>
        <v>-2.7000000000000001E-3</v>
      </c>
      <c r="AF6" s="3459">
        <f t="shared" ref="AF6:AF23" si="30">$AF$24*R6</f>
        <v>105.3</v>
      </c>
      <c r="AG6" s="3459">
        <f t="shared" ref="AG6:AG23" si="31">$AF$24*S6</f>
        <v>102.51999999999998</v>
      </c>
      <c r="AH6" s="3459">
        <f t="shared" ref="AH6:AH23" si="32">$AF$24*T6</f>
        <v>97.289999999999992</v>
      </c>
      <c r="AI6" s="3459">
        <f t="shared" ref="AI6:AI23" si="33">$AF$24*U6</f>
        <v>106.47</v>
      </c>
      <c r="AJ6" s="3459">
        <f t="shared" ref="AJ6:AJ23" si="34">$AF$24*V6</f>
        <v>108.94999999999999</v>
      </c>
      <c r="AK6" s="3459">
        <f t="shared" ref="AK6:AK23" si="35">$AF$24*W6</f>
        <v>97.289999999999992</v>
      </c>
      <c r="AM6" s="3459">
        <f>AM5/(1+D5/100)</f>
        <v>100</v>
      </c>
      <c r="AN6" s="3459">
        <f t="shared" ref="AN6:AR6" si="36">AN5/(1+E5/100)</f>
        <v>100</v>
      </c>
      <c r="AO6" s="3459">
        <f t="shared" si="36"/>
        <v>100</v>
      </c>
      <c r="AP6" s="3459">
        <f t="shared" si="36"/>
        <v>100</v>
      </c>
      <c r="AQ6" s="3459">
        <f t="shared" si="36"/>
        <v>100</v>
      </c>
      <c r="AR6" s="3459">
        <f t="shared" si="36"/>
        <v>100</v>
      </c>
    </row>
    <row r="7" spans="1:44" s="3185" customFormat="1" ht="13.2">
      <c r="A7" s="2205" t="s">
        <v>3414</v>
      </c>
      <c r="B7" s="3177">
        <v>2025</v>
      </c>
      <c r="C7" s="3178">
        <v>2</v>
      </c>
      <c r="D7" s="3179">
        <v>0.05</v>
      </c>
      <c r="E7" s="3179">
        <v>-0.62</v>
      </c>
      <c r="F7" s="3179">
        <v>-1.05</v>
      </c>
      <c r="G7" s="3179">
        <v>0.09</v>
      </c>
      <c r="H7" s="3179">
        <v>0.17</v>
      </c>
      <c r="I7" s="3180">
        <f t="shared" ref="I7" si="37">F7</f>
        <v>-1.05</v>
      </c>
      <c r="J7" s="3181"/>
      <c r="K7" s="3182">
        <f t="shared" ref="K7" si="38">D7/100</f>
        <v>5.0000000000000001E-4</v>
      </c>
      <c r="L7" s="3172">
        <f t="shared" ref="L7" si="39">E7/100</f>
        <v>-6.1999999999999998E-3</v>
      </c>
      <c r="M7" s="3172">
        <f t="shared" ref="M7" si="40">F7/100</f>
        <v>-1.0500000000000001E-2</v>
      </c>
      <c r="N7" s="3172">
        <f t="shared" ref="N7" si="41">G7/100</f>
        <v>8.9999999999999998E-4</v>
      </c>
      <c r="O7" s="3172">
        <f t="shared" ref="O7" si="42">H7/100</f>
        <v>1.7000000000000001E-3</v>
      </c>
      <c r="P7" s="3172">
        <f t="shared" si="10"/>
        <v>-1.0500000000000001E-2</v>
      </c>
      <c r="Q7" s="3181"/>
      <c r="R7" s="3183">
        <f>ROUND(IF(项目基本情况!$B$8="出让",SUMPRODUCT(PRODUCT(1+K7:$K$24)),SUMPRODUCT(PRODUCT(1+K7:$K$23))),4)</f>
        <v>1.0577000000000001</v>
      </c>
      <c r="S7" s="3183">
        <f>ROUND(IF(项目基本情况!$B$8="出让",SUMPRODUCT(PRODUCT(1+L7:$L$24)),SUMPRODUCT(PRODUCT(1+L7:$L$23))),4)</f>
        <v>1.0275000000000001</v>
      </c>
      <c r="T7" s="3183">
        <f>ROUND(IF(项目基本情况!$B$8="出让",SUMPRODUCT(PRODUCT(1+M7:$M$24)),SUMPRODUCT(PRODUCT(1+M7:$M$23))),4)</f>
        <v>0.98089999999999999</v>
      </c>
      <c r="U7" s="3183">
        <f>ROUND(IF(项目基本情况!$B$8="出让",SUMPRODUCT(PRODUCT(1+N7:$N$24)),SUMPRODUCT(PRODUCT(1+N7:$N$23))),4)</f>
        <v>1.0689</v>
      </c>
      <c r="V7" s="3183">
        <f>ROUND(IF(项目基本情况!$B$8="出让",SUMPRODUCT(PRODUCT(1+O7:$O$24)),SUMPRODUCT(PRODUCT(1+O7:$O$23))),4)</f>
        <v>1.0891</v>
      </c>
      <c r="W7" s="3183">
        <f t="shared" si="11"/>
        <v>0.98089999999999999</v>
      </c>
      <c r="X7" s="3181"/>
      <c r="Y7" s="3184">
        <f t="shared" si="12"/>
        <v>2.3E-3</v>
      </c>
      <c r="Z7" s="3184">
        <f t="shared" ref="Z7" si="43">IF(E7=0,0,ROUND(AVERAGE(E7:E20)/100,4))</f>
        <v>1E-3</v>
      </c>
      <c r="AA7" s="3184">
        <f t="shared" ref="AA7" si="44">IF(F7=0,0,ROUND(AVERAGE(F7:F20)/100,4))</f>
        <v>-1.9E-3</v>
      </c>
      <c r="AB7" s="3184">
        <f t="shared" ref="AB7" si="45">IF(G7=0,0,ROUND(AVERAGE(G7:G20)/100,4))</f>
        <v>2.8999999999999998E-3</v>
      </c>
      <c r="AC7" s="3184">
        <f t="shared" ref="AC7" si="46">IF(H7=0,0,ROUND(AVERAGE(H7:H20)/100,4))</f>
        <v>4.7000000000000002E-3</v>
      </c>
      <c r="AD7" s="3184">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100.45203415369161</v>
      </c>
      <c r="AN7" s="3458">
        <f t="shared" ref="AN7:AN24" si="49">AN6/(1+E6/100)</f>
        <v>100.22048506714772</v>
      </c>
      <c r="AO7" s="3458">
        <f t="shared" ref="AO7:AO24" si="50">AO6/(1+F6/100)</f>
        <v>100.8267795926598</v>
      </c>
      <c r="AP7" s="3458">
        <f t="shared" ref="AP7:AP24" si="51">AP6/(1+G6/100)</f>
        <v>100.39152695512499</v>
      </c>
      <c r="AQ7" s="3458">
        <f t="shared" ref="AQ7:AQ24" si="52">AQ6/(1+H6/100)</f>
        <v>99.960015993602568</v>
      </c>
      <c r="AR7" s="3458">
        <f t="shared" ref="AR7:AR24" si="53">AR6/(1+I6/100)</f>
        <v>100.8267795926598</v>
      </c>
    </row>
    <row r="8" spans="1:44" s="3185" customFormat="1" ht="13.2">
      <c r="A8" s="2205" t="s">
        <v>3405</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100.40183323707308</v>
      </c>
      <c r="AN8" s="3458">
        <f t="shared" si="49"/>
        <v>100.84572858437082</v>
      </c>
      <c r="AO8" s="3458">
        <f t="shared" si="50"/>
        <v>101.89669488899423</v>
      </c>
      <c r="AP8" s="3458">
        <f t="shared" si="51"/>
        <v>100.3012558248826</v>
      </c>
      <c r="AQ8" s="3458">
        <f t="shared" si="52"/>
        <v>99.790372360589558</v>
      </c>
      <c r="AR8" s="3458">
        <f t="shared" si="53"/>
        <v>101.89669488899423</v>
      </c>
    </row>
    <row r="9" spans="1:44" s="3185" customFormat="1" ht="13.2">
      <c r="A9" s="2205" t="s">
        <v>3404</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99.832786354850427</v>
      </c>
      <c r="AN9" s="3458">
        <f t="shared" si="49"/>
        <v>101.42384449800947</v>
      </c>
      <c r="AO9" s="3458">
        <f t="shared" si="50"/>
        <v>102.82209373258752</v>
      </c>
      <c r="AP9" s="3458">
        <f t="shared" si="51"/>
        <v>99.190324193910797</v>
      </c>
      <c r="AQ9" s="3458">
        <f t="shared" si="52"/>
        <v>99.373005736496282</v>
      </c>
      <c r="AR9" s="3458">
        <f t="shared" si="53"/>
        <v>102.82209373258752</v>
      </c>
    </row>
    <row r="10" spans="1:44" s="3185" customFormat="1" ht="13.2">
      <c r="A10" s="2205" t="s">
        <v>3379</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100.86157441387192</v>
      </c>
      <c r="AN10" s="3458">
        <f t="shared" si="49"/>
        <v>101.91302702774264</v>
      </c>
      <c r="AO10" s="3458">
        <f t="shared" si="50"/>
        <v>103.59908688421916</v>
      </c>
      <c r="AP10" s="3458">
        <f t="shared" si="51"/>
        <v>100.24287437484668</v>
      </c>
      <c r="AQ10" s="3458">
        <f t="shared" si="52"/>
        <v>99.293570879792455</v>
      </c>
      <c r="AR10" s="3458">
        <f t="shared" si="53"/>
        <v>103.59908688421916</v>
      </c>
    </row>
    <row r="11" spans="1:44" s="3185" customFormat="1" ht="13.2">
      <c r="A11" s="3176" t="s">
        <v>3373</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102.07628217171533</v>
      </c>
      <c r="AN11" s="3458">
        <f t="shared" si="49"/>
        <v>102.39428014442143</v>
      </c>
      <c r="AO11" s="3458">
        <f t="shared" si="50"/>
        <v>103.90039803853091</v>
      </c>
      <c r="AP11" s="3458">
        <f t="shared" si="51"/>
        <v>100.99020186867487</v>
      </c>
      <c r="AQ11" s="3458">
        <f t="shared" si="52"/>
        <v>99.502526184780493</v>
      </c>
      <c r="AR11" s="3458">
        <f t="shared" si="53"/>
        <v>103.90039803853091</v>
      </c>
    </row>
    <row r="12" spans="1:44" s="3185" customFormat="1" ht="13.2">
      <c r="A12" s="3176" t="s">
        <v>3372</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102.68210660065922</v>
      </c>
      <c r="AN12" s="3458">
        <f t="shared" si="49"/>
        <v>102.60976064176914</v>
      </c>
      <c r="AO12" s="3458">
        <f t="shared" si="50"/>
        <v>105.35428720191737</v>
      </c>
      <c r="AP12" s="3458">
        <f t="shared" si="51"/>
        <v>102.25820359323093</v>
      </c>
      <c r="AQ12" s="3458">
        <f t="shared" si="52"/>
        <v>99.165363947359467</v>
      </c>
      <c r="AR12" s="3458">
        <f t="shared" si="53"/>
        <v>105.35428720191737</v>
      </c>
    </row>
    <row r="13" spans="1:44" s="3185" customFormat="1" ht="13.2">
      <c r="A13" s="3176" t="s">
        <v>3368</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102.60002657939572</v>
      </c>
      <c r="AN13" s="3458">
        <f t="shared" si="49"/>
        <v>102.13991702346122</v>
      </c>
      <c r="AO13" s="3458">
        <f t="shared" si="50"/>
        <v>105.52312420063839</v>
      </c>
      <c r="AP13" s="3458">
        <f t="shared" si="51"/>
        <v>101.99302173671548</v>
      </c>
      <c r="AQ13" s="3458">
        <f t="shared" si="52"/>
        <v>98.583719999363225</v>
      </c>
      <c r="AR13" s="3458">
        <f t="shared" si="53"/>
        <v>105.52312420063839</v>
      </c>
    </row>
    <row r="14" spans="1:44" s="3185" customFormat="1" ht="13.2">
      <c r="A14" s="3176" t="s">
        <v>3367</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102.40545621259179</v>
      </c>
      <c r="AN14" s="3458">
        <f t="shared" si="49"/>
        <v>101.89536813992541</v>
      </c>
      <c r="AO14" s="3458">
        <f t="shared" si="50"/>
        <v>105.69223177147275</v>
      </c>
      <c r="AP14" s="3458">
        <f t="shared" si="51"/>
        <v>101.81992785935456</v>
      </c>
      <c r="AQ14" s="3458">
        <f t="shared" si="52"/>
        <v>97.986005366626799</v>
      </c>
      <c r="AR14" s="3458">
        <f t="shared" si="53"/>
        <v>105.69223177147275</v>
      </c>
    </row>
    <row r="15" spans="1:44" s="3185" customFormat="1" ht="13.2">
      <c r="A15" s="3176" t="s">
        <v>3365</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102.15008101006663</v>
      </c>
      <c r="AN15" s="3458">
        <f t="shared" si="49"/>
        <v>101.38842600987604</v>
      </c>
      <c r="AO15" s="3458">
        <f t="shared" si="50"/>
        <v>105.36559841638196</v>
      </c>
      <c r="AP15" s="3458">
        <f t="shared" si="51"/>
        <v>101.60655409575348</v>
      </c>
      <c r="AQ15" s="3458">
        <f t="shared" si="52"/>
        <v>97.56646954757224</v>
      </c>
      <c r="AR15" s="3458">
        <f t="shared" si="53"/>
        <v>105.36559841638196</v>
      </c>
    </row>
    <row r="16" spans="1:44" s="3185" customFormat="1" ht="13.2">
      <c r="A16" s="3176" t="s">
        <v>3364</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101.22889803792152</v>
      </c>
      <c r="AN16" s="3458">
        <f t="shared" si="49"/>
        <v>100.7236499204014</v>
      </c>
      <c r="AO16" s="3458">
        <f t="shared" si="50"/>
        <v>104.87269674169599</v>
      </c>
      <c r="AP16" s="3458">
        <f t="shared" si="51"/>
        <v>100.6404061962693</v>
      </c>
      <c r="AQ16" s="3458">
        <f t="shared" si="52"/>
        <v>96.878631265586563</v>
      </c>
      <c r="AR16" s="3458">
        <f t="shared" si="53"/>
        <v>104.87269674169599</v>
      </c>
    </row>
    <row r="17" spans="1:44" s="3185" customFormat="1" ht="13.2">
      <c r="A17" s="3176" t="s">
        <v>3363</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100.33590845269256</v>
      </c>
      <c r="AN17" s="3458">
        <f t="shared" si="49"/>
        <v>99.98377002223684</v>
      </c>
      <c r="AO17" s="3458">
        <f t="shared" si="50"/>
        <v>104.27831037257232</v>
      </c>
      <c r="AP17" s="3458">
        <f t="shared" si="51"/>
        <v>99.722955010175667</v>
      </c>
      <c r="AQ17" s="3458">
        <f t="shared" si="52"/>
        <v>96.396648025459271</v>
      </c>
      <c r="AR17" s="3458">
        <f t="shared" si="53"/>
        <v>104.27831037257232</v>
      </c>
    </row>
    <row r="18" spans="1:44" s="3185" customFormat="1" ht="13.2">
      <c r="A18" s="3176" t="s">
        <v>3361</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99.717658967096568</v>
      </c>
      <c r="AN18" s="3458">
        <f t="shared" si="49"/>
        <v>99.784201618998836</v>
      </c>
      <c r="AO18" s="3458">
        <f t="shared" si="50"/>
        <v>104.1637302692761</v>
      </c>
      <c r="AP18" s="3458">
        <f t="shared" si="51"/>
        <v>99.039581895099488</v>
      </c>
      <c r="AQ18" s="3458">
        <f t="shared" si="52"/>
        <v>95.888439297184192</v>
      </c>
      <c r="AR18" s="3458">
        <f t="shared" si="53"/>
        <v>104.1637302692761</v>
      </c>
    </row>
    <row r="19" spans="1:44" s="3185" customFormat="1" ht="13.2">
      <c r="A19" s="3176" t="s">
        <v>3352</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99.063837638681278</v>
      </c>
      <c r="AN19" s="3458">
        <f t="shared" si="49"/>
        <v>99.465910704743649</v>
      </c>
      <c r="AO19" s="3458">
        <f t="shared" si="50"/>
        <v>103.92470345133803</v>
      </c>
      <c r="AP19" s="3458">
        <f t="shared" si="51"/>
        <v>98.331594415309254</v>
      </c>
      <c r="AQ19" s="3458">
        <f t="shared" si="52"/>
        <v>95.288124115258071</v>
      </c>
      <c r="AR19" s="3458">
        <f t="shared" si="53"/>
        <v>103.92470345133803</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98.151033031488424</v>
      </c>
      <c r="AN20" s="3458">
        <f t="shared" si="49"/>
        <v>99.316935301790963</v>
      </c>
      <c r="AO20" s="3458">
        <f t="shared" si="50"/>
        <v>103.91431202013602</v>
      </c>
      <c r="AP20" s="3458">
        <f t="shared" si="51"/>
        <v>97.309841083928021</v>
      </c>
      <c r="AQ20" s="3458">
        <f t="shared" si="52"/>
        <v>94.270008028549739</v>
      </c>
      <c r="AR20" s="3458">
        <f t="shared" si="53"/>
        <v>103.91431202013602</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97.285194797788122</v>
      </c>
      <c r="AN21" s="3458">
        <f t="shared" si="49"/>
        <v>98.881855139178583</v>
      </c>
      <c r="AO21" s="3458">
        <f t="shared" si="50"/>
        <v>103.53124640842485</v>
      </c>
      <c r="AP21" s="3458">
        <f t="shared" si="51"/>
        <v>96.384549409595891</v>
      </c>
      <c r="AQ21" s="3458">
        <f t="shared" si="52"/>
        <v>93.670516721531939</v>
      </c>
      <c r="AR21" s="3458">
        <f t="shared" si="53"/>
        <v>103.53124640842485</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96.293373055318341</v>
      </c>
      <c r="AN22" s="3458">
        <f t="shared" si="49"/>
        <v>98.645106882660201</v>
      </c>
      <c r="AO22" s="3458">
        <f t="shared" si="50"/>
        <v>103.45882523076332</v>
      </c>
      <c r="AP22" s="3458">
        <f t="shared" si="51"/>
        <v>95.269891676975277</v>
      </c>
      <c r="AQ22" s="3458">
        <f t="shared" si="52"/>
        <v>93.158146913507636</v>
      </c>
      <c r="AR22" s="3458">
        <f t="shared" si="53"/>
        <v>103.45882523076332</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95.842911371870557</v>
      </c>
      <c r="AN23" s="3458">
        <f t="shared" si="49"/>
        <v>98.242313397729504</v>
      </c>
      <c r="AO23" s="3458">
        <f t="shared" si="50"/>
        <v>103.21111854625232</v>
      </c>
      <c r="AP23" s="3458">
        <f t="shared" si="51"/>
        <v>94.81478072947381</v>
      </c>
      <c r="AQ23" s="3458">
        <f t="shared" si="52"/>
        <v>92.713123918697889</v>
      </c>
      <c r="AR23" s="3458">
        <f t="shared" si="53"/>
        <v>103.21111854625232</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94.969194779895503</v>
      </c>
      <c r="AN24" s="3465">
        <f t="shared" si="49"/>
        <v>97.540025216173049</v>
      </c>
      <c r="AO24" s="3465">
        <f t="shared" si="50"/>
        <v>102.78968085474786</v>
      </c>
      <c r="AP24" s="3465">
        <f t="shared" si="51"/>
        <v>93.922516819686777</v>
      </c>
      <c r="AQ24" s="3465">
        <f t="shared" si="52"/>
        <v>91.78608446559538</v>
      </c>
      <c r="AR24" s="3465">
        <f t="shared" si="53"/>
        <v>102.78968085474786</v>
      </c>
    </row>
    <row r="25" spans="1:44" s="3009" customFormat="1" ht="15" thickTop="1"/>
    <row r="26" spans="1:44" s="3009" customFormat="1">
      <c r="A26" s="3448" t="s">
        <v>3378</v>
      </c>
    </row>
    <row r="27" spans="1:44" s="3009" customFormat="1">
      <c r="I27" s="3208" t="s">
        <v>2825</v>
      </c>
    </row>
    <row r="28" spans="1:44" s="3009" customFormat="1"/>
    <row r="29" spans="1:44" s="3209" customFormat="1" ht="13.2">
      <c r="B29" s="3210" t="s">
        <v>3376</v>
      </c>
      <c r="C29" s="3211"/>
      <c r="D29" s="3211"/>
      <c r="E29" s="3211"/>
      <c r="F29" s="3211"/>
      <c r="G29" s="3211"/>
      <c r="H29" s="3211"/>
      <c r="I29" s="3211"/>
      <c r="J29" s="3165"/>
      <c r="K29" s="3211" t="s">
        <v>2826</v>
      </c>
      <c r="L29" s="3211"/>
      <c r="M29" s="3211"/>
      <c r="N29" s="3211"/>
      <c r="O29" s="3211"/>
      <c r="P29" s="3211"/>
      <c r="Q29" s="3165"/>
      <c r="R29" s="3835" t="s">
        <v>2827</v>
      </c>
      <c r="S29" s="3836"/>
      <c r="T29" s="3836"/>
      <c r="U29" s="3836"/>
      <c r="V29" s="3836"/>
      <c r="W29" s="3836"/>
      <c r="X29" s="3165"/>
      <c r="Y29" s="3835" t="s">
        <v>2828</v>
      </c>
      <c r="Z29" s="3836"/>
      <c r="AA29" s="3836"/>
      <c r="AB29" s="3836"/>
      <c r="AC29" s="3836"/>
      <c r="AD29" s="3836"/>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3401</v>
      </c>
      <c r="AJ30"/>
      <c r="AK30" t="s">
        <v>3402</v>
      </c>
      <c r="AN30" t="s">
        <v>673</v>
      </c>
      <c r="AO30" t="s">
        <v>21</v>
      </c>
      <c r="AP30" t="s">
        <v>3401</v>
      </c>
      <c r="AQ30"/>
      <c r="AR30" t="s">
        <v>3402</v>
      </c>
    </row>
    <row r="31" spans="1:44" s="3161" customFormat="1" ht="13.2">
      <c r="A31" s="3149" t="s">
        <v>2834</v>
      </c>
      <c r="B31" s="3150"/>
      <c r="C31" s="3151"/>
      <c r="D31" s="3151"/>
      <c r="E31" s="3151">
        <f t="shared" ref="E31:G31" si="115">ROUND(AVERAGEIF(E32:E52,"&lt;&gt;0"),2)</f>
        <v>0.04</v>
      </c>
      <c r="F31" s="3151">
        <f t="shared" si="115"/>
        <v>-7.0000000000000007E-2</v>
      </c>
      <c r="G31" s="3151">
        <f t="shared" si="115"/>
        <v>0.2</v>
      </c>
      <c r="H31" s="3151"/>
      <c r="I31" s="3151">
        <f>F31</f>
        <v>-7.0000000000000007E-2</v>
      </c>
      <c r="J31" s="3152"/>
      <c r="K31" s="3153"/>
      <c r="L31" s="3154">
        <f t="shared" ref="L31:N31" si="116">ROUND(AVERAGEIF(L32:L52,"&lt;&gt;0"),4)</f>
        <v>4.0000000000000002E-4</v>
      </c>
      <c r="M31" s="3154">
        <f t="shared" si="116"/>
        <v>-6.9999999999999999E-4</v>
      </c>
      <c r="N31" s="3154">
        <f t="shared" si="116"/>
        <v>2E-3</v>
      </c>
      <c r="O31" s="3154"/>
      <c r="P31" s="3154">
        <f>M31</f>
        <v>-6.9999999999999999E-4</v>
      </c>
      <c r="Q31" s="3152"/>
      <c r="R31" s="3155"/>
      <c r="S31" s="3156">
        <f>ROUND(SUMPRODUCT(PRODUCT(1+L32:L52)),4)</f>
        <v>1.0072000000000001</v>
      </c>
      <c r="T31" s="3156">
        <f t="shared" ref="T31:U31" si="117">ROUND(SUMPRODUCT(PRODUCT(1+M32:M52)),4)</f>
        <v>0.98699999999999999</v>
      </c>
      <c r="U31" s="3156">
        <f t="shared" si="117"/>
        <v>1.0375000000000001</v>
      </c>
      <c r="V31" s="3156"/>
      <c r="W31" s="3155">
        <f>T31</f>
        <v>0.98699999999999999</v>
      </c>
      <c r="X31" s="3152"/>
      <c r="Y31" s="3157"/>
      <c r="Z31" s="3158">
        <f t="shared" ref="Z31:AB31" si="118">ROUND(AVERAGEIF(Z32:Z52,"&lt;&gt;0"),4)</f>
        <v>2.8999999999999998E-3</v>
      </c>
      <c r="AA31" s="3159">
        <f t="shared" si="118"/>
        <v>2.3E-3</v>
      </c>
      <c r="AB31" s="3157">
        <f t="shared" si="118"/>
        <v>6.0000000000000001E-3</v>
      </c>
      <c r="AC31" s="3160"/>
      <c r="AD31" s="3157">
        <f>AA31</f>
        <v>2.3E-3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3399</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1.0037</v>
      </c>
      <c r="T33" s="3183">
        <f>ROUND(IF(项目基本情况!$B$8="出让",SUMPRODUCT(PRODUCT(1+M33:M$52)),SUMPRODUCT(PRODUCT(1+M33:M$51))),4)</f>
        <v>0.98229999999999995</v>
      </c>
      <c r="U33" s="3183">
        <f>ROUND(IF(项目基本情况!$B$8="出让",SUMPRODUCT(PRODUCT(1+N33:N$52)),SUMPRODUCT(PRODUCT(1+N33:N$51))),4)</f>
        <v>1.0274000000000001</v>
      </c>
      <c r="V33" s="3183"/>
      <c r="W33" s="3183">
        <f t="shared" ref="W33:W39" si="124">T33</f>
        <v>0.98229999999999995</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100.37</v>
      </c>
      <c r="AH33" s="3458">
        <f t="shared" ref="AH33:AH50" si="130">$AG$52*T33</f>
        <v>98.22999999999999</v>
      </c>
      <c r="AI33" s="3458">
        <f t="shared" ref="AI33:AI50" si="131">$AG$52*U33</f>
        <v>102.74000000000001</v>
      </c>
      <c r="AJ33" s="3460"/>
      <c r="AK33" s="3458">
        <f t="shared" ref="AK33:AK50" si="132">$AG$52*W33</f>
        <v>98.22999999999999</v>
      </c>
      <c r="AN33" s="3463">
        <v>100</v>
      </c>
      <c r="AO33" s="3463">
        <v>100</v>
      </c>
      <c r="AP33" s="3463">
        <v>100</v>
      </c>
      <c r="AQ33" s="3463"/>
      <c r="AR33" s="3463">
        <v>100</v>
      </c>
    </row>
    <row r="34" spans="1:44" s="3195" customFormat="1" ht="13.2">
      <c r="A34" s="3186" t="s">
        <v>3415</v>
      </c>
      <c r="B34" s="3187">
        <v>2025</v>
      </c>
      <c r="C34" s="3188">
        <v>3</v>
      </c>
      <c r="D34" s="3189"/>
      <c r="E34" s="3189">
        <v>-0.8</v>
      </c>
      <c r="F34" s="3189">
        <v>-1.45</v>
      </c>
      <c r="G34" s="3189">
        <v>-0.62</v>
      </c>
      <c r="H34" s="3190"/>
      <c r="I34" s="3191">
        <f t="shared" ref="I34" si="133">F34</f>
        <v>-1.45</v>
      </c>
      <c r="J34" s="3192"/>
      <c r="K34" s="3193"/>
      <c r="L34" s="3194">
        <f t="shared" ref="L34" si="134">E34/100</f>
        <v>-8.0000000000000002E-3</v>
      </c>
      <c r="M34" s="3194">
        <f t="shared" ref="M34" si="135">F34/100</f>
        <v>-1.4499999999999999E-2</v>
      </c>
      <c r="N34" s="3194">
        <f t="shared" ref="N34" si="136">G34/100</f>
        <v>-6.1999999999999998E-3</v>
      </c>
      <c r="O34" s="3194"/>
      <c r="P34" s="3194">
        <f t="shared" si="123"/>
        <v>-1.4499999999999999E-2</v>
      </c>
      <c r="Q34" s="3192"/>
      <c r="R34" s="3192"/>
      <c r="S34" s="3192">
        <f>ROUND(IF(项目基本情况!$B$8="出让",SUMPRODUCT(PRODUCT(1+L34:L$52)),SUMPRODUCT(PRODUCT(1+L34:L$51))),4)</f>
        <v>1.0037</v>
      </c>
      <c r="T34" s="3192">
        <f>ROUND(IF(项目基本情况!$B$8="出让",SUMPRODUCT(PRODUCT(1+M34:M$52)),SUMPRODUCT(PRODUCT(1+M34:M$51))),4)</f>
        <v>0.98229999999999995</v>
      </c>
      <c r="U34" s="3192">
        <f>ROUND(IF(项目基本情况!$B$8="出让",SUMPRODUCT(PRODUCT(1+N34:N$52)),SUMPRODUCT(PRODUCT(1+N34:N$51))),4)</f>
        <v>1.0274000000000001</v>
      </c>
      <c r="V34" s="3192"/>
      <c r="W34" s="3192">
        <f t="shared" si="124"/>
        <v>0.98229999999999995</v>
      </c>
      <c r="X34" s="3192"/>
      <c r="Y34" s="3194"/>
      <c r="Z34" s="3215">
        <f t="shared" ref="Z34" si="137">IF(E34=0,0,ROUND(AVERAGE(E34:E47)/100,4))</f>
        <v>-1.2999999999999999E-3</v>
      </c>
      <c r="AA34" s="3216">
        <f t="shared" ref="AA34" si="138">IF(F34=0,0,ROUND(AVERAGE(F34:F47)/100,4))</f>
        <v>-2.2000000000000001E-3</v>
      </c>
      <c r="AB34" s="3194">
        <f t="shared" ref="AB34" si="139">IF(G34=0,0,ROUND(AVERAGE(G34:G47)/100,4))</f>
        <v>-2.9999999999999997E-4</v>
      </c>
      <c r="AC34" s="3217"/>
      <c r="AD34" s="3194">
        <f t="shared" si="128"/>
        <v>-2.2000000000000001E-3</v>
      </c>
      <c r="AG34" s="3459">
        <f t="shared" si="129"/>
        <v>100.37</v>
      </c>
      <c r="AH34" s="3459">
        <f t="shared" si="130"/>
        <v>98.22999999999999</v>
      </c>
      <c r="AI34" s="3459">
        <f t="shared" si="131"/>
        <v>102.74000000000001</v>
      </c>
      <c r="AJ34" s="3461"/>
      <c r="AK34" s="3459">
        <f t="shared" si="132"/>
        <v>98.22999999999999</v>
      </c>
      <c r="AN34" s="3459">
        <f>AN33/(1+E33/100)</f>
        <v>100</v>
      </c>
      <c r="AO34" s="3459">
        <f t="shared" ref="AO34:AR34" si="140">AO33/(1+F33/100)</f>
        <v>100</v>
      </c>
      <c r="AP34" s="3459">
        <f t="shared" si="140"/>
        <v>100</v>
      </c>
      <c r="AQ34" s="3459"/>
      <c r="AR34" s="3459">
        <f t="shared" si="140"/>
        <v>100</v>
      </c>
    </row>
    <row r="35" spans="1:44" s="3185" customFormat="1" ht="13.2">
      <c r="A35" s="2205" t="s">
        <v>3414</v>
      </c>
      <c r="B35" s="3177">
        <v>2025</v>
      </c>
      <c r="C35" s="3178">
        <v>2</v>
      </c>
      <c r="D35" s="3179"/>
      <c r="E35" s="3179">
        <v>-0.31</v>
      </c>
      <c r="F35" s="3179">
        <v>-1.03</v>
      </c>
      <c r="G35" s="3179">
        <v>0.03</v>
      </c>
      <c r="H35" s="3179"/>
      <c r="I35" s="3180">
        <f t="shared" ref="I35" si="141">F35</f>
        <v>-1.03</v>
      </c>
      <c r="J35" s="3181"/>
      <c r="K35" s="3182"/>
      <c r="L35" s="3172">
        <f t="shared" ref="L35" si="142">E35/100</f>
        <v>-3.0999999999999999E-3</v>
      </c>
      <c r="M35" s="3172">
        <f t="shared" ref="M35" si="143">F35/100</f>
        <v>-1.03E-2</v>
      </c>
      <c r="N35" s="3172">
        <f t="shared" ref="N35" si="144">G35/100</f>
        <v>2.9999999999999997E-4</v>
      </c>
      <c r="O35" s="3172"/>
      <c r="P35" s="3172">
        <f t="shared" si="123"/>
        <v>-1.03E-2</v>
      </c>
      <c r="Q35" s="3181"/>
      <c r="R35" s="3183"/>
      <c r="S35" s="3183">
        <f>ROUND(IF(项目基本情况!$B$8="出让",SUMPRODUCT(PRODUCT(1+L35:L$52)),SUMPRODUCT(PRODUCT(1+L35:L$51))),4)</f>
        <v>1.0118</v>
      </c>
      <c r="T35" s="3183">
        <f>ROUND(IF(项目基本情况!$B$8="出让",SUMPRODUCT(PRODUCT(1+M35:M$52)),SUMPRODUCT(PRODUCT(1+M35:M$51))),4)</f>
        <v>0.99680000000000002</v>
      </c>
      <c r="U35" s="3183">
        <f>ROUND(IF(项目基本情况!$B$8="出让",SUMPRODUCT(PRODUCT(1+N35:N$52)),SUMPRODUCT(PRODUCT(1+N35:N$51))),4)</f>
        <v>1.0338000000000001</v>
      </c>
      <c r="V35" s="3183"/>
      <c r="W35" s="3183">
        <f t="shared" si="124"/>
        <v>0.99680000000000002</v>
      </c>
      <c r="X35" s="3181"/>
      <c r="Y35" s="3184"/>
      <c r="Z35" s="3212">
        <f t="shared" ref="Z35" si="145">IF(E35=0,0,ROUND(AVERAGE(E35:E48)/100,4))</f>
        <v>-2.9999999999999997E-4</v>
      </c>
      <c r="AA35" s="3212">
        <f t="shared" ref="AA35" si="146">IF(F35=0,0,ROUND(AVERAGE(F35:F48)/100,4))</f>
        <v>-8.0000000000000004E-4</v>
      </c>
      <c r="AB35" s="3212">
        <f t="shared" ref="AB35" si="147">IF(G35=0,0,ROUND(AVERAGE(G35:G48)/100,4))</f>
        <v>5.0000000000000001E-4</v>
      </c>
      <c r="AC35" s="3213"/>
      <c r="AD35" s="3184">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100.80645161290323</v>
      </c>
      <c r="AO35" s="3458">
        <f t="shared" ref="AO35" si="149">AO34/(1+F34/100)</f>
        <v>101.47133434804667</v>
      </c>
      <c r="AP35" s="3458">
        <f t="shared" ref="AP35" si="150">AP34/(1+G34/100)</f>
        <v>100.6238679814852</v>
      </c>
      <c r="AQ35" s="3458"/>
      <c r="AR35" s="3458">
        <f t="shared" ref="AR35" si="151">AR34/(1+I34/100)</f>
        <v>101.47133434804667</v>
      </c>
    </row>
    <row r="36" spans="1:44" s="3185" customFormat="1" ht="13.2">
      <c r="A36" s="2205" t="s">
        <v>3403</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101.11992337536687</v>
      </c>
      <c r="AO36" s="3458">
        <f t="shared" ref="AO36:AO52" si="159">AO35/(1+F35/100)</f>
        <v>102.52736622011383</v>
      </c>
      <c r="AP36" s="3458">
        <f t="shared" ref="AP36:AP52" si="160">AP35/(1+G35/100)</f>
        <v>100.59368987452285</v>
      </c>
      <c r="AQ36" s="3458"/>
      <c r="AR36" s="3458">
        <f t="shared" ref="AR36:AR52" si="161">AR35/(1+I35/100)</f>
        <v>102.52736622011383</v>
      </c>
    </row>
    <row r="37" spans="1:44" s="3185" customFormat="1" ht="13.2">
      <c r="A37" s="2205" t="s">
        <v>3404</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102.62856325521858</v>
      </c>
      <c r="AO37" s="3458">
        <f t="shared" si="159"/>
        <v>103.54207859029877</v>
      </c>
      <c r="AP37" s="3458">
        <f t="shared" si="160"/>
        <v>101.10934754701262</v>
      </c>
      <c r="AQ37" s="3458"/>
      <c r="AR37" s="3458">
        <f t="shared" si="161"/>
        <v>103.54207859029877</v>
      </c>
    </row>
    <row r="38" spans="1:44" s="3185" customFormat="1" ht="13.2">
      <c r="A38" s="2205" t="s">
        <v>3370</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103.25843973761805</v>
      </c>
      <c r="AO38" s="3458">
        <f t="shared" si="159"/>
        <v>104.28248422831984</v>
      </c>
      <c r="AP38" s="3458">
        <f t="shared" si="160"/>
        <v>102.00700922822097</v>
      </c>
      <c r="AQ38" s="3458"/>
      <c r="AR38" s="3458">
        <f t="shared" si="161"/>
        <v>104.28248422831984</v>
      </c>
    </row>
    <row r="39" spans="1:44" s="3185" customFormat="1" ht="13.2">
      <c r="A39" s="3176" t="s">
        <v>3374</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103.94447326114158</v>
      </c>
      <c r="AO39" s="3458">
        <f t="shared" si="159"/>
        <v>104.82758768427809</v>
      </c>
      <c r="AP39" s="3458">
        <f t="shared" si="160"/>
        <v>105.02111523547921</v>
      </c>
      <c r="AQ39" s="3458"/>
      <c r="AR39" s="3458">
        <f t="shared" si="161"/>
        <v>104.82758768427809</v>
      </c>
    </row>
    <row r="40" spans="1:44" s="3185" customFormat="1" ht="13.2">
      <c r="A40" s="3176" t="s">
        <v>3371</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104.2677031408783</v>
      </c>
      <c r="AO40" s="3458">
        <f t="shared" si="159"/>
        <v>105.23801594646932</v>
      </c>
      <c r="AP40" s="3458">
        <f t="shared" si="160"/>
        <v>103.74505110686478</v>
      </c>
      <c r="AQ40" s="3458"/>
      <c r="AR40" s="3458">
        <f t="shared" si="161"/>
        <v>105.23801594646932</v>
      </c>
    </row>
    <row r="41" spans="1:44" s="3185" customFormat="1" ht="13.2">
      <c r="A41" s="3176" t="s">
        <v>3369</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104.00768393105068</v>
      </c>
      <c r="AO41" s="3458">
        <f t="shared" si="159"/>
        <v>104.81874098253915</v>
      </c>
      <c r="AP41" s="3458">
        <f t="shared" si="160"/>
        <v>104.40278867552055</v>
      </c>
      <c r="AQ41" s="3458"/>
      <c r="AR41" s="3458">
        <f t="shared" si="161"/>
        <v>104.81874098253915</v>
      </c>
    </row>
    <row r="42" spans="1:44" s="3185" customFormat="1" ht="13.2">
      <c r="A42" s="3176" t="s">
        <v>3367</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103.9349294804144</v>
      </c>
      <c r="AO42" s="3458">
        <f t="shared" si="159"/>
        <v>104.72448894249092</v>
      </c>
      <c r="AP42" s="3458">
        <f t="shared" si="160"/>
        <v>104.37147723235086</v>
      </c>
      <c r="AQ42" s="3458"/>
      <c r="AR42" s="3458">
        <f t="shared" si="161"/>
        <v>104.72448894249092</v>
      </c>
    </row>
    <row r="43" spans="1:44" s="3185" customFormat="1" ht="13.2">
      <c r="A43" s="3176" t="s">
        <v>3366</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103.5724259894513</v>
      </c>
      <c r="AO43" s="3458">
        <f t="shared" si="159"/>
        <v>104.5467594514235</v>
      </c>
      <c r="AP43" s="3458">
        <f t="shared" si="160"/>
        <v>103.83155315593996</v>
      </c>
      <c r="AQ43" s="3458"/>
      <c r="AR43" s="3458">
        <f t="shared" si="161"/>
        <v>104.5467594514235</v>
      </c>
    </row>
    <row r="44" spans="1:44" s="3185" customFormat="1" ht="13.2">
      <c r="A44" s="3176" t="s">
        <v>3364</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103.05714028801125</v>
      </c>
      <c r="AO44" s="3458">
        <f t="shared" si="159"/>
        <v>104.07840662162619</v>
      </c>
      <c r="AP44" s="3458">
        <f t="shared" si="160"/>
        <v>102.91560427786695</v>
      </c>
      <c r="AQ44" s="3458"/>
      <c r="AR44" s="3458">
        <f t="shared" si="161"/>
        <v>104.07840662162619</v>
      </c>
    </row>
    <row r="45" spans="1:44" s="3185" customFormat="1" ht="13.2">
      <c r="A45" s="3176" t="s">
        <v>3363</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102.49342644257707</v>
      </c>
      <c r="AO45" s="3458">
        <f t="shared" si="159"/>
        <v>103.46794574174986</v>
      </c>
      <c r="AP45" s="3458">
        <f t="shared" si="160"/>
        <v>102.26113302649736</v>
      </c>
      <c r="AQ45" s="3458"/>
      <c r="AR45" s="3458">
        <f t="shared" si="161"/>
        <v>103.46794574174986</v>
      </c>
    </row>
    <row r="46" spans="1:44" s="3185" customFormat="1" ht="13.2">
      <c r="A46" s="3176" t="s">
        <v>3362</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102.03427221759789</v>
      </c>
      <c r="AO46" s="3458">
        <f t="shared" si="159"/>
        <v>103.26142289595795</v>
      </c>
      <c r="AP46" s="3458">
        <f t="shared" si="160"/>
        <v>101.87401178172679</v>
      </c>
      <c r="AQ46" s="3458"/>
      <c r="AR46" s="3458">
        <f t="shared" si="161"/>
        <v>103.26142289595795</v>
      </c>
    </row>
    <row r="47" spans="1:44" s="3185" customFormat="1" ht="13.2">
      <c r="A47" s="3176" t="s">
        <v>3352</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101.72908496270976</v>
      </c>
      <c r="AO47" s="3458">
        <f t="shared" si="159"/>
        <v>102.96283068696576</v>
      </c>
      <c r="AP47" s="3458">
        <f t="shared" si="160"/>
        <v>101.03541781387166</v>
      </c>
      <c r="AQ47" s="3458"/>
      <c r="AR47" s="3458">
        <f t="shared" si="161"/>
        <v>102.96283068696576</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101.84111018391206</v>
      </c>
      <c r="AO48" s="3458">
        <f t="shared" si="159"/>
        <v>103.09685660054646</v>
      </c>
      <c r="AP48" s="3458">
        <f t="shared" si="160"/>
        <v>100.50275322179613</v>
      </c>
      <c r="AQ48" s="3458"/>
      <c r="AR48" s="3458">
        <f t="shared" si="161"/>
        <v>103.09685660054646</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101.23370793629429</v>
      </c>
      <c r="AO49" s="3458">
        <f t="shared" si="159"/>
        <v>102.63499910457587</v>
      </c>
      <c r="AP49" s="3458">
        <f t="shared" si="160"/>
        <v>99.972896868393633</v>
      </c>
      <c r="AQ49" s="3458"/>
      <c r="AR49" s="3458">
        <f t="shared" si="161"/>
        <v>102.63499910457587</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100.649938294188</v>
      </c>
      <c r="AO50" s="3458">
        <f t="shared" si="159"/>
        <v>102.55295673918452</v>
      </c>
      <c r="AP50" s="3458">
        <f t="shared" si="160"/>
        <v>99.297672694073938</v>
      </c>
      <c r="AQ50" s="3458"/>
      <c r="AR50" s="3458">
        <f t="shared" si="161"/>
        <v>102.55295673918452</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100.1790965404479</v>
      </c>
      <c r="AO51" s="3458">
        <f t="shared" si="159"/>
        <v>102.26661023053903</v>
      </c>
      <c r="AP51" s="3458">
        <f t="shared" si="160"/>
        <v>98.402212559779926</v>
      </c>
      <c r="AQ51" s="3458"/>
      <c r="AR51" s="3458">
        <f t="shared" si="161"/>
        <v>102.26661023053903</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99.631125351017303</v>
      </c>
      <c r="AO52" s="3465">
        <f t="shared" si="159"/>
        <v>101.79833787630803</v>
      </c>
      <c r="AP52" s="3465">
        <f t="shared" si="160"/>
        <v>97.331565341028622</v>
      </c>
      <c r="AQ52" s="3465"/>
      <c r="AR52" s="3465">
        <f t="shared" si="161"/>
        <v>101.79833787630803</v>
      </c>
    </row>
    <row r="53" spans="1:44" ht="15" thickTop="1"/>
    <row r="54" spans="1:44">
      <c r="A54" s="3448"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42" t="s">
        <v>452</v>
      </c>
      <c r="C1" s="3842"/>
      <c r="D1" s="3842"/>
      <c r="E1" s="3842"/>
      <c r="F1" s="3842"/>
      <c r="G1" s="3838" t="s">
        <v>453</v>
      </c>
      <c r="H1" s="3838"/>
      <c r="I1" s="3838"/>
      <c r="J1" s="3838"/>
      <c r="K1" s="3838"/>
      <c r="L1" s="3838"/>
      <c r="N1" s="3838" t="s">
        <v>454</v>
      </c>
      <c r="O1" s="3838"/>
      <c r="P1" s="3838"/>
      <c r="Q1" s="3838"/>
      <c r="S1" s="3838" t="s">
        <v>455</v>
      </c>
      <c r="T1" s="3838"/>
      <c r="U1" s="3838"/>
      <c r="V1" s="3838"/>
      <c r="X1" s="3837" t="s">
        <v>456</v>
      </c>
      <c r="Y1" s="3838"/>
      <c r="Z1" s="3838"/>
      <c r="AA1" s="3838"/>
      <c r="AB1" s="3838"/>
      <c r="AD1" s="3837" t="s">
        <v>457</v>
      </c>
      <c r="AE1" s="3838"/>
      <c r="AF1" s="3838"/>
      <c r="AG1" s="3838"/>
      <c r="AH1" s="3838"/>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4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4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4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4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4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4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4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4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4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4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4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4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3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4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4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4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3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4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4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4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4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4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4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4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3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4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4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4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3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4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4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4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3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4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4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4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3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4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4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4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3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4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4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4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3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4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4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4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3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4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4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4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3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4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4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4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3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4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4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4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3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4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40">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41">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3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4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40">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41">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50" t="s">
        <v>2839</v>
      </c>
      <c r="B1" s="3850"/>
      <c r="C1" s="3850"/>
      <c r="D1" s="3850"/>
      <c r="E1" s="3850"/>
      <c r="F1" s="3850"/>
      <c r="G1" s="3851"/>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48"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49"/>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21" t="str">
        <f>IF(项目基本情况!B9="房地产市场价值","估价结果一览表","结果表-2")</f>
        <v>结果表-2</v>
      </c>
      <c r="B1" s="3521"/>
      <c r="C1" s="3521"/>
      <c r="D1" s="3521"/>
      <c r="E1" s="3521"/>
      <c r="F1" s="3521"/>
      <c r="G1" s="3521"/>
      <c r="H1" s="3521"/>
      <c r="I1" s="3521"/>
    </row>
    <row r="2" spans="1:9" ht="30" customHeight="1" thickTop="1">
      <c r="A2" s="3522" t="s">
        <v>928</v>
      </c>
      <c r="B2" s="3522" t="s">
        <v>929</v>
      </c>
      <c r="C2" s="3522" t="s">
        <v>930</v>
      </c>
      <c r="D2" s="3522" t="str">
        <f>结果表!D116</f>
        <v>出让国有建设用地使用权价值</v>
      </c>
      <c r="E2" s="3522"/>
      <c r="F2" s="3522" t="str">
        <f>结果表!F116</f>
        <v>在建建筑物价值</v>
      </c>
      <c r="G2" s="3522"/>
      <c r="H2" s="3522" t="str">
        <f>IF(项目基本情况!B9="房地产市场价值","房地产市场价值","房地产价值")</f>
        <v>房地产价值</v>
      </c>
      <c r="I2" s="3522"/>
    </row>
    <row r="3" spans="1:9" ht="15.6">
      <c r="A3" s="3523"/>
      <c r="B3" s="3523"/>
      <c r="C3" s="3523"/>
      <c r="D3" s="854" t="s">
        <v>925</v>
      </c>
      <c r="E3" s="854" t="s">
        <v>931</v>
      </c>
      <c r="F3" s="854" t="s">
        <v>925</v>
      </c>
      <c r="G3" s="854" t="s">
        <v>926</v>
      </c>
      <c r="H3" s="854" t="s">
        <v>925</v>
      </c>
      <c r="I3" s="854" t="s">
        <v>926</v>
      </c>
    </row>
    <row r="4" spans="1:9" ht="15">
      <c r="A4" s="1505" t="str">
        <f>项目基本情况!S2</f>
        <v>房地产</v>
      </c>
      <c r="B4" s="854">
        <f>项目基本情况!C17</f>
        <v>16683.080000000002</v>
      </c>
      <c r="C4" s="854">
        <f>项目基本情况!C18</f>
        <v>6666.7</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23" t="s">
        <v>927</v>
      </c>
      <c r="B5" s="3523"/>
      <c r="C5" s="3523"/>
      <c r="D5" s="3523" t="e">
        <f ca="1">结果表!D119</f>
        <v>#REF!</v>
      </c>
      <c r="E5" s="3523"/>
      <c r="F5" s="3523" t="e">
        <f ca="1">结果表!F119</f>
        <v>#REF!</v>
      </c>
      <c r="G5" s="3523"/>
      <c r="H5" s="3523" t="e">
        <f ca="1">结果表!H119</f>
        <v>#REF!</v>
      </c>
      <c r="I5" s="3523"/>
    </row>
    <row r="6" spans="1:9" ht="15.6">
      <c r="A6" s="3524" t="str">
        <f>结果表!A120</f>
        <v>估价师知悉的法定优先受偿款</v>
      </c>
      <c r="B6" s="3524"/>
      <c r="C6" s="3524"/>
      <c r="D6" s="3524">
        <f>结果表!D120</f>
        <v>0</v>
      </c>
      <c r="E6" s="3524"/>
      <c r="F6" s="3524"/>
      <c r="G6" s="3524"/>
      <c r="H6" s="3524"/>
      <c r="I6" s="3524"/>
    </row>
    <row r="7" spans="1:9" ht="15">
      <c r="A7" s="3523" t="s">
        <v>927</v>
      </c>
      <c r="B7" s="3523"/>
      <c r="C7" s="3523"/>
      <c r="D7" s="3525" t="str">
        <f>结果表!D121</f>
        <v>零元整</v>
      </c>
      <c r="E7" s="3526"/>
      <c r="F7" s="3526"/>
      <c r="G7" s="3526"/>
      <c r="H7" s="3526"/>
      <c r="I7" s="3527"/>
    </row>
    <row r="8" spans="1:9" ht="15.6">
      <c r="A8" s="3524" t="str">
        <f>结果表!A122</f>
        <v>房地产抵押价值</v>
      </c>
      <c r="B8" s="3524"/>
      <c r="C8" s="3524"/>
      <c r="D8" s="3524" t="e">
        <f ca="1">结果表!D122</f>
        <v>#REF!</v>
      </c>
      <c r="E8" s="3524"/>
      <c r="F8" s="3524"/>
      <c r="G8" s="3524"/>
      <c r="H8" s="3524"/>
      <c r="I8" s="3524"/>
    </row>
    <row r="9" spans="1:9" ht="15">
      <c r="A9" s="3523" t="s">
        <v>927</v>
      </c>
      <c r="B9" s="3523"/>
      <c r="C9" s="3523"/>
      <c r="D9" s="3523" t="e">
        <f ca="1">结果表!D123</f>
        <v>#REF!</v>
      </c>
      <c r="E9" s="3523"/>
      <c r="F9" s="3523"/>
      <c r="G9" s="3523"/>
      <c r="H9" s="3523"/>
      <c r="I9" s="3523"/>
    </row>
    <row r="10" spans="1:9" ht="15.6">
      <c r="A10" s="3524" t="str">
        <f>结果表!A124</f>
        <v/>
      </c>
      <c r="B10" s="3524"/>
      <c r="C10" s="3524"/>
      <c r="D10" s="3524" t="str">
        <f>结果表!D124</f>
        <v>——</v>
      </c>
      <c r="E10" s="3524"/>
      <c r="F10" s="3524"/>
      <c r="G10" s="3524"/>
      <c r="H10" s="3524"/>
      <c r="I10" s="3524"/>
    </row>
    <row r="11" spans="1:9" ht="15">
      <c r="A11" s="3523" t="s">
        <v>927</v>
      </c>
      <c r="B11" s="3523"/>
      <c r="C11" s="3523"/>
      <c r="D11" s="3523" t="e">
        <f>结果表!D125</f>
        <v>#VALUE!</v>
      </c>
      <c r="E11" s="3523"/>
      <c r="F11" s="3523"/>
      <c r="G11" s="3523"/>
      <c r="H11" s="3523"/>
      <c r="I11" s="3523"/>
    </row>
    <row r="12" spans="1:9" ht="15.6">
      <c r="A12" s="3524" t="str">
        <f>结果表!A126</f>
        <v/>
      </c>
      <c r="B12" s="3524"/>
      <c r="C12" s="3524"/>
      <c r="D12" s="3524" t="str">
        <f>结果表!D126</f>
        <v>——</v>
      </c>
      <c r="E12" s="3524"/>
      <c r="F12" s="3524"/>
      <c r="G12" s="3524"/>
      <c r="H12" s="3524"/>
      <c r="I12" s="3524"/>
    </row>
    <row r="13" spans="1:9" ht="15.6" thickBot="1">
      <c r="A13" s="3528" t="s">
        <v>927</v>
      </c>
      <c r="B13" s="3528"/>
      <c r="C13" s="3528"/>
      <c r="D13" s="3528" t="e">
        <f>结果表!D127</f>
        <v>#VALUE!</v>
      </c>
      <c r="E13" s="3528"/>
      <c r="F13" s="3528"/>
      <c r="G13" s="3528"/>
      <c r="H13" s="3528"/>
      <c r="I13" s="3528"/>
    </row>
    <row r="14" spans="1:9" ht="14.4" thickTop="1">
      <c r="A14" s="3529" t="s">
        <v>932</v>
      </c>
      <c r="B14" s="3529"/>
      <c r="C14" s="3529"/>
      <c r="D14" s="3529"/>
      <c r="E14" s="3529"/>
      <c r="F14" s="3529"/>
      <c r="G14" s="3529"/>
      <c r="H14" s="3529"/>
      <c r="I14" s="3529"/>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45952</v>
      </c>
      <c r="D1" s="1302" t="s">
        <v>603</v>
      </c>
      <c r="E1" s="1297">
        <f>'数据-取费表'!B22</f>
        <v>1.5</v>
      </c>
      <c r="F1" s="1302" t="s">
        <v>604</v>
      </c>
      <c r="G1" s="1298">
        <f ca="1">IF(OR(C1&lt;C27,E1&lt;=1),INDIRECT("d"&amp;$K$1)/100,ROUND((D5+(E1-C5)*(D7-D5)/(C7-C5))/100,4))</f>
        <v>3.0599999999999999E-2</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30" t="s">
        <v>949</v>
      </c>
      <c r="B1" s="3530"/>
      <c r="C1" s="3530"/>
      <c r="D1" s="3530"/>
    </row>
    <row r="2" spans="1:4" ht="17.399999999999999">
      <c r="A2" s="3531" t="s">
        <v>933</v>
      </c>
      <c r="B2" s="3531"/>
      <c r="C2" s="3531"/>
      <c r="D2" s="3531"/>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31" t="s">
        <v>939</v>
      </c>
      <c r="B6" s="3531"/>
      <c r="C6" s="3531"/>
      <c r="D6" s="3531"/>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32" t="s">
        <v>942</v>
      </c>
      <c r="B11" s="3533"/>
      <c r="C11" s="3533"/>
      <c r="D11" s="3533"/>
    </row>
    <row r="12" spans="1:4" ht="15.6">
      <c r="A12" s="35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4"/>
      <c r="C12" s="3534"/>
      <c r="D12" s="3534"/>
    </row>
    <row r="13" spans="1:4" ht="30" customHeight="1">
      <c r="A13" s="3533" t="str">
        <f>IF(项目基本情况!B8="抵押","3.抵押双方在办理抵押登记手续时，应使用本公司出具的正式《房地产评估报告》，特提醒报告使用者注意。","——")</f>
        <v>——</v>
      </c>
      <c r="B13" s="3534"/>
      <c r="C13" s="3534"/>
      <c r="D13" s="3534"/>
    </row>
    <row r="14" spans="1:4" ht="15.75" customHeight="1">
      <c r="A14" s="3533" t="str">
        <f>IF(项目基本情况!B8="抵押","4.本次评估估价师所知悉的法定优先受偿款情况说明如下：","——")</f>
        <v>——</v>
      </c>
      <c r="B14" s="3534"/>
      <c r="C14" s="3534"/>
      <c r="D14" s="3534"/>
    </row>
    <row r="15" spans="1:4" ht="42" customHeight="1">
      <c r="A15" s="3533" t="str">
        <f>IF(项目基本情况!B8="抵押","（1）"&amp;CONCATENATE(项目基本情况!L20,项目基本情况!L21,项目基本情况!L22),"——")</f>
        <v>——</v>
      </c>
      <c r="B15" s="3533"/>
      <c r="C15" s="3533"/>
      <c r="D15" s="3533"/>
    </row>
    <row r="16" spans="1:4" ht="30" customHeight="1">
      <c r="A16" s="3536" t="s">
        <v>943</v>
      </c>
      <c r="B16" s="3536"/>
      <c r="C16" s="3536"/>
      <c r="D16" s="3536"/>
    </row>
    <row r="17" spans="1:4" ht="144" customHeight="1">
      <c r="A17" s="3536" t="s">
        <v>944</v>
      </c>
      <c r="B17" s="3536"/>
      <c r="C17" s="3536"/>
      <c r="D17" s="3536"/>
    </row>
    <row r="18" spans="1:4" ht="15.75" customHeight="1">
      <c r="A18" s="3533" t="str">
        <f>IF(项目基本情况!B8="抵押",结果表!K120,"——")</f>
        <v>——</v>
      </c>
      <c r="B18" s="3533"/>
      <c r="C18" s="3533"/>
      <c r="D18" s="3533"/>
    </row>
    <row r="19" spans="1:4" ht="46.5" customHeight="1">
      <c r="A19" s="35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33"/>
      <c r="C19" s="3533"/>
      <c r="D19" s="3533"/>
    </row>
    <row r="20" spans="1:4" ht="57.75" customHeight="1">
      <c r="A20" s="35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3"/>
      <c r="C20" s="3533"/>
      <c r="D20" s="3533"/>
    </row>
    <row r="21" spans="1:4" ht="57.75" customHeight="1">
      <c r="A21" s="35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7"/>
      <c r="C21" s="3537"/>
      <c r="D21" s="3537"/>
    </row>
    <row r="22" spans="1:4" ht="18.75" customHeight="1">
      <c r="A22" s="3538" t="s">
        <v>945</v>
      </c>
      <c r="B22" s="3538"/>
      <c r="C22" s="3538"/>
      <c r="D22" s="3538"/>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35">
        <v>42551</v>
      </c>
      <c r="D31" s="353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44" t="s">
        <v>956</v>
      </c>
      <c r="B15" s="3539" t="s">
        <v>109</v>
      </c>
      <c r="C15" s="3540"/>
    </row>
    <row r="16" spans="1:7" ht="14.4">
      <c r="A16" s="3545"/>
      <c r="B16" s="3539" t="s">
        <v>42</v>
      </c>
      <c r="C16" s="3540"/>
    </row>
    <row r="17" spans="1:3" ht="14.4">
      <c r="A17" s="3545"/>
      <c r="B17" s="3542" t="s">
        <v>957</v>
      </c>
      <c r="C17" s="1532" t="s">
        <v>956</v>
      </c>
    </row>
    <row r="18" spans="1:3" ht="14.4">
      <c r="A18" s="3545"/>
      <c r="B18" s="3542"/>
      <c r="C18" s="1532" t="s">
        <v>958</v>
      </c>
    </row>
    <row r="19" spans="1:3" ht="14.4">
      <c r="A19" s="3545"/>
      <c r="B19" s="3542"/>
      <c r="C19" s="1532" t="s">
        <v>959</v>
      </c>
    </row>
    <row r="20" spans="1:3" ht="14.4">
      <c r="A20" s="3546"/>
      <c r="B20" s="3541" t="s">
        <v>960</v>
      </c>
      <c r="C20" s="3540"/>
    </row>
    <row r="21" spans="1:3" ht="14.4">
      <c r="A21" s="1533" t="s">
        <v>961</v>
      </c>
      <c r="B21" s="1534"/>
      <c r="C21" s="1535"/>
    </row>
    <row r="22" spans="1:3" ht="14.4">
      <c r="A22" s="3543" t="s">
        <v>962</v>
      </c>
      <c r="B22" s="3541" t="s">
        <v>963</v>
      </c>
      <c r="C22" s="3540"/>
    </row>
    <row r="23" spans="1:3" ht="14.4">
      <c r="A23" s="3543"/>
      <c r="B23" s="3541" t="s">
        <v>964</v>
      </c>
      <c r="C23" s="3540"/>
    </row>
    <row r="24" spans="1:3" ht="14.4">
      <c r="A24" s="3543"/>
      <c r="B24" s="3541" t="s">
        <v>965</v>
      </c>
      <c r="C24" s="3540"/>
    </row>
    <row r="25" spans="1:3" ht="14.4">
      <c r="A25" s="3543"/>
      <c r="B25" s="3542" t="s">
        <v>966</v>
      </c>
      <c r="C25" s="1532" t="s">
        <v>967</v>
      </c>
    </row>
    <row r="26" spans="1:3" ht="14.4">
      <c r="A26" s="3543"/>
      <c r="B26" s="3542"/>
      <c r="C26" s="1532" t="s">
        <v>968</v>
      </c>
    </row>
    <row r="27" spans="1:3" ht="14.4">
      <c r="A27" s="3543"/>
      <c r="B27" s="3542"/>
      <c r="C27" s="1532" t="s">
        <v>969</v>
      </c>
    </row>
    <row r="28" spans="1:3" ht="14.4">
      <c r="A28" s="3543"/>
      <c r="B28" s="3542"/>
      <c r="C28" s="1532" t="s">
        <v>970</v>
      </c>
    </row>
    <row r="29" spans="1:3" ht="14.4">
      <c r="A29" s="3543"/>
      <c r="B29" s="3542"/>
      <c r="C29" s="1532" t="s">
        <v>971</v>
      </c>
    </row>
    <row r="30" spans="1:3" ht="14.4">
      <c r="A30" s="3543"/>
      <c r="B30" s="3542"/>
      <c r="C30" s="1532" t="s">
        <v>972</v>
      </c>
    </row>
    <row r="31" spans="1:3" ht="14.4">
      <c r="A31" s="3543"/>
      <c r="B31" s="3542"/>
      <c r="C31" s="1532" t="s">
        <v>973</v>
      </c>
    </row>
    <row r="32" spans="1:3" ht="14.4">
      <c r="A32" s="3543"/>
      <c r="B32" s="3542"/>
      <c r="C32" s="1532" t="s">
        <v>974</v>
      </c>
    </row>
    <row r="33" spans="1:3" ht="14.4">
      <c r="A33" s="3543"/>
      <c r="B33" s="3542"/>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45958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47" t="s">
        <v>2160</v>
      </c>
      <c r="B17" s="3547"/>
      <c r="C17" s="3547"/>
      <c r="D17" s="3547"/>
      <c r="E17" s="3547"/>
      <c r="F17" s="3547"/>
      <c r="G17" s="3547"/>
      <c r="H17" s="3547"/>
    </row>
    <row r="18" spans="1:8" ht="24" customHeight="1">
      <c r="A18" s="3548" t="s">
        <v>2161</v>
      </c>
      <c r="B18" s="3548"/>
      <c r="C18" s="3548"/>
      <c r="D18" s="2343"/>
      <c r="E18" s="3549" t="s">
        <v>2162</v>
      </c>
      <c r="F18" s="3548"/>
      <c r="G18" s="354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成本分析</vt:lpstr>
      <vt:lpstr>结果</vt:lpstr>
      <vt:lpstr>比较法-仓储</vt:lpstr>
      <vt:lpstr>Sheet4</vt:lpstr>
      <vt:lpstr>成本法 (元)</vt:lpstr>
      <vt:lpstr>基准地价修正</vt:lpstr>
      <vt:lpstr>Sheet2</vt:lpstr>
      <vt:lpstr>Sheet1</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2025-10-28T04:18:10Z</dcterms:modified>
</cp:coreProperties>
</file>