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drawings/drawing2.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231"/>
  <workbookPr codeName="ThisWorkbook" defaultThemeVersion="124226"/>
  <mc:AlternateContent xmlns:mc="http://schemas.openxmlformats.org/markup-compatibility/2006">
    <mc:Choice Requires="x15">
      <x15ac:absPath xmlns:x15ac="http://schemas.microsoft.com/office/spreadsheetml/2010/11/ac" url="C:\Users\hanna\Downloads\"/>
    </mc:Choice>
  </mc:AlternateContent>
  <xr:revisionPtr revIDLastSave="0" documentId="13_ncr:1_{6919A798-6876-499A-999C-F1816FCC9EAE}" xr6:coauthVersionLast="47" xr6:coauthVersionMax="47" xr10:uidLastSave="{00000000-0000-0000-0000-000000000000}"/>
  <bookViews>
    <workbookView xWindow="-120" yWindow="-120" windowWidth="29040" windowHeight="15720" tabRatio="899" firstSheet="12"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分析" sheetId="82" r:id="rId20"/>
    <sheet name="结果" sheetId="84" r:id="rId21"/>
    <sheet name="比较法-仓储" sheetId="36" r:id="rId22"/>
    <sheet name="Sheet4" sheetId="83" r:id="rId23"/>
    <sheet name="成本法 (元)" sheetId="69" r:id="rId24"/>
    <sheet name="基准地价修正" sheetId="43" r:id="rId25"/>
    <sheet name="Sheet2" sheetId="81" r:id="rId26"/>
    <sheet name="Sheet1" sheetId="80" r:id="rId27"/>
    <sheet name="假设开发法" sheetId="12" state="hidden" r:id="rId28"/>
    <sheet name="收益法" sheetId="15" state="hidden" r:id="rId29"/>
    <sheet name="收益法 (元)" sheetId="67" r:id="rId30"/>
    <sheet name="收益法-酒店模型" sheetId="77" state="hidden" r:id="rId31"/>
    <sheet name="收益法（汇总）" sheetId="70" state="hidden" r:id="rId32"/>
    <sheet name="比较法-住宅" sheetId="21" state="hidden" r:id="rId33"/>
    <sheet name="比较法-商业" sheetId="33" state="hidden" r:id="rId34"/>
    <sheet name="比较法-办公" sheetId="34" state="hidden" r:id="rId35"/>
    <sheet name="比较法-工业" sheetId="37" state="hidden" r:id="rId36"/>
    <sheet name="比较法-车位" sheetId="35"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r:id="rId47"/>
    <sheet name="地价" sheetId="71" r:id="rId48"/>
    <sheet name="区片价" sheetId="44" r:id="rId49"/>
    <sheet name="存贷款利率" sheetId="73" r:id="rId50"/>
  </sheets>
  <externalReferences>
    <externalReference r:id="rId51"/>
    <externalReference r:id="rId52"/>
    <externalReference r:id="rId53"/>
    <externalReference r:id="rId54"/>
  </externalReferences>
  <definedNames>
    <definedName name="_xlnm._FilterDatabase" localSheetId="34" hidden="1">'比较法-办公'!$A$1:$L$50</definedName>
    <definedName name="_xlnm._FilterDatabase" localSheetId="21" hidden="1">'比较法-仓储'!$A$1:$L$37</definedName>
    <definedName name="_xlnm._FilterDatabase" localSheetId="36" hidden="1">'比较法-车位'!$A$1:$L$39</definedName>
    <definedName name="_xlnm._FilterDatabase" localSheetId="35" hidden="1">'比较法-工业'!$A$1:$L$43</definedName>
    <definedName name="_xlnm._FilterDatabase" localSheetId="33" hidden="1">'比较法-商业'!$A$1:$L$49</definedName>
    <definedName name="_xlnm._FilterDatabase" localSheetId="32"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4">'比较法-办公'!$A$1:$K$55,'比较法-办公'!$A$58:$M$132</definedName>
    <definedName name="_xlnm.Print_Area" localSheetId="21">'比较法-仓储'!$A$1:$K$42,'比较法-仓储'!$A$45:$M$96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3">'比较法-商业'!$A$1:$K$54,'比较法-商业'!$A$57:$M$131</definedName>
    <definedName name="_xlnm.Print_Area" localSheetId="32">'比较法-住宅'!$A$1:$K$54,'比较法-住宅'!$A$57:$M$131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24">基准地价修正!$A$1:$J$44,基准地价修正!$A$47:$H$101,基准地价修正!$R$1:$V$16</definedName>
    <definedName name="_xlnm.Print_Area" localSheetId="27">假设开发法!$A$1:$K$32</definedName>
    <definedName name="_xlnm.Print_Area" localSheetId="17">结果表!$A$1:$I$127</definedName>
    <definedName name="_xlnm.Print_Area" localSheetId="28">收益法!$A$1:$F$43,收益法!$H$3:$M$29,收益法!$A$46:$F$71,收益法!$I$46:$N$65</definedName>
    <definedName name="_xlnm.Print_Area" localSheetId="29">'收益法 (元)'!$A$1:$F$43,'收益法 (元)'!$H$3:$M$29,'收益法 (元)'!$A$45:$F$71,'收益法 (元)'!$I$46:$N$65</definedName>
    <definedName name="_xlnm.Print_Area" localSheetId="31">'收益法（汇总）'!$A$1:$F$13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 localSheetId="19">#REF!</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别">#REF!</definedName>
    <definedName name="产权性质">#REF!</definedName>
    <definedName name="产业集聚程度">定义!$N$1:$N$6</definedName>
    <definedName name="朝向">#REF!</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成本分析">#REF!</definedName>
    <definedName name="成本分析1">#REF!</definedName>
    <definedName name="城镇土地纳税等级分级范围">'数据-取费表'!$A$53:$A$63</definedName>
    <definedName name="单价内涵">定义!$V$1:$V$3</definedName>
    <definedName name="单元">#REF!</definedName>
    <definedName name="地类判定">定义!$H$1:$H$9</definedName>
    <definedName name="抵押状况">#REF!</definedName>
    <definedName name="独立使用性分析">#REF!</definedName>
    <definedName name="二级" localSheetId="19">#REF!</definedName>
    <definedName name="二级">区片价!$J$1:$J$21</definedName>
    <definedName name="二级分类">修正!$C$19:$C$53</definedName>
    <definedName name="发证日期">#REF!</definedName>
    <definedName name="法定最高年限">定义!$G$1:$G$6</definedName>
    <definedName name="法定最高土地使用年限">#REF!</definedName>
    <definedName name="房号">#REF!</definedName>
    <definedName name="房间">#REF!</definedName>
    <definedName name="房间号">#REF!</definedName>
    <definedName name="房屋产权性质">[1]楼层测算!$N$2:$N$9</definedName>
    <definedName name="房屋朝向">[1]楼层测算!$A$117:$A$126</definedName>
    <definedName name="房屋装修">[1]楼层测算!$K$2:$K$5</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对象是否为半地下室">#REF!</definedName>
    <definedName name="估价对象所在区县">#REF!</definedName>
    <definedName name="估价范围判定">定义!$D$1:$D$4</definedName>
    <definedName name="估价方法">定义!$B$1:$B$50</definedName>
    <definedName name="户内部分特殊说明">#REF!</definedName>
    <definedName name="环境">定义!$S$1:$S$6</definedName>
    <definedName name="基础设施水平">定义!$R$1:$R$6</definedName>
    <definedName name="基准地价土地级别">#REF!</definedName>
    <definedName name="季度" localSheetId="19">[2]基准地价修正!$O$19:$Z$19</definedName>
    <definedName name="季度">基准地价修正!$Q$19:$AD$19</definedName>
    <definedName name="价值类型2">定义!$B$54:$B$56</definedName>
    <definedName name="建筑结构">[3]楼层测算!$J$2:$J$3</definedName>
    <definedName name="交通便捷度">定义!$O$1:$O$6</definedName>
    <definedName name="教委">#REF!</definedName>
    <definedName name="结构">#REF!</definedName>
    <definedName name="经济寿命">#REF!</definedName>
    <definedName name="九级" localSheetId="19">#REF!</definedName>
    <definedName name="九级">区片价!$Q$1:$Q$51</definedName>
    <definedName name="居住社区成熟度">定义!$K$1:$K$6</definedName>
    <definedName name="扣缴日期">#REF!</definedName>
    <definedName name="类别">定义!$J$1:$J$3</definedName>
    <definedName name="临街状况">定义!$T$1:$T$5</definedName>
    <definedName name="六级" localSheetId="19">#REF!</definedName>
    <definedName name="六级">区片价!$N$1:$N$64</definedName>
    <definedName name="楼栋">#REF!</definedName>
    <definedName name="楼号">#REF!</definedName>
    <definedName name="内部装修维护情况">定义!$U$1:$U$6</definedName>
    <definedName name="配备电梯">[3]楼层测算!$M$2:$M$3</definedName>
    <definedName name="评估方法1">#REF!</definedName>
    <definedName name="评估方法2">#REF!</definedName>
    <definedName name="七级" localSheetId="19">#REF!</definedName>
    <definedName name="七级">区片价!$O$1:$O$45</definedName>
    <definedName name="七通一平">修正!$A$8:$A$16</definedName>
    <definedName name="其他权利">#REF!</definedName>
    <definedName name="区县">#REF!</definedName>
    <definedName name="区域成熟度">#REF!</definedName>
    <definedName name="区域土地利用方向">定义!$P$1:$P$6</definedName>
    <definedName name="取值">#REF!</definedName>
    <definedName name="权属特殊说明">#REF!</definedName>
    <definedName name="三级" localSheetId="19">#REF!</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身份证号码">#REF!</definedName>
    <definedName name="十二级" localSheetId="19">#REF!</definedName>
    <definedName name="十二级">区片价!$T$1:$T$8</definedName>
    <definedName name="十级" localSheetId="19">#REF!</definedName>
    <definedName name="十级">区片价!$R$1:$R$32</definedName>
    <definedName name="十一级" localSheetId="19">#REF!</definedName>
    <definedName name="十一级">区片价!$S$1:$S$21</definedName>
    <definedName name="是否封闭">'比较法-仓储'!$B$89:$M$89</definedName>
    <definedName name="是否直接入户">'比较法-车位'!$B$95:$M$95</definedName>
    <definedName name="四级" localSheetId="19">#REF!</definedName>
    <definedName name="四级">区片价!$L$1:$L$33</definedName>
    <definedName name="所在楼层">[1]楼层测算!$L$2:$L$6</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土地用途">#REF!</definedName>
    <definedName name="位置">定义!$E$2:$E$4</definedName>
    <definedName name="五等判定">定义!$W$1:$W$6</definedName>
    <definedName name="五级" localSheetId="19">#REF!</definedName>
    <definedName name="五级">区片价!$M$1:$M$41</definedName>
    <definedName name="物理结构是否变化">#REF!</definedName>
    <definedName name="项目类型" localSheetId="30">'[4]数据-汇总表'!$C$17:$C$26</definedName>
    <definedName name="项目类型">'数据-汇总表'!$C$17:$C$26</definedName>
    <definedName name="小区临近道路级别">#REF!</definedName>
    <definedName name="写字楼等级">'比较法-办公'!$B$113:$M$113</definedName>
    <definedName name="一级" localSheetId="19">#REF!</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银行">#REF!</definedName>
    <definedName name="用途明细">定义!$A$1:$A$50</definedName>
    <definedName name="优先受偿">#REF!</definedName>
    <definedName name="有无电梯">'比较法-仓储'!$B$84:$M$84</definedName>
    <definedName name="原件">#REF!</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资料来源">#REF!</definedName>
    <definedName name="租户名称">#REF!</definedName>
    <definedName name="租户银行账户">#REF!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5" i="36" l="1"/>
  <c r="I5" i="36"/>
  <c r="G5" i="36"/>
  <c r="E5" i="36"/>
  <c r="I33" i="36"/>
  <c r="G33" i="36"/>
  <c r="E33" i="36"/>
  <c r="I35" i="36"/>
  <c r="G35" i="36"/>
  <c r="I32" i="36"/>
  <c r="F91" i="36" s="1"/>
  <c r="G32" i="36"/>
  <c r="E32" i="36"/>
  <c r="D91" i="36" s="1"/>
  <c r="F92" i="36"/>
  <c r="C91" i="36"/>
  <c r="D3" i="84"/>
  <c r="C8" i="82"/>
  <c r="F4" i="82"/>
  <c r="E4" i="82"/>
  <c r="J3" i="82" l="1"/>
  <c r="I4" i="82"/>
  <c r="C4" i="82"/>
  <c r="E6" i="82" l="1"/>
  <c r="C6" i="82" s="1"/>
  <c r="D33" i="43" l="1"/>
  <c r="N6" i="1"/>
  <c r="C27" i="36" s="1"/>
  <c r="F19" i="6"/>
  <c r="B3" i="4"/>
  <c r="E27" i="45" l="1"/>
  <c r="G14" i="73" l="1"/>
  <c r="F14" i="73"/>
  <c r="E14" i="73"/>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S34" i="79"/>
  <c r="AG34" i="79" s="1"/>
  <c r="S35" i="79"/>
  <c r="AG35" i="79" s="1"/>
  <c r="S33" i="79"/>
  <c r="AG33" i="79" s="1"/>
  <c r="AR18" i="79"/>
  <c r="AR19" i="79" s="1"/>
  <c r="AR20" i="79" s="1"/>
  <c r="AR21" i="79" s="1"/>
  <c r="AR22" i="79" s="1"/>
  <c r="AR23" i="79" s="1"/>
  <c r="AR24" i="79" s="1"/>
  <c r="T35" i="79"/>
  <c r="T34" i="79"/>
  <c r="T33" i="79"/>
  <c r="AR40" i="79"/>
  <c r="AR41" i="79" s="1"/>
  <c r="AR42" i="79" s="1"/>
  <c r="AR43" i="79" s="1"/>
  <c r="AR44" i="79" s="1"/>
  <c r="AR45" i="79" s="1"/>
  <c r="AR46" i="79" s="1"/>
  <c r="AR47" i="79" s="1"/>
  <c r="AR48" i="79" s="1"/>
  <c r="AR49" i="79" s="1"/>
  <c r="AR50" i="79" s="1"/>
  <c r="AR51" i="79" s="1"/>
  <c r="AR52" i="79" s="1"/>
  <c r="AD38" i="79"/>
  <c r="AD34" i="79"/>
  <c r="AD37" i="79"/>
  <c r="AD35" i="79"/>
  <c r="AD36" i="79"/>
  <c r="Z3" i="79"/>
  <c r="AA31" i="79"/>
  <c r="AD31" i="79" s="1"/>
  <c r="T40" i="79"/>
  <c r="U46" i="79"/>
  <c r="AI46" i="79" s="1"/>
  <c r="AD47" i="79"/>
  <c r="S48" i="79"/>
  <c r="AG48" i="79" s="1"/>
  <c r="U50" i="79"/>
  <c r="AI50" i="79" s="1"/>
  <c r="AD51" i="79"/>
  <c r="N31" i="79"/>
  <c r="U33" i="79"/>
  <c r="AI33" i="79" s="1"/>
  <c r="U34" i="79"/>
  <c r="AI34" i="79" s="1"/>
  <c r="U35" i="79"/>
  <c r="AI35"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11" i="79" l="1"/>
  <c r="AK11" i="79" s="1"/>
  <c r="AH11" i="79"/>
  <c r="W10" i="79"/>
  <c r="AK10" i="79" s="1"/>
  <c r="AH10" i="79"/>
  <c r="W34" i="79"/>
  <c r="AK34" i="79" s="1"/>
  <c r="AH34"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7" i="79"/>
  <c r="AK17" i="79" s="1"/>
  <c r="AH17" i="79"/>
  <c r="W18" i="79"/>
  <c r="AK18" i="79" s="1"/>
  <c r="AH18" i="79"/>
  <c r="W20" i="79"/>
  <c r="AK20" i="79" s="1"/>
  <c r="AH20" i="79"/>
  <c r="C18" i="78"/>
  <c r="W15" i="79"/>
  <c r="AK15" i="79" s="1"/>
  <c r="AH15" i="79"/>
  <c r="W13" i="79"/>
  <c r="AK13" i="79" s="1"/>
  <c r="AH13" i="79"/>
  <c r="W48" i="79"/>
  <c r="AK48" i="79" s="1"/>
  <c r="AH48" i="79"/>
  <c r="W49" i="79"/>
  <c r="AK49" i="79" s="1"/>
  <c r="AH49" i="79"/>
  <c r="W43" i="79"/>
  <c r="AK43" i="79" s="1"/>
  <c r="AH43" i="79"/>
  <c r="W38" i="79"/>
  <c r="AK38" i="79" s="1"/>
  <c r="AH38" i="79"/>
  <c r="W40" i="79"/>
  <c r="AK40" i="79" s="1"/>
  <c r="AH40" i="79"/>
  <c r="W23" i="79"/>
  <c r="AK23" i="79" s="1"/>
  <c r="AH23" i="79"/>
  <c r="W12" i="79"/>
  <c r="AK12" i="79" s="1"/>
  <c r="AH12" i="79"/>
  <c r="W21" i="79"/>
  <c r="AK21" i="79" s="1"/>
  <c r="AH21" i="79"/>
  <c r="W47" i="79"/>
  <c r="AK47" i="79" s="1"/>
  <c r="AH47" i="79"/>
  <c r="W45" i="79"/>
  <c r="AK45" i="79" s="1"/>
  <c r="AH45"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Y19" i="71" s="1"/>
  <c r="Z19" i="71" s="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D3" i="71" s="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F24" i="71" s="1"/>
  <c r="F23" i="71" s="1"/>
  <c r="F22" i="71" s="1"/>
  <c r="P24" i="71"/>
  <c r="E24" i="71" s="1"/>
  <c r="O24" i="71"/>
  <c r="C24" i="71"/>
  <c r="Q25" i="71"/>
  <c r="AB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C68" i="71"/>
  <c r="B68" i="71"/>
  <c r="S68" i="71"/>
  <c r="B67" i="71"/>
  <c r="N67" i="71" s="1"/>
  <c r="D65" i="71"/>
  <c r="Q64" i="71"/>
  <c r="P64" i="71"/>
  <c r="O64" i="71"/>
  <c r="N64" i="71"/>
  <c r="Q63" i="71"/>
  <c r="P63" i="71"/>
  <c r="O63" i="71"/>
  <c r="N63" i="71"/>
  <c r="Q62" i="71"/>
  <c r="P62" i="71"/>
  <c r="O62" i="71"/>
  <c r="C63" i="71" s="1"/>
  <c r="N62" i="71"/>
  <c r="Q61" i="71"/>
  <c r="F62" i="71" s="1"/>
  <c r="F63" i="71" s="1"/>
  <c r="P61" i="71"/>
  <c r="E62" i="71" s="1"/>
  <c r="E63" i="71" s="1"/>
  <c r="E64" i="71" s="1"/>
  <c r="U64" i="71" s="1"/>
  <c r="O61" i="71"/>
  <c r="C62" i="71" s="1"/>
  <c r="N61" i="71"/>
  <c r="B62" i="71" s="1"/>
  <c r="B63"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O53" i="71"/>
  <c r="C54" i="71" s="1"/>
  <c r="N53" i="71"/>
  <c r="B54" i="71" s="1"/>
  <c r="B55" i="71" s="1"/>
  <c r="B56" i="71" s="1"/>
  <c r="S56" i="71" s="1"/>
  <c r="D53" i="71"/>
  <c r="Q52" i="71"/>
  <c r="P52" i="71"/>
  <c r="O52" i="71"/>
  <c r="N52" i="71"/>
  <c r="Q51" i="71"/>
  <c r="P51" i="71"/>
  <c r="O51" i="71"/>
  <c r="N51" i="71"/>
  <c r="Q50" i="71"/>
  <c r="P50" i="71"/>
  <c r="O50" i="71"/>
  <c r="N50" i="71"/>
  <c r="Q49" i="71"/>
  <c r="F50" i="71" s="1"/>
  <c r="P49" i="71"/>
  <c r="E50" i="71" s="1"/>
  <c r="O49" i="71"/>
  <c r="C50" i="71" s="1"/>
  <c r="N49" i="71"/>
  <c r="B50" i="71" s="1"/>
  <c r="D49" i="71"/>
  <c r="T48" i="71"/>
  <c r="Q48" i="71"/>
  <c r="P48" i="71"/>
  <c r="O48" i="71"/>
  <c r="N48" i="71"/>
  <c r="D48" i="71"/>
  <c r="Q47" i="71"/>
  <c r="P47" i="71"/>
  <c r="O47" i="71"/>
  <c r="N47" i="71"/>
  <c r="Q46" i="71"/>
  <c r="P46" i="71"/>
  <c r="O46" i="71"/>
  <c r="N46" i="71"/>
  <c r="Q45" i="71"/>
  <c r="F46" i="71" s="1"/>
  <c r="F47" i="71" s="1"/>
  <c r="P45" i="71"/>
  <c r="E46" i="71" s="1"/>
  <c r="O45" i="71"/>
  <c r="C46" i="71" s="1"/>
  <c r="N45" i="71"/>
  <c r="B46" i="71" s="1"/>
  <c r="D45" i="71"/>
  <c r="Q44" i="71"/>
  <c r="P44" i="71"/>
  <c r="O44" i="71"/>
  <c r="N44" i="71"/>
  <c r="Q43" i="71"/>
  <c r="P43" i="71"/>
  <c r="O43" i="71"/>
  <c r="N43" i="71"/>
  <c r="Q42" i="71"/>
  <c r="P42" i="71"/>
  <c r="O42" i="71"/>
  <c r="C43" i="71" s="1"/>
  <c r="C44" i="71" s="1"/>
  <c r="N42" i="71"/>
  <c r="Q41" i="71"/>
  <c r="F42" i="71" s="1"/>
  <c r="P41" i="71"/>
  <c r="E42" i="71" s="1"/>
  <c r="E43" i="71" s="1"/>
  <c r="E44" i="71" s="1"/>
  <c r="U44" i="71" s="1"/>
  <c r="O41" i="71"/>
  <c r="C42" i="71" s="1"/>
  <c r="D42" i="71" s="1"/>
  <c r="N41" i="71"/>
  <c r="B42" i="71" s="1"/>
  <c r="B43" i="71" s="1"/>
  <c r="D41" i="71"/>
  <c r="Q40" i="71"/>
  <c r="P40" i="71"/>
  <c r="O40" i="71"/>
  <c r="N40" i="71"/>
  <c r="AB39" i="71"/>
  <c r="Q39" i="71"/>
  <c r="P39" i="71"/>
  <c r="AA39" i="71" s="1"/>
  <c r="O39" i="71"/>
  <c r="N39" i="71"/>
  <c r="X39" i="71" s="1"/>
  <c r="Q38" i="71"/>
  <c r="P38" i="71"/>
  <c r="O38" i="71"/>
  <c r="N38" i="71"/>
  <c r="X38" i="71" s="1"/>
  <c r="Q37" i="71"/>
  <c r="P37" i="71"/>
  <c r="O37" i="71"/>
  <c r="C38" i="71" s="1"/>
  <c r="D38" i="71" s="1"/>
  <c r="N37" i="71"/>
  <c r="B38" i="71" s="1"/>
  <c r="D37" i="71"/>
  <c r="Q36" i="71"/>
  <c r="P36" i="71"/>
  <c r="O36" i="71"/>
  <c r="N36" i="71"/>
  <c r="Q35" i="71"/>
  <c r="P35" i="71"/>
  <c r="O35" i="71"/>
  <c r="N35" i="71"/>
  <c r="Q34" i="71"/>
  <c r="P34" i="71"/>
  <c r="O34" i="71"/>
  <c r="N34" i="71"/>
  <c r="Q33" i="71"/>
  <c r="F34" i="71" s="1"/>
  <c r="P33" i="71"/>
  <c r="O33" i="71"/>
  <c r="C34" i="71" s="1"/>
  <c r="D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D30" i="71" s="1"/>
  <c r="N29" i="71"/>
  <c r="D29" i="71"/>
  <c r="O28" i="71"/>
  <c r="C28" i="71" s="1"/>
  <c r="N28" i="71"/>
  <c r="N68" i="71"/>
  <c r="E34" i="71"/>
  <c r="C35" i="71"/>
  <c r="B28" i="71"/>
  <c r="B27" i="71" s="1"/>
  <c r="B26" i="71" s="1"/>
  <c r="P28" i="71"/>
  <c r="E28" i="71" s="1"/>
  <c r="E67" i="71"/>
  <c r="Q28" i="71"/>
  <c r="F28" i="71" s="1"/>
  <c r="F27" i="71" s="1"/>
  <c r="F26" i="71" s="1"/>
  <c r="C59" i="71"/>
  <c r="C60" i="71" s="1"/>
  <c r="D62" i="71"/>
  <c r="E79" i="71"/>
  <c r="E78" i="71" s="1"/>
  <c r="D80" i="71"/>
  <c r="D59"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H18" i="36"/>
  <c r="AB18" i="36" s="1"/>
  <c r="C18" i="36"/>
  <c r="Q18" i="35"/>
  <c r="Z18" i="35" s="1"/>
  <c r="D68" i="35"/>
  <c r="E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S25" i="40"/>
  <c r="H25" i="40"/>
  <c r="AB25" i="40" s="1"/>
  <c r="J25" i="40"/>
  <c r="H29" i="39"/>
  <c r="AB29" i="39" s="1"/>
  <c r="J29" i="39"/>
  <c r="AC29" i="39" s="1"/>
  <c r="J18" i="36"/>
  <c r="AC18" i="36" s="1"/>
  <c r="F68" i="35"/>
  <c r="G68" i="35" s="1"/>
  <c r="H18" i="35"/>
  <c r="AB18" i="35" s="1"/>
  <c r="J18" i="35"/>
  <c r="H21" i="37"/>
  <c r="F21" i="37"/>
  <c r="AA21" i="37" s="1"/>
  <c r="H21" i="34"/>
  <c r="AB21" i="34" s="1"/>
  <c r="H21" i="33"/>
  <c r="F21" i="33"/>
  <c r="AA21" i="33" s="1"/>
  <c r="E83" i="21"/>
  <c r="F83" i="21" s="1"/>
  <c r="H1" i="69"/>
  <c r="W29" i="39"/>
  <c r="S21" i="37"/>
  <c r="U21" i="34"/>
  <c r="S21" i="33"/>
  <c r="J21" i="37"/>
  <c r="W21" i="37" s="1"/>
  <c r="J21" i="34"/>
  <c r="W21" i="34" s="1"/>
  <c r="J21" i="33"/>
  <c r="W21" i="33" s="1"/>
  <c r="H21" i="21"/>
  <c r="U21" i="21" s="1"/>
  <c r="F38" i="69"/>
  <c r="E37" i="69"/>
  <c r="F36" i="69"/>
  <c r="F35" i="69"/>
  <c r="F21" i="69"/>
  <c r="F20" i="69"/>
  <c r="F39" i="69" s="1"/>
  <c r="E10" i="69"/>
  <c r="E9" i="69"/>
  <c r="AC21" i="37"/>
  <c r="G83" i="21"/>
  <c r="J21" i="2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A199" i="3" s="1"/>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L196" i="3" s="1"/>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s="1"/>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A191" i="3" s="1"/>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L188" i="3" s="1"/>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A187" i="3" s="1"/>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L184" i="3" s="1"/>
  <c r="BO184" i="3"/>
  <c r="BN184" i="3"/>
  <c r="BM184" i="3"/>
  <c r="BK184" i="3"/>
  <c r="BJ184" i="3"/>
  <c r="BI184" i="3"/>
  <c r="BH184" i="3"/>
  <c r="BG184" i="3"/>
  <c r="BF184" i="3"/>
  <c r="BE184" i="3"/>
  <c r="BD184" i="3"/>
  <c r="BC184" i="3"/>
  <c r="BC5" i="3" s="1"/>
  <c r="BB184" i="3"/>
  <c r="AX184" i="3"/>
  <c r="AW184" i="3"/>
  <c r="AV184" i="3"/>
  <c r="AC184" i="3"/>
  <c r="H184" i="3"/>
  <c r="BT183" i="3"/>
  <c r="BS183" i="3"/>
  <c r="BR183" i="3"/>
  <c r="BQ183" i="3"/>
  <c r="BP183" i="3"/>
  <c r="BO183" i="3"/>
  <c r="BO5" i="3" s="1"/>
  <c r="BN183" i="3"/>
  <c r="BM183" i="3"/>
  <c r="BK183" i="3"/>
  <c r="BJ183" i="3"/>
  <c r="BI183" i="3"/>
  <c r="BH183" i="3"/>
  <c r="BG183" i="3"/>
  <c r="BF183" i="3"/>
  <c r="BE183" i="3"/>
  <c r="BD183" i="3"/>
  <c r="BC183" i="3"/>
  <c r="BB183" i="3"/>
  <c r="BA183" i="3" s="1"/>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A175" i="3" s="1"/>
  <c r="BF175" i="3"/>
  <c r="BE175" i="3"/>
  <c r="BD175" i="3"/>
  <c r="BC175" i="3"/>
  <c r="BB175" i="3"/>
  <c r="AX175" i="3"/>
  <c r="AW175" i="3"/>
  <c r="AV175" i="3"/>
  <c r="AC175" i="3"/>
  <c r="H175" i="3"/>
  <c r="G175" i="3" s="1"/>
  <c r="BT174" i="3"/>
  <c r="BS174" i="3"/>
  <c r="BS5" i="3" s="1"/>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E5" i="3" s="1"/>
  <c r="BD173" i="3"/>
  <c r="BC173" i="3"/>
  <c r="BB173" i="3"/>
  <c r="AX173" i="3"/>
  <c r="AW173" i="3"/>
  <c r="AV173" i="3"/>
  <c r="AC173" i="3"/>
  <c r="H173" i="3"/>
  <c r="BT172" i="3"/>
  <c r="BS172" i="3"/>
  <c r="BR172" i="3"/>
  <c r="BQ172" i="3"/>
  <c r="BL172" i="3" s="1"/>
  <c r="BP172" i="3"/>
  <c r="BO172" i="3"/>
  <c r="BN172" i="3"/>
  <c r="BM172" i="3"/>
  <c r="BK172" i="3"/>
  <c r="BJ172" i="3"/>
  <c r="BI172" i="3"/>
  <c r="BH172" i="3"/>
  <c r="BG172" i="3"/>
  <c r="BF172" i="3"/>
  <c r="BE172" i="3"/>
  <c r="BD172" i="3"/>
  <c r="BD5" i="3" s="1"/>
  <c r="BC172" i="3"/>
  <c r="BB172" i="3"/>
  <c r="AX172" i="3"/>
  <c r="AW172" i="3"/>
  <c r="AV172" i="3"/>
  <c r="AC172" i="3"/>
  <c r="H172" i="3"/>
  <c r="BT171" i="3"/>
  <c r="BS171" i="3"/>
  <c r="BR171" i="3"/>
  <c r="BQ171" i="3"/>
  <c r="BP171" i="3"/>
  <c r="BP5" i="3" s="1"/>
  <c r="BO171" i="3"/>
  <c r="BN171" i="3"/>
  <c r="BM171" i="3"/>
  <c r="BK171" i="3"/>
  <c r="BJ171" i="3"/>
  <c r="BI171" i="3"/>
  <c r="BH171" i="3"/>
  <c r="BG171" i="3"/>
  <c r="BF171" i="3"/>
  <c r="BE171" i="3"/>
  <c r="BD171" i="3"/>
  <c r="BC171" i="3"/>
  <c r="BA171" i="3" s="1"/>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B5"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L168" i="3" s="1"/>
  <c r="AZ168" i="3" s="1"/>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G165" i="3" s="1"/>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G5" i="3" s="1"/>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L158" i="3" s="1"/>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A133" i="3" s="1"/>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A132" i="3" s="1"/>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G260" i="3" s="1"/>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A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A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L394" i="3" s="1"/>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A393" i="3" s="1"/>
  <c r="BE393" i="3"/>
  <c r="BD393" i="3"/>
  <c r="BC393" i="3"/>
  <c r="BB393" i="3"/>
  <c r="AX393" i="3"/>
  <c r="AW393" i="3"/>
  <c r="AV393" i="3"/>
  <c r="AC393" i="3"/>
  <c r="H393" i="3"/>
  <c r="BT392" i="3"/>
  <c r="BS392" i="3"/>
  <c r="BR392" i="3"/>
  <c r="BL392" i="3" s="1"/>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A380" i="3" s="1"/>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L364" i="3" s="1"/>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A362" i="3" s="1"/>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L351" i="3" s="1"/>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A341" i="3" s="1"/>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L337" i="3" s="1"/>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L321" i="3" s="1"/>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A488" i="3" s="1"/>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A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L462" i="3" s="1"/>
  <c r="BK462" i="3"/>
  <c r="BJ462" i="3"/>
  <c r="BA462" i="3" s="1"/>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S29" i="31" s="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S86" i="31" s="1"/>
  <c r="R87" i="31"/>
  <c r="R88" i="31"/>
  <c r="R89" i="31"/>
  <c r="R90" i="31"/>
  <c r="R91" i="31"/>
  <c r="R92" i="31"/>
  <c r="R93" i="31"/>
  <c r="R94" i="31"/>
  <c r="R95" i="31"/>
  <c r="R96" i="31"/>
  <c r="R97" i="31"/>
  <c r="R98" i="31"/>
  <c r="S98" i="31" s="1"/>
  <c r="R99" i="31"/>
  <c r="R100" i="31"/>
  <c r="R101" i="31"/>
  <c r="R102" i="31"/>
  <c r="R103" i="31"/>
  <c r="R104" i="31"/>
  <c r="R105" i="31"/>
  <c r="R106" i="31"/>
  <c r="R107" i="31"/>
  <c r="R108" i="31"/>
  <c r="R109" i="31"/>
  <c r="R110" i="31"/>
  <c r="S110" i="31" s="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S134" i="31" s="1"/>
  <c r="R135" i="31"/>
  <c r="R136" i="31"/>
  <c r="R137" i="31"/>
  <c r="R138" i="31"/>
  <c r="R139" i="31"/>
  <c r="R140" i="31"/>
  <c r="R141" i="31"/>
  <c r="R142" i="31"/>
  <c r="R143" i="31"/>
  <c r="R144" i="31"/>
  <c r="R145" i="31"/>
  <c r="R146" i="31"/>
  <c r="S146" i="31" s="1"/>
  <c r="R147" i="31"/>
  <c r="R148" i="31"/>
  <c r="R149" i="31"/>
  <c r="R150" i="31"/>
  <c r="R151" i="31"/>
  <c r="R152" i="31"/>
  <c r="R153" i="31"/>
  <c r="R154" i="31"/>
  <c r="R155" i="31"/>
  <c r="R156" i="31"/>
  <c r="R157" i="31"/>
  <c r="R158" i="31"/>
  <c r="S158" i="31" s="1"/>
  <c r="R159" i="31"/>
  <c r="R160" i="31"/>
  <c r="R161" i="31"/>
  <c r="S161" i="31" s="1"/>
  <c r="R162" i="31"/>
  <c r="R163" i="31"/>
  <c r="R164" i="31"/>
  <c r="R165" i="31"/>
  <c r="R166" i="31"/>
  <c r="R167" i="31"/>
  <c r="R168" i="31"/>
  <c r="R169" i="31"/>
  <c r="R170" i="31"/>
  <c r="S170" i="31" s="1"/>
  <c r="R171" i="31"/>
  <c r="R172" i="31"/>
  <c r="R173" i="31"/>
  <c r="R174" i="31"/>
  <c r="R175" i="31"/>
  <c r="R176" i="31"/>
  <c r="R177" i="31"/>
  <c r="R178" i="31"/>
  <c r="R179" i="31"/>
  <c r="R180" i="31"/>
  <c r="R181" i="31"/>
  <c r="R182" i="31"/>
  <c r="S182" i="31" s="1"/>
  <c r="R183" i="31"/>
  <c r="R184" i="31"/>
  <c r="R185" i="31"/>
  <c r="R186" i="31"/>
  <c r="R187" i="31"/>
  <c r="R188" i="31"/>
  <c r="R189" i="31"/>
  <c r="R190" i="31"/>
  <c r="R191" i="31"/>
  <c r="R192" i="31"/>
  <c r="R193" i="31"/>
  <c r="R194" i="31"/>
  <c r="S194" i="31" s="1"/>
  <c r="R195" i="31"/>
  <c r="R196" i="31"/>
  <c r="R197" i="31"/>
  <c r="R198" i="31"/>
  <c r="R199" i="31"/>
  <c r="R200" i="31"/>
  <c r="R201" i="31"/>
  <c r="R202" i="31"/>
  <c r="R203" i="31"/>
  <c r="R204" i="31"/>
  <c r="R205" i="31"/>
  <c r="R206" i="31"/>
  <c r="S206" i="31" s="1"/>
  <c r="R207" i="31"/>
  <c r="R208" i="31"/>
  <c r="R209" i="31"/>
  <c r="R210" i="31"/>
  <c r="R211" i="31"/>
  <c r="R212" i="31"/>
  <c r="R213" i="31"/>
  <c r="R214" i="31"/>
  <c r="R215" i="31"/>
  <c r="R216" i="31"/>
  <c r="R217" i="31"/>
  <c r="R218" i="31"/>
  <c r="S218" i="31" s="1"/>
  <c r="R219" i="31"/>
  <c r="R220" i="31"/>
  <c r="R221" i="31"/>
  <c r="R222" i="31"/>
  <c r="R223" i="31"/>
  <c r="R224" i="31"/>
  <c r="R225" i="31"/>
  <c r="R226" i="31"/>
  <c r="R227" i="31"/>
  <c r="R228" i="31"/>
  <c r="R229" i="31"/>
  <c r="R230" i="31"/>
  <c r="R231" i="31"/>
  <c r="R232" i="31"/>
  <c r="S232" i="31" s="1"/>
  <c r="R233" i="31"/>
  <c r="R234" i="31"/>
  <c r="R235" i="31"/>
  <c r="R236" i="31"/>
  <c r="R237" i="31"/>
  <c r="R238" i="31"/>
  <c r="R239" i="31"/>
  <c r="R240" i="31"/>
  <c r="R241" i="31"/>
  <c r="R242" i="31"/>
  <c r="R243" i="31"/>
  <c r="R244" i="31"/>
  <c r="S244" i="31" s="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S268" i="31" s="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R325" i="31"/>
  <c r="S325" i="31" s="1"/>
  <c r="R326" i="31"/>
  <c r="R327" i="31"/>
  <c r="S327" i="31" s="1"/>
  <c r="R328" i="31"/>
  <c r="S328" i="31" s="1"/>
  <c r="R329" i="31"/>
  <c r="S329" i="31" s="1"/>
  <c r="R330" i="3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R347" i="31"/>
  <c r="S347" i="31" s="1"/>
  <c r="R348" i="31"/>
  <c r="R349" i="31"/>
  <c r="S349" i="31" s="1"/>
  <c r="R350" i="31"/>
  <c r="R351" i="31"/>
  <c r="S351" i="31" s="1"/>
  <c r="R352" i="31"/>
  <c r="S352" i="31" s="1"/>
  <c r="R353" i="31"/>
  <c r="S353" i="31" s="1"/>
  <c r="R354" i="31"/>
  <c r="R355" i="31"/>
  <c r="S355" i="31" s="1"/>
  <c r="R356" i="31"/>
  <c r="R357" i="31"/>
  <c r="S357" i="31" s="1"/>
  <c r="R358" i="31"/>
  <c r="R359" i="31"/>
  <c r="S359" i="31" s="1"/>
  <c r="R360" i="31"/>
  <c r="R361" i="31"/>
  <c r="S361" i="31" s="1"/>
  <c r="R362" i="31"/>
  <c r="S362" i="31" s="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S433" i="31" s="1"/>
  <c r="R434" i="31"/>
  <c r="R435" i="31"/>
  <c r="S435" i="31" s="1"/>
  <c r="R436" i="31"/>
  <c r="R437" i="31"/>
  <c r="R438" i="31"/>
  <c r="R439" i="31"/>
  <c r="R440" i="31"/>
  <c r="R441" i="31"/>
  <c r="R442" i="31"/>
  <c r="R443" i="31"/>
  <c r="R444" i="31"/>
  <c r="R445" i="31"/>
  <c r="R446" i="31"/>
  <c r="R447" i="31"/>
  <c r="R448" i="31"/>
  <c r="R449" i="31"/>
  <c r="R450" i="31"/>
  <c r="R451" i="31"/>
  <c r="R452" i="31"/>
  <c r="R453" i="31"/>
  <c r="R454" i="31"/>
  <c r="R455" i="31"/>
  <c r="R456" i="31"/>
  <c r="S456" i="31" s="1"/>
  <c r="R457" i="31"/>
  <c r="R458" i="31"/>
  <c r="R459" i="31"/>
  <c r="R460" i="31"/>
  <c r="R461" i="31"/>
  <c r="R462" i="31"/>
  <c r="R463" i="31"/>
  <c r="R464" i="31"/>
  <c r="R465" i="31"/>
  <c r="R466" i="31"/>
  <c r="R467" i="31"/>
  <c r="R468" i="31"/>
  <c r="S468" i="31" s="1"/>
  <c r="R469" i="31"/>
  <c r="R470" i="31"/>
  <c r="R471" i="31"/>
  <c r="S471" i="31" s="1"/>
  <c r="R472" i="31"/>
  <c r="R473" i="31"/>
  <c r="R474" i="31"/>
  <c r="R475" i="31"/>
  <c r="R476" i="31"/>
  <c r="R477" i="31"/>
  <c r="R478" i="31"/>
  <c r="R479" i="31"/>
  <c r="R480" i="31"/>
  <c r="S480" i="31" s="1"/>
  <c r="R481" i="31"/>
  <c r="R482" i="31"/>
  <c r="R483" i="31"/>
  <c r="R484" i="31"/>
  <c r="R485" i="31"/>
  <c r="R486" i="31"/>
  <c r="R487" i="31"/>
  <c r="R488" i="31"/>
  <c r="R489" i="31"/>
  <c r="R490" i="31"/>
  <c r="R491" i="31"/>
  <c r="R492" i="31"/>
  <c r="S492" i="31" s="1"/>
  <c r="R493" i="31"/>
  <c r="R494" i="31"/>
  <c r="R495" i="31"/>
  <c r="R496" i="31"/>
  <c r="R497" i="31"/>
  <c r="R498" i="31"/>
  <c r="R499" i="31"/>
  <c r="R500" i="31"/>
  <c r="R501" i="31"/>
  <c r="R502" i="31"/>
  <c r="R503" i="31"/>
  <c r="R504" i="31"/>
  <c r="R505" i="31"/>
  <c r="R506" i="31"/>
  <c r="R507" i="31"/>
  <c r="S507" i="31" s="1"/>
  <c r="R508" i="31"/>
  <c r="R509" i="31"/>
  <c r="R510" i="31"/>
  <c r="R511" i="31"/>
  <c r="R512" i="31"/>
  <c r="R513" i="31"/>
  <c r="R514" i="31"/>
  <c r="R515" i="31"/>
  <c r="R516" i="31"/>
  <c r="R517" i="31"/>
  <c r="S517" i="31" s="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36"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08" i="31"/>
  <c r="S406" i="31"/>
  <c r="S404" i="31"/>
  <c r="S402" i="31"/>
  <c r="S400" i="31"/>
  <c r="S398" i="31"/>
  <c r="S396" i="31"/>
  <c r="S394" i="31"/>
  <c r="S392" i="31"/>
  <c r="S390" i="31"/>
  <c r="S388" i="31"/>
  <c r="S384" i="31"/>
  <c r="S382" i="31"/>
  <c r="S380" i="31"/>
  <c r="S378" i="31"/>
  <c r="S376" i="31"/>
  <c r="S374" i="31"/>
  <c r="S372" i="31"/>
  <c r="S370" i="31"/>
  <c r="S368" i="31"/>
  <c r="S366" i="31"/>
  <c r="S364" i="31"/>
  <c r="S360" i="31"/>
  <c r="S358" i="31"/>
  <c r="S356" i="31"/>
  <c r="S354" i="31"/>
  <c r="S350" i="31"/>
  <c r="S348" i="31"/>
  <c r="S346" i="31"/>
  <c r="S344" i="31"/>
  <c r="S342" i="31"/>
  <c r="S340" i="31"/>
  <c r="S336" i="31"/>
  <c r="S334" i="31"/>
  <c r="S332" i="31"/>
  <c r="S330" i="31"/>
  <c r="S326" i="31"/>
  <c r="S324" i="31"/>
  <c r="S322" i="31"/>
  <c r="S424" i="31"/>
  <c r="S320" i="31"/>
  <c r="S318" i="31"/>
  <c r="S314" i="31"/>
  <c r="S312" i="31"/>
  <c r="S310" i="31"/>
  <c r="S308" i="31"/>
  <c r="S306" i="31"/>
  <c r="S304" i="31"/>
  <c r="S302" i="31"/>
  <c r="S300" i="31"/>
  <c r="S298" i="31"/>
  <c r="S296" i="31"/>
  <c r="S294" i="31"/>
  <c r="S290" i="31"/>
  <c r="S288" i="31"/>
  <c r="S286" i="31"/>
  <c r="S284" i="31"/>
  <c r="S282" i="31"/>
  <c r="S280" i="31"/>
  <c r="S278" i="31"/>
  <c r="S276" i="31"/>
  <c r="S274" i="31"/>
  <c r="S272" i="31"/>
  <c r="S270" i="31"/>
  <c r="S266" i="31"/>
  <c r="S264" i="31"/>
  <c r="S262" i="31"/>
  <c r="S260" i="31"/>
  <c r="S258" i="31"/>
  <c r="S256" i="31"/>
  <c r="S254" i="31"/>
  <c r="S253" i="31"/>
  <c r="S252" i="31"/>
  <c r="S251" i="31"/>
  <c r="S250" i="31"/>
  <c r="S249" i="31"/>
  <c r="S248" i="31"/>
  <c r="S247" i="31"/>
  <c r="S246" i="31"/>
  <c r="S245" i="31"/>
  <c r="S243" i="31"/>
  <c r="S242" i="31"/>
  <c r="S241" i="31"/>
  <c r="S240" i="31"/>
  <c r="S239" i="31"/>
  <c r="S238" i="31"/>
  <c r="S237" i="31"/>
  <c r="S236" i="31"/>
  <c r="S235" i="31"/>
  <c r="S234" i="31"/>
  <c r="S233" i="31"/>
  <c r="S231" i="31"/>
  <c r="S230" i="31"/>
  <c r="S229" i="31"/>
  <c r="S228" i="31"/>
  <c r="S227" i="31"/>
  <c r="S226" i="31"/>
  <c r="S225" i="31"/>
  <c r="S224" i="31"/>
  <c r="S223" i="31"/>
  <c r="S429" i="31"/>
  <c r="S428" i="31"/>
  <c r="S427" i="31"/>
  <c r="S426" i="31"/>
  <c r="S425" i="31"/>
  <c r="S222" i="31"/>
  <c r="S221" i="31"/>
  <c r="S220" i="31"/>
  <c r="S219" i="31"/>
  <c r="S217" i="31"/>
  <c r="S216" i="31"/>
  <c r="S215" i="31"/>
  <c r="S214" i="31"/>
  <c r="S213" i="31"/>
  <c r="S212" i="31"/>
  <c r="S211" i="31"/>
  <c r="S210" i="31"/>
  <c r="S209" i="31"/>
  <c r="S208" i="31"/>
  <c r="S207" i="31"/>
  <c r="S205" i="31"/>
  <c r="S204" i="31"/>
  <c r="S203" i="31"/>
  <c r="S202" i="31"/>
  <c r="S201" i="31"/>
  <c r="S200" i="31"/>
  <c r="S199" i="31"/>
  <c r="S198" i="31"/>
  <c r="S197" i="31"/>
  <c r="S196" i="31"/>
  <c r="S195" i="31"/>
  <c r="S193" i="31"/>
  <c r="S192" i="31"/>
  <c r="S191" i="31"/>
  <c r="S190" i="31"/>
  <c r="S189" i="31"/>
  <c r="S188" i="31"/>
  <c r="S187" i="31"/>
  <c r="S186" i="31"/>
  <c r="S185" i="31"/>
  <c r="S184" i="31"/>
  <c r="S183" i="31"/>
  <c r="S181" i="31"/>
  <c r="S180" i="31"/>
  <c r="S179" i="31"/>
  <c r="S178" i="31"/>
  <c r="S177" i="31"/>
  <c r="S176" i="31"/>
  <c r="S175" i="31"/>
  <c r="S174" i="31"/>
  <c r="S173" i="31"/>
  <c r="S172" i="31"/>
  <c r="S171" i="31"/>
  <c r="S169" i="31"/>
  <c r="S168" i="31"/>
  <c r="S167" i="31"/>
  <c r="S166" i="31"/>
  <c r="S165" i="31"/>
  <c r="S164" i="31"/>
  <c r="S163" i="31"/>
  <c r="S162" i="31"/>
  <c r="S160" i="31"/>
  <c r="S159" i="31"/>
  <c r="S157" i="31"/>
  <c r="S156" i="31"/>
  <c r="S155" i="31"/>
  <c r="S154" i="31"/>
  <c r="S153" i="31"/>
  <c r="S152" i="31"/>
  <c r="S151" i="31"/>
  <c r="S150" i="31"/>
  <c r="S149" i="31"/>
  <c r="S148" i="31"/>
  <c r="S147" i="31"/>
  <c r="S145" i="31"/>
  <c r="S144" i="31"/>
  <c r="S143" i="31"/>
  <c r="S142" i="31"/>
  <c r="S141" i="31"/>
  <c r="S140" i="31"/>
  <c r="S139" i="31"/>
  <c r="S138" i="31"/>
  <c r="S137" i="31"/>
  <c r="S136" i="31"/>
  <c r="S135" i="31"/>
  <c r="S133" i="31"/>
  <c r="S132" i="31"/>
  <c r="S131" i="31"/>
  <c r="S130" i="31"/>
  <c r="S129" i="31"/>
  <c r="S128" i="31"/>
  <c r="S127" i="31"/>
  <c r="S126" i="31"/>
  <c r="S125" i="31"/>
  <c r="S124" i="31"/>
  <c r="S123" i="31"/>
  <c r="S497" i="31"/>
  <c r="S496" i="31"/>
  <c r="S495" i="31"/>
  <c r="S494" i="31"/>
  <c r="S493" i="31"/>
  <c r="S491" i="31"/>
  <c r="S490" i="31"/>
  <c r="S489" i="31"/>
  <c r="S488" i="31"/>
  <c r="S487" i="31"/>
  <c r="S486" i="31"/>
  <c r="S485" i="31"/>
  <c r="S484" i="31"/>
  <c r="S483" i="31"/>
  <c r="S482" i="31"/>
  <c r="S481" i="31"/>
  <c r="S479" i="31"/>
  <c r="S478" i="31"/>
  <c r="S477" i="31"/>
  <c r="S476" i="31"/>
  <c r="S475" i="31"/>
  <c r="S474" i="31"/>
  <c r="S473" i="31"/>
  <c r="S472" i="31"/>
  <c r="S470" i="31"/>
  <c r="S469" i="31"/>
  <c r="S444" i="31"/>
  <c r="S443" i="31"/>
  <c r="S442" i="31"/>
  <c r="S441" i="31"/>
  <c r="S440" i="31"/>
  <c r="S439" i="31"/>
  <c r="S438" i="31"/>
  <c r="S437" i="31"/>
  <c r="S436" i="31"/>
  <c r="S434"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5" i="31"/>
  <c r="S84" i="31"/>
  <c r="S83" i="31"/>
  <c r="S82" i="31"/>
  <c r="S81" i="31"/>
  <c r="S80" i="31"/>
  <c r="S79" i="31"/>
  <c r="S78" i="31"/>
  <c r="S31" i="31"/>
  <c r="S30" i="31"/>
  <c r="S99" i="31"/>
  <c r="S100" i="31"/>
  <c r="S101" i="31"/>
  <c r="S102" i="31"/>
  <c r="S103" i="31"/>
  <c r="S104" i="31"/>
  <c r="S105" i="31"/>
  <c r="S106" i="31"/>
  <c r="S107" i="31"/>
  <c r="S108" i="31"/>
  <c r="S109" i="31"/>
  <c r="S111" i="31"/>
  <c r="S445" i="31"/>
  <c r="S446" i="31"/>
  <c r="S447" i="31"/>
  <c r="S448" i="31"/>
  <c r="S449"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A495" i="3" s="1"/>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A499" i="3" s="1"/>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A502" i="3" s="1"/>
  <c r="BC502" i="3"/>
  <c r="BD502" i="3"/>
  <c r="BE502" i="3"/>
  <c r="BF502" i="3"/>
  <c r="BG502" i="3"/>
  <c r="BH502" i="3"/>
  <c r="BI502" i="3"/>
  <c r="BJ502" i="3"/>
  <c r="BK502" i="3"/>
  <c r="BM502" i="3"/>
  <c r="BN502" i="3"/>
  <c r="BO502" i="3"/>
  <c r="BL502" i="3" s="1"/>
  <c r="AZ502" i="3" s="1"/>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A506" i="3" s="1"/>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A508" i="3" s="1"/>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A509" i="3" s="1"/>
  <c r="AZ509" i="3" s="1"/>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D511" i="3"/>
  <c r="BE511" i="3"/>
  <c r="BF511" i="3"/>
  <c r="BG511" i="3"/>
  <c r="BA511" i="3" s="1"/>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L512" i="3" s="1"/>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L513" i="3" s="1"/>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A516" i="3" s="1"/>
  <c r="BG516" i="3"/>
  <c r="BH516" i="3"/>
  <c r="BI516" i="3"/>
  <c r="BJ516" i="3"/>
  <c r="BK516" i="3"/>
  <c r="BM516" i="3"/>
  <c r="BN516" i="3"/>
  <c r="BO516" i="3"/>
  <c r="BP516" i="3"/>
  <c r="BQ516" i="3"/>
  <c r="BR516" i="3"/>
  <c r="BS516" i="3"/>
  <c r="BL516" i="3" s="1"/>
  <c r="BT516" i="3"/>
  <c r="H517" i="3"/>
  <c r="AC517" i="3"/>
  <c r="G517" i="3" s="1"/>
  <c r="BB517" i="3"/>
  <c r="BC517" i="3"/>
  <c r="BD517" i="3"/>
  <c r="BE517" i="3"/>
  <c r="BF517" i="3"/>
  <c r="BG517" i="3"/>
  <c r="BH517" i="3"/>
  <c r="BI517" i="3"/>
  <c r="BJ517" i="3"/>
  <c r="BA517" i="3" s="1"/>
  <c r="BK517" i="3"/>
  <c r="BM517" i="3"/>
  <c r="BN517" i="3"/>
  <c r="BO517" i="3"/>
  <c r="BP517" i="3"/>
  <c r="BR517" i="3"/>
  <c r="BS517" i="3"/>
  <c r="BT517" i="3"/>
  <c r="H518" i="3"/>
  <c r="AC518" i="3"/>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A527" i="3" s="1"/>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L533" i="3" s="1"/>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A535" i="3" s="1"/>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L536" i="3" s="1"/>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L545" i="3" s="1"/>
  <c r="BT545" i="3"/>
  <c r="H546" i="3"/>
  <c r="AC546" i="3"/>
  <c r="G546" i="3" s="1"/>
  <c r="BB546" i="3"/>
  <c r="BC546" i="3"/>
  <c r="BD546" i="3"/>
  <c r="BE546" i="3"/>
  <c r="BF546" i="3"/>
  <c r="BG546" i="3"/>
  <c r="BH546" i="3"/>
  <c r="BI546" i="3"/>
  <c r="BJ546" i="3"/>
  <c r="BA546" i="3" s="1"/>
  <c r="AZ546" i="3" s="1"/>
  <c r="BK546" i="3"/>
  <c r="BM546" i="3"/>
  <c r="BN546" i="3"/>
  <c r="BL546" i="3" s="1"/>
  <c r="BO546" i="3"/>
  <c r="BP546" i="3"/>
  <c r="BQ546" i="3"/>
  <c r="BR546" i="3"/>
  <c r="BS546" i="3"/>
  <c r="BT546" i="3"/>
  <c r="H547" i="3"/>
  <c r="G547" i="3" s="1"/>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A548" i="3" s="1"/>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A554" i="3" s="1"/>
  <c r="AZ554" i="3" s="1"/>
  <c r="BK554" i="3"/>
  <c r="BM554" i="3"/>
  <c r="BN554" i="3"/>
  <c r="BL554" i="3" s="1"/>
  <c r="BO554" i="3"/>
  <c r="BP554" i="3"/>
  <c r="BQ554" i="3"/>
  <c r="BR554" i="3"/>
  <c r="BS554" i="3"/>
  <c r="BT554" i="3"/>
  <c r="H555" i="3"/>
  <c r="G555" i="3" s="1"/>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A556" i="3" s="1"/>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A558" i="3" s="1"/>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A559" i="3" s="1"/>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A563" i="3" s="1"/>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A564" i="3" s="1"/>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A567" i="3" s="1"/>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A570" i="3" s="1"/>
  <c r="AZ570" i="3" s="1"/>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A571" i="3" s="1"/>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L572" i="3" s="1"/>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L574" i="3" s="1"/>
  <c r="BQ574" i="3"/>
  <c r="BR574" i="3"/>
  <c r="BS574" i="3"/>
  <c r="BT574" i="3"/>
  <c r="H575" i="3"/>
  <c r="AC575" i="3"/>
  <c r="BB575" i="3"/>
  <c r="BC575" i="3"/>
  <c r="BD575" i="3"/>
  <c r="BE575" i="3"/>
  <c r="BF575" i="3"/>
  <c r="BG575" i="3"/>
  <c r="BA575" i="3" s="1"/>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L576" i="3" s="1"/>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A581" i="3" s="1"/>
  <c r="BK581" i="3"/>
  <c r="BM581" i="3"/>
  <c r="BN581" i="3"/>
  <c r="BO581" i="3"/>
  <c r="BP581" i="3"/>
  <c r="BR581" i="3"/>
  <c r="BS581" i="3"/>
  <c r="BT581" i="3"/>
  <c r="H582" i="3"/>
  <c r="AC582" i="3"/>
  <c r="BB582" i="3"/>
  <c r="BC582" i="3"/>
  <c r="BA582" i="3" s="1"/>
  <c r="BD582" i="3"/>
  <c r="BE582" i="3"/>
  <c r="BF582" i="3"/>
  <c r="BG582" i="3"/>
  <c r="BH582" i="3"/>
  <c r="BI582" i="3"/>
  <c r="BJ582" i="3"/>
  <c r="BK582" i="3"/>
  <c r="BM582" i="3"/>
  <c r="BN582" i="3"/>
  <c r="BL582" i="3" s="1"/>
  <c r="BO582" i="3"/>
  <c r="BP582" i="3"/>
  <c r="BQ582" i="3"/>
  <c r="BR582" i="3"/>
  <c r="BS582" i="3"/>
  <c r="BT582" i="3"/>
  <c r="H583" i="3"/>
  <c r="AC583" i="3"/>
  <c r="BB583" i="3"/>
  <c r="BC583" i="3"/>
  <c r="BD583" i="3"/>
  <c r="BE583" i="3"/>
  <c r="BF583" i="3"/>
  <c r="BG583" i="3"/>
  <c r="BA583" i="3" s="1"/>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A584" i="3" s="1"/>
  <c r="BK584" i="3"/>
  <c r="BM584" i="3"/>
  <c r="BL584" i="3" s="1"/>
  <c r="AZ584" i="3" s="1"/>
  <c r="BN584" i="3"/>
  <c r="BO584" i="3"/>
  <c r="BP584" i="3"/>
  <c r="BQ584" i="3"/>
  <c r="BR584" i="3"/>
  <c r="BS584" i="3"/>
  <c r="BT584" i="3"/>
  <c r="H7" i="12"/>
  <c r="I7" i="12"/>
  <c r="J7" i="12"/>
  <c r="K7" i="12"/>
  <c r="H111" i="21"/>
  <c r="B109" i="39"/>
  <c r="B111" i="39"/>
  <c r="C26" i="35"/>
  <c r="C79" i="35" s="1"/>
  <c r="J31" i="35"/>
  <c r="H31" i="35"/>
  <c r="U31" i="35" s="1"/>
  <c r="F31" i="35"/>
  <c r="AA31" i="35" s="1"/>
  <c r="D87" i="35"/>
  <c r="E87" i="35" s="1"/>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AB42" i="34" s="1"/>
  <c r="J42" i="34"/>
  <c r="W42" i="34" s="1"/>
  <c r="F42" i="34"/>
  <c r="J38" i="34"/>
  <c r="W38" i="34" s="1"/>
  <c r="D114" i="34"/>
  <c r="E114" i="34" s="1"/>
  <c r="F38" i="34"/>
  <c r="S38" i="34" s="1"/>
  <c r="D112" i="34"/>
  <c r="E112" i="34" s="1"/>
  <c r="F112" i="34" s="1"/>
  <c r="G112" i="34" s="1"/>
  <c r="H112" i="34" s="1"/>
  <c r="I112" i="34" s="1"/>
  <c r="J112" i="34" s="1"/>
  <c r="K112" i="34" s="1"/>
  <c r="L112" i="34" s="1"/>
  <c r="M112" i="34" s="1"/>
  <c r="F40" i="33"/>
  <c r="J41" i="33"/>
  <c r="AC41" i="33" s="1"/>
  <c r="D113" i="33"/>
  <c r="E113" i="33" s="1"/>
  <c r="F37" i="33"/>
  <c r="AA37" i="33" s="1"/>
  <c r="D111" i="33"/>
  <c r="E111" i="33"/>
  <c r="F111" i="33" s="1"/>
  <c r="G111" i="33" s="1"/>
  <c r="H111" i="33" s="1"/>
  <c r="I111" i="33" s="1"/>
  <c r="J111" i="33" s="1"/>
  <c r="K111" i="33" s="1"/>
  <c r="L111" i="33" s="1"/>
  <c r="M111" i="33" s="1"/>
  <c r="S515" i="31"/>
  <c r="S516"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B103" i="40"/>
  <c r="J32" i="40" s="1"/>
  <c r="B101" i="40"/>
  <c r="D100" i="40"/>
  <c r="E100" i="40"/>
  <c r="F100" i="40" s="1"/>
  <c r="G100" i="40" s="1"/>
  <c r="H100" i="40" s="1"/>
  <c r="I100" i="40" s="1"/>
  <c r="J100" i="40" s="1"/>
  <c r="K100" i="40" s="1"/>
  <c r="L100" i="40" s="1"/>
  <c r="M100" i="40" s="1"/>
  <c r="D98" i="40"/>
  <c r="J28" i="40"/>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s="1"/>
  <c r="D84" i="40"/>
  <c r="E84" i="40" s="1"/>
  <c r="F84" i="40" s="1"/>
  <c r="G84" i="40" s="1"/>
  <c r="B81" i="40"/>
  <c r="F14" i="40" s="1"/>
  <c r="B79" i="40"/>
  <c r="B77" i="40"/>
  <c r="F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F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E96" i="39" s="1"/>
  <c r="F96" i="39" s="1"/>
  <c r="G96" i="39" s="1"/>
  <c r="J23" i="39"/>
  <c r="D94" i="39"/>
  <c r="E94" i="39" s="1"/>
  <c r="F94" i="39" s="1"/>
  <c r="D92" i="39"/>
  <c r="E92" i="39" s="1"/>
  <c r="F92" i="39" s="1"/>
  <c r="G92" i="39" s="1"/>
  <c r="D90" i="39"/>
  <c r="E90" i="39"/>
  <c r="F90" i="39" s="1"/>
  <c r="G90" i="39" s="1"/>
  <c r="D88" i="39"/>
  <c r="E88" i="39"/>
  <c r="F88" i="39" s="1"/>
  <c r="G88" i="39" s="1"/>
  <c r="B85" i="39"/>
  <c r="J14" i="39" s="1"/>
  <c r="AC14" i="39" s="1"/>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F39" i="37" s="1"/>
  <c r="S39" i="37" s="1"/>
  <c r="B108" i="37"/>
  <c r="H38" i="37" s="1"/>
  <c r="AB38" i="37" s="1"/>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F97" i="37"/>
  <c r="E97" i="37"/>
  <c r="D97" i="37"/>
  <c r="C97" i="37"/>
  <c r="D96" i="37"/>
  <c r="E96" i="37" s="1"/>
  <c r="D94" i="37"/>
  <c r="M90" i="37"/>
  <c r="L90" i="37"/>
  <c r="K90" i="37"/>
  <c r="J90" i="37"/>
  <c r="I90" i="37"/>
  <c r="H90" i="37"/>
  <c r="G90" i="37"/>
  <c r="F90" i="37"/>
  <c r="E90" i="37"/>
  <c r="D90" i="37"/>
  <c r="C90" i="37"/>
  <c r="D89" i="37"/>
  <c r="B86" i="37"/>
  <c r="J28" i="37" s="1"/>
  <c r="AC28" i="37" s="1"/>
  <c r="B84" i="37"/>
  <c r="B82" i="37"/>
  <c r="D79" i="37"/>
  <c r="E79" i="37" s="1"/>
  <c r="D75" i="37"/>
  <c r="E75" i="37"/>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F79" i="36"/>
  <c r="E79" i="36"/>
  <c r="D79" i="36"/>
  <c r="C79" i="36"/>
  <c r="B93" i="36"/>
  <c r="H33" i="36" s="1"/>
  <c r="B91" i="36"/>
  <c r="F32" i="36" s="1"/>
  <c r="S32" i="36" s="1"/>
  <c r="B95" i="36"/>
  <c r="H34" i="36" s="1"/>
  <c r="U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J25" i="36" s="1"/>
  <c r="B73" i="36"/>
  <c r="B71" i="36"/>
  <c r="H23" i="36" s="1"/>
  <c r="AB23" i="36" s="1"/>
  <c r="D70" i="36"/>
  <c r="H22" i="36"/>
  <c r="AB22" i="36" s="1"/>
  <c r="D68" i="36"/>
  <c r="E68" i="36" s="1"/>
  <c r="F68" i="36" s="1"/>
  <c r="G68" i="36"/>
  <c r="D64" i="36"/>
  <c r="E64" i="36" s="1"/>
  <c r="F64" i="36" s="1"/>
  <c r="G64" i="36" s="1"/>
  <c r="D62" i="36"/>
  <c r="E62" i="36" s="1"/>
  <c r="F62" i="36" s="1"/>
  <c r="G62" i="36" s="1"/>
  <c r="B59" i="36"/>
  <c r="B57" i="36"/>
  <c r="B55" i="36"/>
  <c r="C51" i="36"/>
  <c r="P37" i="36"/>
  <c r="P36" i="36"/>
  <c r="V35" i="36"/>
  <c r="T35" i="36"/>
  <c r="R35" i="36"/>
  <c r="P35" i="36"/>
  <c r="Q34" i="36"/>
  <c r="Z34" i="36" s="1"/>
  <c r="Q33" i="36"/>
  <c r="Z33" i="36" s="1"/>
  <c r="Q32" i="36"/>
  <c r="Z32" i="36"/>
  <c r="Q31" i="36"/>
  <c r="Z31" i="36" s="1"/>
  <c r="Q30" i="36"/>
  <c r="Z30" i="36" s="1"/>
  <c r="Q29" i="36"/>
  <c r="Z29" i="36" s="1"/>
  <c r="Q28" i="36"/>
  <c r="Z28" i="36" s="1"/>
  <c r="J28" i="36"/>
  <c r="Q27" i="36"/>
  <c r="Z27" i="36"/>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AC27" i="35" s="1"/>
  <c r="W27" i="35"/>
  <c r="H27" i="35"/>
  <c r="U27" i="35" s="1"/>
  <c r="F27" i="35"/>
  <c r="AA27" i="35" s="1"/>
  <c r="J22" i="35"/>
  <c r="B101" i="35"/>
  <c r="H36" i="35" s="1"/>
  <c r="AB36" i="35" s="1"/>
  <c r="B99" i="35"/>
  <c r="H35" i="35" s="1"/>
  <c r="B97" i="35"/>
  <c r="B77" i="35"/>
  <c r="J25" i="35" s="1"/>
  <c r="AC25" i="35" s="1"/>
  <c r="B75" i="35"/>
  <c r="B73" i="35"/>
  <c r="B57" i="35"/>
  <c r="J11" i="35" s="1"/>
  <c r="B61" i="35"/>
  <c r="J13" i="35" s="1"/>
  <c r="B59" i="35"/>
  <c r="B131" i="34"/>
  <c r="B129" i="34"/>
  <c r="B127" i="34"/>
  <c r="B99" i="34"/>
  <c r="B97" i="34"/>
  <c r="B95" i="34"/>
  <c r="B93" i="34"/>
  <c r="F29" i="34" s="1"/>
  <c r="B75" i="34"/>
  <c r="B73" i="34"/>
  <c r="F13" i="34" s="1"/>
  <c r="B71" i="34"/>
  <c r="B130" i="33"/>
  <c r="J46" i="33" s="1"/>
  <c r="W46" i="33" s="1"/>
  <c r="B128" i="33"/>
  <c r="J45" i="33" s="1"/>
  <c r="B126" i="33"/>
  <c r="B98" i="33"/>
  <c r="J31" i="33" s="1"/>
  <c r="AC31" i="33" s="1"/>
  <c r="B96" i="33"/>
  <c r="B94" i="33"/>
  <c r="B74" i="33"/>
  <c r="J14" i="33" s="1"/>
  <c r="B72" i="33"/>
  <c r="B70" i="33"/>
  <c r="D96" i="35"/>
  <c r="E96" i="35" s="1"/>
  <c r="F96" i="35"/>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F9" i="35" s="1"/>
  <c r="S9" i="35" s="1"/>
  <c r="J9" i="35"/>
  <c r="W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B31" i="35"/>
  <c r="Q30" i="35"/>
  <c r="Z30" i="35" s="1"/>
  <c r="Q29" i="35"/>
  <c r="Z29" i="35" s="1"/>
  <c r="Q28" i="35"/>
  <c r="Z28" i="35"/>
  <c r="J28" i="35"/>
  <c r="AC28" i="35" s="1"/>
  <c r="H28" i="35"/>
  <c r="AB28" i="35" s="1"/>
  <c r="F28" i="35"/>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8" i="34"/>
  <c r="H8" i="34"/>
  <c r="U8" i="34" s="1"/>
  <c r="F8" i="34"/>
  <c r="S8" i="34" s="1"/>
  <c r="D121" i="33"/>
  <c r="E121" i="33" s="1"/>
  <c r="F109" i="33"/>
  <c r="E109" i="33"/>
  <c r="D109" i="33"/>
  <c r="C109" i="33"/>
  <c r="D91" i="33"/>
  <c r="E91" i="33" s="1"/>
  <c r="B88"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J28" i="33" s="1"/>
  <c r="W28" i="33" s="1"/>
  <c r="B90" i="33"/>
  <c r="D87" i="33"/>
  <c r="E87" i="33" s="1"/>
  <c r="F87" i="33" s="1"/>
  <c r="G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s="1"/>
  <c r="J39" i="33"/>
  <c r="AC39" i="33" s="1"/>
  <c r="Q38" i="33"/>
  <c r="Z38" i="33" s="1"/>
  <c r="J38" i="33"/>
  <c r="AC38" i="33" s="1"/>
  <c r="H38" i="33"/>
  <c r="AB38" i="33" s="1"/>
  <c r="F38" i="33"/>
  <c r="Q37" i="33"/>
  <c r="Z37" i="33" s="1"/>
  <c r="Q36" i="33"/>
  <c r="Z36" i="33" s="1"/>
  <c r="Q35" i="33"/>
  <c r="Z35" i="33" s="1"/>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c r="Q17" i="33"/>
  <c r="Z17" i="33" s="1"/>
  <c r="Q15" i="33"/>
  <c r="Z15" i="33"/>
  <c r="F15" i="33"/>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s="1"/>
  <c r="W45" i="21" s="1"/>
  <c r="B126" i="21"/>
  <c r="B98" i="21"/>
  <c r="B96" i="21"/>
  <c r="B94" i="21"/>
  <c r="B92" i="21"/>
  <c r="B90" i="21"/>
  <c r="J27" i="21" s="1"/>
  <c r="W27" i="21" s="1"/>
  <c r="B74" i="21"/>
  <c r="H14" i="21" s="1"/>
  <c r="U14" i="21" s="1"/>
  <c r="B72" i="21"/>
  <c r="J13" i="21" s="1"/>
  <c r="AC13" i="21" s="1"/>
  <c r="B70" i="21"/>
  <c r="F12" i="21" s="1"/>
  <c r="C19" i="21"/>
  <c r="C17" i="21"/>
  <c r="C23" i="21"/>
  <c r="Q9" i="21"/>
  <c r="Z9" i="21" s="1"/>
  <c r="Q10" i="21"/>
  <c r="Z10" i="21" s="1"/>
  <c r="Q11" i="21"/>
  <c r="Z11" i="21" s="1"/>
  <c r="Q12" i="21"/>
  <c r="Z12" i="21"/>
  <c r="Q13" i="21"/>
  <c r="Z13" i="21" s="1"/>
  <c r="Q14" i="21"/>
  <c r="Z14" i="21"/>
  <c r="Q15" i="21"/>
  <c r="Z15" i="21"/>
  <c r="Q17" i="21"/>
  <c r="Z17" i="21" s="1"/>
  <c r="Q19" i="21"/>
  <c r="Z19" i="21" s="1"/>
  <c r="Q23" i="21"/>
  <c r="Z23" i="21"/>
  <c r="Q25" i="21"/>
  <c r="Z25" i="21"/>
  <c r="Q26" i="21"/>
  <c r="Z26" i="21" s="1"/>
  <c r="Q27" i="21"/>
  <c r="Z27" i="21"/>
  <c r="Q28" i="21"/>
  <c r="Z28" i="21" s="1"/>
  <c r="Q29" i="21"/>
  <c r="Z29" i="21"/>
  <c r="Q30" i="21"/>
  <c r="Z30" i="21" s="1"/>
  <c r="Q31" i="21"/>
  <c r="Z31" i="21" s="1"/>
  <c r="Q32" i="21"/>
  <c r="Z32" i="21" s="1"/>
  <c r="Q33" i="21"/>
  <c r="Z33" i="21"/>
  <c r="Q34" i="21"/>
  <c r="Z34" i="21" s="1"/>
  <c r="J35" i="21"/>
  <c r="AC35" i="21" s="1"/>
  <c r="W35" i="21"/>
  <c r="Q35" i="21"/>
  <c r="Z35" i="21"/>
  <c r="Q36" i="21"/>
  <c r="Z36" i="21"/>
  <c r="Q37" i="21"/>
  <c r="Z37" i="21"/>
  <c r="J38" i="21"/>
  <c r="W38" i="21" s="1"/>
  <c r="Q38" i="21"/>
  <c r="Z38" i="21"/>
  <c r="J39" i="21"/>
  <c r="AC39" i="21"/>
  <c r="Q39" i="21"/>
  <c r="Z39" i="21"/>
  <c r="H40" i="21"/>
  <c r="AB40" i="21"/>
  <c r="Q40" i="21"/>
  <c r="Z40" i="21" s="1"/>
  <c r="Q41" i="21"/>
  <c r="Z41" i="21" s="1"/>
  <c r="Q42" i="21"/>
  <c r="Z42" i="21" s="1"/>
  <c r="J43" i="21"/>
  <c r="AC43" i="21" s="1"/>
  <c r="Q43" i="21"/>
  <c r="Z43" i="21" s="1"/>
  <c r="Q44" i="21"/>
  <c r="Z44" i="2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A585" i="3" s="1"/>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A587" i="3" s="1"/>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G587" i="3" s="1"/>
  <c r="F5" i="3"/>
  <c r="G27" i="6"/>
  <c r="F34" i="21"/>
  <c r="AA34" i="21" s="1"/>
  <c r="H34" i="21"/>
  <c r="F43" i="21"/>
  <c r="S43" i="21" s="1"/>
  <c r="H38" i="21"/>
  <c r="U38" i="21" s="1"/>
  <c r="H43" i="21"/>
  <c r="AB43" i="21" s="1"/>
  <c r="F38" i="21"/>
  <c r="S38" i="21" s="1"/>
  <c r="F36" i="21"/>
  <c r="S36" i="21" s="1"/>
  <c r="F39" i="21"/>
  <c r="AA39" i="21" s="1"/>
  <c r="J40" i="2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c r="J26" i="21"/>
  <c r="W26" i="21" s="1"/>
  <c r="F26" i="21"/>
  <c r="S26" i="21" s="1"/>
  <c r="S45" i="39"/>
  <c r="J44" i="39"/>
  <c r="F36" i="39"/>
  <c r="S36" i="39" s="1"/>
  <c r="H36" i="39"/>
  <c r="J35" i="39"/>
  <c r="AC35" i="39" s="1"/>
  <c r="F35" i="39"/>
  <c r="AA35" i="39" s="1"/>
  <c r="J36" i="39"/>
  <c r="AC36" i="39" s="1"/>
  <c r="W40" i="39"/>
  <c r="F29" i="36"/>
  <c r="AA29" i="36" s="1"/>
  <c r="J33" i="36"/>
  <c r="AC33" i="36" s="1"/>
  <c r="H22" i="35"/>
  <c r="AB22" i="35" s="1"/>
  <c r="S31" i="35"/>
  <c r="U34" i="35"/>
  <c r="F36" i="34"/>
  <c r="J35" i="34"/>
  <c r="U34" i="34"/>
  <c r="H39" i="33"/>
  <c r="AB39" i="33" s="1"/>
  <c r="S40" i="33"/>
  <c r="W33" i="33"/>
  <c r="W39" i="33"/>
  <c r="S27" i="35"/>
  <c r="F11" i="40"/>
  <c r="AA11" i="40" s="1"/>
  <c r="H11" i="40"/>
  <c r="AB11" i="40" s="1"/>
  <c r="W8" i="40"/>
  <c r="U9" i="40"/>
  <c r="S34" i="40"/>
  <c r="F42" i="39"/>
  <c r="AA42" i="39" s="1"/>
  <c r="F41" i="39"/>
  <c r="S41" i="39" s="1"/>
  <c r="H40" i="39"/>
  <c r="H39" i="39"/>
  <c r="H34" i="39"/>
  <c r="U34" i="39" s="1"/>
  <c r="F31" i="39"/>
  <c r="AA31" i="39" s="1"/>
  <c r="E100" i="39"/>
  <c r="F100" i="39" s="1"/>
  <c r="G100" i="39" s="1"/>
  <c r="H19" i="39"/>
  <c r="AB19" i="39" s="1"/>
  <c r="F19" i="39"/>
  <c r="AA19" i="39" s="1"/>
  <c r="H17" i="39"/>
  <c r="F17" i="39"/>
  <c r="AA17" i="39" s="1"/>
  <c r="J23" i="40"/>
  <c r="W23" i="40" s="1"/>
  <c r="F21" i="40"/>
  <c r="AA21" i="40"/>
  <c r="J21" i="40"/>
  <c r="W21" i="40"/>
  <c r="H42" i="39"/>
  <c r="AB42" i="39" s="1"/>
  <c r="J34" i="39"/>
  <c r="J31" i="39"/>
  <c r="W31" i="39" s="1"/>
  <c r="H27" i="39"/>
  <c r="U27" i="39" s="1"/>
  <c r="J19" i="39"/>
  <c r="AC19" i="39" s="1"/>
  <c r="J17" i="39"/>
  <c r="AC17" i="39" s="1"/>
  <c r="J27" i="39"/>
  <c r="AC27" i="39" s="1"/>
  <c r="F27" i="39"/>
  <c r="F11" i="21"/>
  <c r="S11" i="21" s="1"/>
  <c r="S40" i="21"/>
  <c r="H11" i="39"/>
  <c r="AB11" i="39" s="1"/>
  <c r="S40" i="39"/>
  <c r="H32" i="33"/>
  <c r="AB32" i="33" s="1"/>
  <c r="H11" i="21"/>
  <c r="U11" i="21" s="1"/>
  <c r="J11" i="21"/>
  <c r="W11" i="21" s="1"/>
  <c r="H37" i="40"/>
  <c r="U37" i="40"/>
  <c r="H36" i="40"/>
  <c r="AB36" i="40" s="1"/>
  <c r="F35" i="40"/>
  <c r="S35" i="40" s="1"/>
  <c r="H23" i="40"/>
  <c r="AB23" i="40" s="1"/>
  <c r="H17" i="40"/>
  <c r="U17" i="40" s="1"/>
  <c r="J15" i="40"/>
  <c r="W15" i="40" s="1"/>
  <c r="J11" i="40"/>
  <c r="W11" i="40" s="1"/>
  <c r="AB8" i="39"/>
  <c r="F37" i="39"/>
  <c r="AA37" i="39" s="1"/>
  <c r="J34" i="36"/>
  <c r="W34" i="36" s="1"/>
  <c r="J30" i="35"/>
  <c r="W30" i="35" s="1"/>
  <c r="H30" i="35"/>
  <c r="AB30" i="35" s="1"/>
  <c r="F22" i="35"/>
  <c r="AA22" i="35" s="1"/>
  <c r="H10" i="35"/>
  <c r="U10" i="35" s="1"/>
  <c r="F33" i="36"/>
  <c r="AA33" i="36" s="1"/>
  <c r="H16" i="36"/>
  <c r="AB16" i="36" s="1"/>
  <c r="E85" i="36"/>
  <c r="F85" i="36" s="1"/>
  <c r="G85" i="36" s="1"/>
  <c r="H85" i="36" s="1"/>
  <c r="I85" i="36" s="1"/>
  <c r="J85" i="36" s="1"/>
  <c r="K85" i="36" s="1"/>
  <c r="L85" i="36" s="1"/>
  <c r="M85" i="36" s="1"/>
  <c r="J29" i="36"/>
  <c r="AC29" i="36" s="1"/>
  <c r="F24" i="36"/>
  <c r="AA24" i="36" s="1"/>
  <c r="F14" i="35"/>
  <c r="AA14" i="35" s="1"/>
  <c r="J32" i="35"/>
  <c r="AC32" i="35" s="1"/>
  <c r="J16" i="35"/>
  <c r="AC16" i="35" s="1"/>
  <c r="H16" i="35"/>
  <c r="U16" i="35" s="1"/>
  <c r="F16" i="35"/>
  <c r="S16" i="35" s="1"/>
  <c r="H14" i="35"/>
  <c r="AB14" i="35" s="1"/>
  <c r="J29" i="35"/>
  <c r="H33" i="35"/>
  <c r="J20" i="35"/>
  <c r="W20" i="35"/>
  <c r="F35" i="37"/>
  <c r="S35" i="37" s="1"/>
  <c r="E101" i="37"/>
  <c r="F101" i="37" s="1"/>
  <c r="G101" i="37"/>
  <c r="H101" i="37" s="1"/>
  <c r="I101" i="37" s="1"/>
  <c r="J101" i="37" s="1"/>
  <c r="K101" i="37" s="1"/>
  <c r="L101" i="37" s="1"/>
  <c r="M101" i="37" s="1"/>
  <c r="J34" i="37"/>
  <c r="W34" i="37"/>
  <c r="AB34" i="37"/>
  <c r="J33" i="37"/>
  <c r="AC33" i="37" s="1"/>
  <c r="H40" i="34"/>
  <c r="U40" i="34" s="1"/>
  <c r="H36" i="34"/>
  <c r="F37" i="34"/>
  <c r="AA37" i="34" s="1"/>
  <c r="F28" i="34"/>
  <c r="AA28" i="34" s="1"/>
  <c r="F25" i="34"/>
  <c r="S25" i="34" s="1"/>
  <c r="H23" i="34"/>
  <c r="AB23" i="34" s="1"/>
  <c r="J23" i="34"/>
  <c r="W23" i="34" s="1"/>
  <c r="F19" i="34"/>
  <c r="H17" i="34"/>
  <c r="U17" i="34" s="1"/>
  <c r="F15" i="34"/>
  <c r="AA15" i="34" s="1"/>
  <c r="J15" i="34"/>
  <c r="H15" i="34"/>
  <c r="J28" i="34"/>
  <c r="W28" i="34" s="1"/>
  <c r="F41" i="33"/>
  <c r="S41" i="33" s="1"/>
  <c r="F32" i="33"/>
  <c r="AA32" i="33" s="1"/>
  <c r="J19" i="33"/>
  <c r="AC19" i="33" s="1"/>
  <c r="J15" i="33"/>
  <c r="AC15" i="33"/>
  <c r="F11" i="33"/>
  <c r="AA11" i="33" s="1"/>
  <c r="W40" i="33"/>
  <c r="F37" i="40"/>
  <c r="AA37" i="40" s="1"/>
  <c r="F36" i="40"/>
  <c r="AA36" i="40" s="1"/>
  <c r="H28" i="40"/>
  <c r="U28" i="40" s="1"/>
  <c r="F23" i="40"/>
  <c r="AA23" i="40" s="1"/>
  <c r="F17" i="40"/>
  <c r="AA17" i="40" s="1"/>
  <c r="J17" i="40"/>
  <c r="F15" i="40"/>
  <c r="S15" i="40" s="1"/>
  <c r="H15" i="40"/>
  <c r="AB15" i="40" s="1"/>
  <c r="F29" i="35"/>
  <c r="S29" i="35" s="1"/>
  <c r="H29" i="35"/>
  <c r="AB29" i="35" s="1"/>
  <c r="H33" i="37"/>
  <c r="F33" i="37"/>
  <c r="AA33" i="37" s="1"/>
  <c r="S34" i="37"/>
  <c r="AA34" i="37"/>
  <c r="J43" i="34"/>
  <c r="J40" i="34"/>
  <c r="AC40" i="34" s="1"/>
  <c r="F114" i="34"/>
  <c r="G114" i="34" s="1"/>
  <c r="H114" i="34" s="1"/>
  <c r="I114" i="34" s="1"/>
  <c r="J114" i="34" s="1"/>
  <c r="K114" i="34" s="1"/>
  <c r="L114" i="34" s="1"/>
  <c r="M114" i="34" s="1"/>
  <c r="H38" i="34"/>
  <c r="J36" i="34"/>
  <c r="H37" i="34"/>
  <c r="U37" i="34" s="1"/>
  <c r="H25" i="34"/>
  <c r="AB25" i="34" s="1"/>
  <c r="J25" i="34"/>
  <c r="AC25"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s="1"/>
  <c r="AA42" i="34"/>
  <c r="S42" i="34"/>
  <c r="AC38" i="34"/>
  <c r="AA38" i="34"/>
  <c r="J37" i="34"/>
  <c r="AC37" i="34" s="1"/>
  <c r="J11" i="33"/>
  <c r="W11" i="33" s="1"/>
  <c r="S28" i="34"/>
  <c r="I123" i="21"/>
  <c r="J123" i="21" s="1"/>
  <c r="K123" i="21" s="1"/>
  <c r="L123" i="21" s="1"/>
  <c r="M123" i="21" s="1"/>
  <c r="J42" i="21"/>
  <c r="H42" i="21"/>
  <c r="U42" i="21" s="1"/>
  <c r="J44" i="34"/>
  <c r="F44" i="34"/>
  <c r="S44" i="34" s="1"/>
  <c r="J10" i="35"/>
  <c r="AC10" i="35" s="1"/>
  <c r="J14" i="21"/>
  <c r="AC14" i="21" s="1"/>
  <c r="W14" i="21"/>
  <c r="F14" i="21"/>
  <c r="S14" i="21" s="1"/>
  <c r="H28" i="21"/>
  <c r="AB28" i="21" s="1"/>
  <c r="F28" i="21"/>
  <c r="AA28" i="21" s="1"/>
  <c r="J28" i="21"/>
  <c r="H30" i="21"/>
  <c r="F44" i="21"/>
  <c r="H46" i="21"/>
  <c r="U46" i="21" s="1"/>
  <c r="J46" i="21"/>
  <c r="F46" i="21"/>
  <c r="E119" i="21"/>
  <c r="F119" i="21" s="1"/>
  <c r="G119" i="21" s="1"/>
  <c r="H119" i="21" s="1"/>
  <c r="I119" i="21" s="1"/>
  <c r="J119" i="21" s="1"/>
  <c r="K119" i="21" s="1"/>
  <c r="L119" i="21" s="1"/>
  <c r="M119" i="21" s="1"/>
  <c r="H26" i="33"/>
  <c r="H28" i="33"/>
  <c r="U28" i="33" s="1"/>
  <c r="F28" i="33"/>
  <c r="AA28" i="33" s="1"/>
  <c r="F33" i="35"/>
  <c r="AA33" i="35" s="1"/>
  <c r="S33" i="35"/>
  <c r="J33" i="35"/>
  <c r="AC33" i="35" s="1"/>
  <c r="F30" i="35"/>
  <c r="S30" i="35" s="1"/>
  <c r="E89" i="35"/>
  <c r="F89" i="35"/>
  <c r="G89" i="35"/>
  <c r="H89" i="35" s="1"/>
  <c r="I89" i="35" s="1"/>
  <c r="J89" i="35" s="1"/>
  <c r="K89" i="35" s="1"/>
  <c r="L89" i="35" s="1"/>
  <c r="M89" i="35" s="1"/>
  <c r="H10" i="36"/>
  <c r="AB10" i="36" s="1"/>
  <c r="J14" i="36"/>
  <c r="W14" i="36" s="1"/>
  <c r="H14" i="36"/>
  <c r="F28" i="36"/>
  <c r="AA28" i="36" s="1"/>
  <c r="H27" i="21"/>
  <c r="AB27" i="21" s="1"/>
  <c r="F27" i="21"/>
  <c r="AA27" i="21" s="1"/>
  <c r="F45" i="21"/>
  <c r="AA45" i="21" s="1"/>
  <c r="F27" i="33"/>
  <c r="AA27" i="33" s="1"/>
  <c r="J13" i="33"/>
  <c r="W13" i="33" s="1"/>
  <c r="H13" i="33"/>
  <c r="U13" i="33" s="1"/>
  <c r="F13" i="33"/>
  <c r="S13" i="33" s="1"/>
  <c r="J29" i="33"/>
  <c r="H29" i="33"/>
  <c r="U29" i="33" s="1"/>
  <c r="F29" i="33"/>
  <c r="F31" i="33"/>
  <c r="AA31" i="33" s="1"/>
  <c r="H45" i="33"/>
  <c r="U45" i="33" s="1"/>
  <c r="F45" i="33"/>
  <c r="AA45" i="33" s="1"/>
  <c r="J14" i="34"/>
  <c r="F14" i="34"/>
  <c r="S14" i="34" s="1"/>
  <c r="H14" i="34"/>
  <c r="J30" i="34"/>
  <c r="H32" i="34"/>
  <c r="AB32" i="34" s="1"/>
  <c r="F32" i="34"/>
  <c r="J32" i="34"/>
  <c r="W32" i="34" s="1"/>
  <c r="H46" i="34"/>
  <c r="AB46" i="34" s="1"/>
  <c r="F46" i="34"/>
  <c r="S46" i="34" s="1"/>
  <c r="J46" i="34"/>
  <c r="H11" i="35"/>
  <c r="AB11" i="35" s="1"/>
  <c r="J26" i="36"/>
  <c r="W26" i="36"/>
  <c r="H28" i="36"/>
  <c r="U28" i="36" s="1"/>
  <c r="J11" i="36"/>
  <c r="AC11" i="36" s="1"/>
  <c r="H11" i="36"/>
  <c r="U11" i="36" s="1"/>
  <c r="F11" i="36"/>
  <c r="AA11" i="36" s="1"/>
  <c r="H13" i="36"/>
  <c r="U13" i="36" s="1"/>
  <c r="AB13" i="36"/>
  <c r="J13" i="36"/>
  <c r="F13" i="36"/>
  <c r="S13" i="36" s="1"/>
  <c r="E89" i="37"/>
  <c r="F89" i="37" s="1"/>
  <c r="G89" i="37" s="1"/>
  <c r="H89" i="37" s="1"/>
  <c r="I89" i="37" s="1"/>
  <c r="J89" i="37" s="1"/>
  <c r="K89" i="37" s="1"/>
  <c r="L89" i="37" s="1"/>
  <c r="M89" i="37" s="1"/>
  <c r="J29" i="37"/>
  <c r="W29" i="37" s="1"/>
  <c r="F29" i="37"/>
  <c r="F105" i="37"/>
  <c r="G105" i="37" s="1"/>
  <c r="H36" i="37"/>
  <c r="U36" i="37" s="1"/>
  <c r="F107" i="37"/>
  <c r="G107" i="37" s="1"/>
  <c r="H107" i="37" s="1"/>
  <c r="I107" i="37" s="1"/>
  <c r="J107" i="37" s="1"/>
  <c r="K107" i="37" s="1"/>
  <c r="L107" i="37" s="1"/>
  <c r="M107" i="37" s="1"/>
  <c r="J37" i="37"/>
  <c r="H37" i="37"/>
  <c r="AB37" i="37" s="1"/>
  <c r="H40" i="37"/>
  <c r="U40" i="37" s="1"/>
  <c r="J40" i="37"/>
  <c r="AC40" i="37" s="1"/>
  <c r="H14" i="33"/>
  <c r="F14" i="33"/>
  <c r="S14" i="33" s="1"/>
  <c r="H30" i="33"/>
  <c r="H44" i="33"/>
  <c r="J44" i="33"/>
  <c r="F44" i="33"/>
  <c r="S44" i="33" s="1"/>
  <c r="AC46" i="33"/>
  <c r="H13" i="34"/>
  <c r="U13" i="34" s="1"/>
  <c r="J13" i="34"/>
  <c r="J29" i="34"/>
  <c r="W29" i="34" s="1"/>
  <c r="H29" i="34"/>
  <c r="AB29" i="34" s="1"/>
  <c r="J31" i="34"/>
  <c r="AC31" i="34" s="1"/>
  <c r="F45" i="34"/>
  <c r="S45" i="34" s="1"/>
  <c r="H47" i="34"/>
  <c r="U47" i="34" s="1"/>
  <c r="F47" i="34"/>
  <c r="J47" i="34"/>
  <c r="W25" i="35"/>
  <c r="F25" i="35"/>
  <c r="S25" i="35" s="1"/>
  <c r="H25" i="35"/>
  <c r="J35" i="35"/>
  <c r="AC35" i="35" s="1"/>
  <c r="F35" i="35"/>
  <c r="AA35" i="35" s="1"/>
  <c r="W25" i="36"/>
  <c r="H13" i="37"/>
  <c r="AB13" i="37" s="1"/>
  <c r="F13" i="37"/>
  <c r="S13" i="37" s="1"/>
  <c r="J13" i="37"/>
  <c r="W13" i="37" s="1"/>
  <c r="J38" i="37"/>
  <c r="F38" i="37"/>
  <c r="S38" i="37" s="1"/>
  <c r="F43" i="39"/>
  <c r="AA43" i="39" s="1"/>
  <c r="H43" i="39"/>
  <c r="U43" i="39" s="1"/>
  <c r="F14" i="39"/>
  <c r="AA14" i="39" s="1"/>
  <c r="H14" i="39"/>
  <c r="AB14" i="39" s="1"/>
  <c r="H30" i="40"/>
  <c r="H33" i="40"/>
  <c r="J35" i="40"/>
  <c r="J37" i="40"/>
  <c r="W37" i="40" s="1"/>
  <c r="F14" i="37"/>
  <c r="AA14" i="37" s="1"/>
  <c r="F13" i="39"/>
  <c r="J13" i="39"/>
  <c r="W13" i="39" s="1"/>
  <c r="H13" i="39"/>
  <c r="AB13" i="39" s="1"/>
  <c r="J14" i="37"/>
  <c r="AA44" i="33"/>
  <c r="AA14" i="33"/>
  <c r="J36" i="37"/>
  <c r="AC36" i="37" s="1"/>
  <c r="J10" i="36"/>
  <c r="AC10" i="36" s="1"/>
  <c r="W31" i="34"/>
  <c r="BA586" i="3"/>
  <c r="F17" i="21"/>
  <c r="AA17" i="21" s="1"/>
  <c r="H17" i="21"/>
  <c r="AB17" i="21" s="1"/>
  <c r="F15" i="21"/>
  <c r="S15" i="21" s="1"/>
  <c r="J41" i="39"/>
  <c r="W41" i="39" s="1"/>
  <c r="S35" i="39"/>
  <c r="G540" i="3"/>
  <c r="G535" i="3"/>
  <c r="G527" i="3"/>
  <c r="G523" i="3"/>
  <c r="G518" i="3"/>
  <c r="G510" i="3"/>
  <c r="G508" i="3"/>
  <c r="G504" i="3"/>
  <c r="G496" i="3"/>
  <c r="G580" i="3"/>
  <c r="G572" i="3"/>
  <c r="G564" i="3"/>
  <c r="G554" i="3"/>
  <c r="G550" i="3"/>
  <c r="BL522" i="3"/>
  <c r="BL498" i="3"/>
  <c r="BL578" i="3"/>
  <c r="BL570" i="3"/>
  <c r="G533" i="3"/>
  <c r="G529" i="3"/>
  <c r="G525" i="3"/>
  <c r="BL514" i="3"/>
  <c r="BL496" i="3"/>
  <c r="G493" i="3"/>
  <c r="BA552" i="3"/>
  <c r="BA524" i="3"/>
  <c r="BA520" i="3"/>
  <c r="BA512" i="3"/>
  <c r="BA573" i="3"/>
  <c r="BA513" i="3"/>
  <c r="G583" i="3"/>
  <c r="G581" i="3"/>
  <c r="G577" i="3"/>
  <c r="G567" i="3"/>
  <c r="G565" i="3"/>
  <c r="G563" i="3"/>
  <c r="AC557" i="3"/>
  <c r="G557" i="3" s="1"/>
  <c r="BQ557" i="3"/>
  <c r="BQ583" i="3"/>
  <c r="BQ581" i="3"/>
  <c r="BL581" i="3" s="1"/>
  <c r="BQ579" i="3"/>
  <c r="BQ577" i="3"/>
  <c r="BQ575" i="3"/>
  <c r="BQ573" i="3"/>
  <c r="BQ571" i="3"/>
  <c r="BQ569" i="3"/>
  <c r="BQ567" i="3"/>
  <c r="BQ565" i="3"/>
  <c r="BQ563" i="3"/>
  <c r="BQ561" i="3"/>
  <c r="BL561" i="3" s="1"/>
  <c r="BQ559" i="3"/>
  <c r="G559" i="3"/>
  <c r="G549" i="3"/>
  <c r="G545" i="3"/>
  <c r="G543" i="3"/>
  <c r="G541" i="3"/>
  <c r="G539" i="3"/>
  <c r="G537" i="3"/>
  <c r="BQ555" i="3"/>
  <c r="BQ553" i="3"/>
  <c r="BQ551" i="3"/>
  <c r="BQ549" i="3"/>
  <c r="BL549" i="3" s="1"/>
  <c r="BQ547" i="3"/>
  <c r="BQ545" i="3"/>
  <c r="BQ543" i="3"/>
  <c r="BQ541" i="3"/>
  <c r="BL541" i="3"/>
  <c r="BQ539" i="3"/>
  <c r="BQ537" i="3"/>
  <c r="BQ535" i="3"/>
  <c r="BQ533" i="3"/>
  <c r="BQ531" i="3"/>
  <c r="BQ529" i="3"/>
  <c r="BL529" i="3" s="1"/>
  <c r="BQ527" i="3"/>
  <c r="BQ525" i="3"/>
  <c r="BQ523" i="3"/>
  <c r="AC521" i="3"/>
  <c r="BQ521" i="3"/>
  <c r="G519" i="3"/>
  <c r="G511" i="3"/>
  <c r="BQ519" i="3"/>
  <c r="BQ517" i="3"/>
  <c r="BQ515" i="3"/>
  <c r="BQ513" i="3"/>
  <c r="BQ511" i="3"/>
  <c r="BL511" i="3" s="1"/>
  <c r="AC509" i="3"/>
  <c r="BQ509" i="3"/>
  <c r="G505" i="3"/>
  <c r="G495" i="3"/>
  <c r="BQ507" i="3"/>
  <c r="BQ505" i="3"/>
  <c r="BL505" i="3" s="1"/>
  <c r="BQ503" i="3"/>
  <c r="BQ501" i="3"/>
  <c r="BL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F41" i="34"/>
  <c r="H41" i="34"/>
  <c r="U41" i="34" s="1"/>
  <c r="J41" i="34"/>
  <c r="F10" i="35"/>
  <c r="S10" i="35" s="1"/>
  <c r="F24" i="35"/>
  <c r="AA24" i="35" s="1"/>
  <c r="H23" i="37"/>
  <c r="U23" i="37" s="1"/>
  <c r="AB23" i="37"/>
  <c r="J32" i="37"/>
  <c r="AC32" i="37" s="1"/>
  <c r="F36" i="37"/>
  <c r="AA36" i="37"/>
  <c r="F37" i="37"/>
  <c r="AA37" i="37" s="1"/>
  <c r="H31" i="40"/>
  <c r="U31" i="40" s="1"/>
  <c r="F32" i="40"/>
  <c r="AA32" i="40" s="1"/>
  <c r="H32" i="40"/>
  <c r="J36" i="40"/>
  <c r="H19" i="37"/>
  <c r="AB19" i="37" s="1"/>
  <c r="H42" i="33"/>
  <c r="AB42" i="33" s="1"/>
  <c r="J43" i="33"/>
  <c r="AC43" i="33"/>
  <c r="S28" i="31"/>
  <c r="S27" i="31"/>
  <c r="S26" i="31"/>
  <c r="U26" i="37"/>
  <c r="AA13" i="33"/>
  <c r="U11" i="33"/>
  <c r="U19" i="21"/>
  <c r="AB38" i="21"/>
  <c r="F43" i="33"/>
  <c r="S43" i="33" s="1"/>
  <c r="W15" i="34"/>
  <c r="AC15" i="34"/>
  <c r="W16" i="35"/>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c r="E94" i="37"/>
  <c r="F94" i="37" s="1"/>
  <c r="G94" i="37" s="1"/>
  <c r="H94" i="37" s="1"/>
  <c r="I94" i="37" s="1"/>
  <c r="J94" i="37" s="1"/>
  <c r="K94" i="37" s="1"/>
  <c r="L94" i="37" s="1"/>
  <c r="M94" i="37" s="1"/>
  <c r="F31" i="37"/>
  <c r="F12" i="39"/>
  <c r="J42" i="39"/>
  <c r="AC42" i="39" s="1"/>
  <c r="H21" i="40"/>
  <c r="AB21" i="40" s="1"/>
  <c r="H31" i="37"/>
  <c r="U31" i="37" s="1"/>
  <c r="J15" i="37"/>
  <c r="W15" i="37"/>
  <c r="AT6" i="3"/>
  <c r="AA25" i="21"/>
  <c r="H19" i="40"/>
  <c r="U19" i="40" s="1"/>
  <c r="F88" i="40"/>
  <c r="G88" i="40" s="1"/>
  <c r="F19" i="40"/>
  <c r="S19" i="40" s="1"/>
  <c r="AC43" i="39"/>
  <c r="W43" i="39"/>
  <c r="H37" i="39"/>
  <c r="AB37" i="39" s="1"/>
  <c r="AC37" i="39"/>
  <c r="W37" i="39"/>
  <c r="H25" i="39"/>
  <c r="AB25" i="39" s="1"/>
  <c r="J25" i="39"/>
  <c r="F25" i="39"/>
  <c r="AA25" i="39" s="1"/>
  <c r="F15" i="39"/>
  <c r="H15" i="39"/>
  <c r="U15" i="39" s="1"/>
  <c r="J15" i="39"/>
  <c r="W15" i="39" s="1"/>
  <c r="H41" i="39"/>
  <c r="AB41" i="39" s="1"/>
  <c r="AB34" i="39"/>
  <c r="S42" i="39"/>
  <c r="AA41" i="39"/>
  <c r="W9" i="39"/>
  <c r="W8" i="39"/>
  <c r="J19" i="40"/>
  <c r="AC19" i="40" s="1"/>
  <c r="J50" i="40"/>
  <c r="H103" i="9"/>
  <c r="D8" i="53" s="1"/>
  <c r="B16" i="53"/>
  <c r="B33" i="72" s="1"/>
  <c r="C7" i="37"/>
  <c r="C52" i="37" s="1"/>
  <c r="D52" i="37" s="1"/>
  <c r="C7" i="34"/>
  <c r="C7" i="36"/>
  <c r="A118" i="9"/>
  <c r="A4" i="52"/>
  <c r="B41" i="72" s="1"/>
  <c r="J11" i="39"/>
  <c r="W11" i="39"/>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G335" i="3"/>
  <c r="BL336" i="3"/>
  <c r="G337" i="3"/>
  <c r="BL338" i="3"/>
  <c r="BA340" i="3"/>
  <c r="BL341" i="3"/>
  <c r="AZ341" i="3" s="1"/>
  <c r="BA343" i="3"/>
  <c r="BA345" i="3"/>
  <c r="BL355" i="3"/>
  <c r="AZ355" i="3" s="1"/>
  <c r="G356" i="3"/>
  <c r="BL357" i="3"/>
  <c r="BA359" i="3"/>
  <c r="AZ359" i="3"/>
  <c r="BA360" i="3"/>
  <c r="BL360" i="3"/>
  <c r="G361" i="3"/>
  <c r="G370" i="3"/>
  <c r="BL371" i="3"/>
  <c r="G372" i="3"/>
  <c r="BL373" i="3"/>
  <c r="BA375" i="3"/>
  <c r="BA376" i="3"/>
  <c r="AZ376" i="3" s="1"/>
  <c r="BL376" i="3"/>
  <c r="G377" i="3"/>
  <c r="BA378" i="3"/>
  <c r="BL378" i="3"/>
  <c r="G379" i="3"/>
  <c r="G388" i="3"/>
  <c r="BL389" i="3"/>
  <c r="G390" i="3"/>
  <c r="BL391" i="3"/>
  <c r="BA394" i="3"/>
  <c r="G113" i="3"/>
  <c r="BA115" i="3"/>
  <c r="BL116" i="3"/>
  <c r="G117" i="3"/>
  <c r="BL120" i="3"/>
  <c r="G121" i="3"/>
  <c r="BA123" i="3"/>
  <c r="BL124" i="3"/>
  <c r="G125" i="3"/>
  <c r="BA127" i="3"/>
  <c r="BL128" i="3"/>
  <c r="G129" i="3"/>
  <c r="BA131" i="3"/>
  <c r="BL132" i="3"/>
  <c r="AZ132" i="3" s="1"/>
  <c r="G133" i="3"/>
  <c r="BA135" i="3"/>
  <c r="BL136" i="3"/>
  <c r="G137" i="3"/>
  <c r="BA139" i="3"/>
  <c r="BL140" i="3"/>
  <c r="G141" i="3"/>
  <c r="BA143" i="3"/>
  <c r="BL144" i="3"/>
  <c r="G145" i="3"/>
  <c r="BA147" i="3"/>
  <c r="BL148" i="3"/>
  <c r="G149" i="3"/>
  <c r="BA151" i="3"/>
  <c r="BL152" i="3"/>
  <c r="G153" i="3"/>
  <c r="BA155" i="3"/>
  <c r="BL156" i="3"/>
  <c r="G157" i="3"/>
  <c r="BA159" i="3"/>
  <c r="BL160" i="3"/>
  <c r="G161" i="3"/>
  <c r="BL164" i="3"/>
  <c r="BA167" i="3"/>
  <c r="G169" i="3"/>
  <c r="G173" i="3"/>
  <c r="BL176" i="3"/>
  <c r="BA179" i="3"/>
  <c r="BL180" i="3"/>
  <c r="G181" i="3"/>
  <c r="G185" i="3"/>
  <c r="G189" i="3"/>
  <c r="BL192" i="3"/>
  <c r="G193" i="3"/>
  <c r="G197" i="3"/>
  <c r="BL200" i="3"/>
  <c r="G201" i="3"/>
  <c r="BA203" i="3"/>
  <c r="BL204" i="3"/>
  <c r="G522" i="3"/>
  <c r="G516" i="3"/>
  <c r="G506" i="3"/>
  <c r="G498" i="3"/>
  <c r="G494" i="3"/>
  <c r="G16" i="3"/>
  <c r="G15" i="3"/>
  <c r="BA304" i="3"/>
  <c r="BA305" i="3"/>
  <c r="BL305" i="3"/>
  <c r="G306" i="3"/>
  <c r="G309" i="3"/>
  <c r="BL310" i="3"/>
  <c r="AZ310" i="3" s="1"/>
  <c r="BA312" i="3"/>
  <c r="BA313" i="3"/>
  <c r="BL313" i="3"/>
  <c r="G314" i="3"/>
  <c r="G317" i="3"/>
  <c r="BL318" i="3"/>
  <c r="BA320" i="3"/>
  <c r="AZ320" i="3" s="1"/>
  <c r="BA321" i="3"/>
  <c r="G322" i="3"/>
  <c r="G325" i="3"/>
  <c r="BL326" i="3"/>
  <c r="BA328" i="3"/>
  <c r="BA329" i="3"/>
  <c r="BL329" i="3"/>
  <c r="G330" i="3"/>
  <c r="G333" i="3"/>
  <c r="BL334" i="3"/>
  <c r="BA336" i="3"/>
  <c r="AZ336" i="3" s="1"/>
  <c r="BA337" i="3"/>
  <c r="AZ337" i="3" s="1"/>
  <c r="G338" i="3"/>
  <c r="G341" i="3"/>
  <c r="BA342" i="3"/>
  <c r="BL342" i="3"/>
  <c r="BA344" i="3"/>
  <c r="BL344" i="3"/>
  <c r="BA346" i="3"/>
  <c r="BA347" i="3"/>
  <c r="BL347" i="3"/>
  <c r="G350" i="3"/>
  <c r="BA351" i="3"/>
  <c r="G352" i="3"/>
  <c r="G354" i="3"/>
  <c r="BA355" i="3"/>
  <c r="BA356" i="3"/>
  <c r="BL356" i="3"/>
  <c r="AZ356" i="3" s="1"/>
  <c r="G357" i="3"/>
  <c r="G360" i="3"/>
  <c r="BL361" i="3"/>
  <c r="BA363" i="3"/>
  <c r="BA364" i="3"/>
  <c r="G365" i="3"/>
  <c r="G368" i="3"/>
  <c r="BL369" i="3"/>
  <c r="BA371" i="3"/>
  <c r="BA372" i="3"/>
  <c r="BL372" i="3"/>
  <c r="G373" i="3"/>
  <c r="G376" i="3"/>
  <c r="BL377" i="3"/>
  <c r="BL379" i="3"/>
  <c r="BA381" i="3"/>
  <c r="AZ381" i="3"/>
  <c r="BA382" i="3"/>
  <c r="BL382" i="3"/>
  <c r="G383" i="3"/>
  <c r="G386" i="3"/>
  <c r="BL387" i="3"/>
  <c r="BA389" i="3"/>
  <c r="AZ389" i="3" s="1"/>
  <c r="BA390" i="3"/>
  <c r="BL390" i="3"/>
  <c r="AZ390" i="3" s="1"/>
  <c r="G391" i="3"/>
  <c r="G394" i="3"/>
  <c r="BA16" i="3"/>
  <c r="BL303" i="3"/>
  <c r="G304" i="3"/>
  <c r="BA306" i="3"/>
  <c r="BL307" i="3"/>
  <c r="G308" i="3"/>
  <c r="BA310" i="3"/>
  <c r="BL311" i="3"/>
  <c r="G312" i="3"/>
  <c r="BA314" i="3"/>
  <c r="BL315" i="3"/>
  <c r="G316" i="3"/>
  <c r="BA318" i="3"/>
  <c r="BL319" i="3"/>
  <c r="G320" i="3"/>
  <c r="BA322" i="3"/>
  <c r="BL323" i="3"/>
  <c r="G324" i="3"/>
  <c r="BA326" i="3"/>
  <c r="BL327" i="3"/>
  <c r="AZ327" i="3"/>
  <c r="G328" i="3"/>
  <c r="BA330" i="3"/>
  <c r="BL331" i="3"/>
  <c r="G332" i="3"/>
  <c r="BA334" i="3"/>
  <c r="BL335" i="3"/>
  <c r="AZ335" i="3" s="1"/>
  <c r="G336" i="3"/>
  <c r="BA338" i="3"/>
  <c r="AZ338" i="3" s="1"/>
  <c r="BL339" i="3"/>
  <c r="G340" i="3"/>
  <c r="BL343" i="3"/>
  <c r="G344" i="3"/>
  <c r="G348" i="3"/>
  <c r="G355" i="3"/>
  <c r="G342" i="3"/>
  <c r="BL345" i="3"/>
  <c r="AZ345" i="3" s="1"/>
  <c r="G346" i="3"/>
  <c r="BL349" i="3"/>
  <c r="BL352" i="3"/>
  <c r="G353" i="3"/>
  <c r="BA357" i="3"/>
  <c r="BL358" i="3"/>
  <c r="G359" i="3"/>
  <c r="BA361" i="3"/>
  <c r="BL362" i="3"/>
  <c r="AZ362" i="3" s="1"/>
  <c r="G363" i="3"/>
  <c r="BA365" i="3"/>
  <c r="BL366" i="3"/>
  <c r="G367" i="3"/>
  <c r="BA369" i="3"/>
  <c r="AZ369" i="3"/>
  <c r="BL370" i="3"/>
  <c r="G371" i="3"/>
  <c r="BA373" i="3"/>
  <c r="AZ373" i="3"/>
  <c r="BL374" i="3"/>
  <c r="G375" i="3"/>
  <c r="BA377" i="3"/>
  <c r="BA379" i="3"/>
  <c r="AZ379" i="3" s="1"/>
  <c r="BL380" i="3"/>
  <c r="G381" i="3"/>
  <c r="BA383" i="3"/>
  <c r="AZ383" i="3" s="1"/>
  <c r="BL384" i="3"/>
  <c r="G385" i="3"/>
  <c r="BA387" i="3"/>
  <c r="AZ387" i="3" s="1"/>
  <c r="BL388" i="3"/>
  <c r="G389" i="3"/>
  <c r="BA391" i="3"/>
  <c r="G393" i="3"/>
  <c r="BF5" i="3"/>
  <c r="AZ325" i="3"/>
  <c r="G548" i="3"/>
  <c r="G538" i="3"/>
  <c r="G502" i="3"/>
  <c r="G17" i="3"/>
  <c r="BA17" i="3"/>
  <c r="BA15" i="3"/>
  <c r="U36" i="40"/>
  <c r="F83" i="43"/>
  <c r="H85" i="43" s="1"/>
  <c r="F50" i="43"/>
  <c r="H54" i="43" s="1"/>
  <c r="F72" i="43"/>
  <c r="H75" i="43" s="1"/>
  <c r="S14" i="35"/>
  <c r="U43" i="21"/>
  <c r="U35" i="21"/>
  <c r="AC11" i="39"/>
  <c r="W44" i="34"/>
  <c r="AC44" i="34"/>
  <c r="S15" i="37"/>
  <c r="J37" i="33"/>
  <c r="W37" i="33" s="1"/>
  <c r="F106" i="33"/>
  <c r="G106" i="33" s="1"/>
  <c r="H106" i="33" s="1"/>
  <c r="I106" i="33" s="1"/>
  <c r="J106" i="33" s="1"/>
  <c r="K106" i="33" s="1"/>
  <c r="L106" i="33" s="1"/>
  <c r="M106"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AC14" i="35"/>
  <c r="H20" i="35"/>
  <c r="U20" i="35" s="1"/>
  <c r="F20" i="35"/>
  <c r="AA20" i="35" s="1"/>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AA43" i="34" s="1"/>
  <c r="H44" i="34"/>
  <c r="U44" i="34" s="1"/>
  <c r="AC38" i="39"/>
  <c r="F39" i="39"/>
  <c r="S39" i="39" s="1"/>
  <c r="J39" i="39"/>
  <c r="AC39" i="39" s="1"/>
  <c r="C40" i="11"/>
  <c r="F23" i="39"/>
  <c r="S23" i="39" s="1"/>
  <c r="AA23" i="39"/>
  <c r="H27" i="36"/>
  <c r="U27" i="36" s="1"/>
  <c r="H33" i="34"/>
  <c r="U33" i="34"/>
  <c r="F32" i="37"/>
  <c r="AA32" i="37" s="1"/>
  <c r="F20" i="36"/>
  <c r="AA20" i="36" s="1"/>
  <c r="J33" i="34"/>
  <c r="AC33" i="34" s="1"/>
  <c r="H23" i="39"/>
  <c r="U23" i="39" s="1"/>
  <c r="D48" i="9"/>
  <c r="M52" i="9" s="1"/>
  <c r="K9" i="1"/>
  <c r="M9" i="1" s="1"/>
  <c r="D93" i="9"/>
  <c r="K6" i="1"/>
  <c r="AP6" i="1" s="1"/>
  <c r="W27" i="34"/>
  <c r="AC27" i="34"/>
  <c r="AB34" i="36"/>
  <c r="AB33" i="36"/>
  <c r="U33" i="36"/>
  <c r="AC12" i="39"/>
  <c r="W12" i="39"/>
  <c r="AA32" i="36"/>
  <c r="BL14" i="3"/>
  <c r="W28" i="37"/>
  <c r="S19" i="39"/>
  <c r="F12" i="33"/>
  <c r="H12" i="39"/>
  <c r="AB12" i="39"/>
  <c r="F39" i="40"/>
  <c r="BA14" i="3"/>
  <c r="AZ14" i="3" s="1"/>
  <c r="B12" i="1"/>
  <c r="E12" i="1" s="1"/>
  <c r="B10" i="1"/>
  <c r="E10" i="1" s="1"/>
  <c r="K12" i="1"/>
  <c r="M12" i="1" s="1"/>
  <c r="S13" i="1"/>
  <c r="AR13" i="1" s="1"/>
  <c r="R13" i="1"/>
  <c r="J51" i="67"/>
  <c r="C42" i="1"/>
  <c r="C24" i="12" s="1"/>
  <c r="AA34" i="33"/>
  <c r="B41" i="1"/>
  <c r="F48" i="9" s="1"/>
  <c r="O52" i="9" s="1"/>
  <c r="AB37" i="40"/>
  <c r="U35" i="40"/>
  <c r="S17" i="40"/>
  <c r="AC15" i="40"/>
  <c r="AB27" i="40"/>
  <c r="S30" i="40"/>
  <c r="S28" i="40"/>
  <c r="U37" i="39"/>
  <c r="S43" i="39"/>
  <c r="U35" i="39"/>
  <c r="F32" i="39"/>
  <c r="U25" i="39"/>
  <c r="AB27" i="39"/>
  <c r="U31" i="39"/>
  <c r="J21" i="39"/>
  <c r="W21" i="39" s="1"/>
  <c r="F21" i="39"/>
  <c r="AA21" i="39" s="1"/>
  <c r="G94" i="39"/>
  <c r="H21" i="39"/>
  <c r="U21" i="39" s="1"/>
  <c r="W19" i="39"/>
  <c r="U19" i="39"/>
  <c r="S17" i="39"/>
  <c r="U14" i="39"/>
  <c r="AC13" i="39"/>
  <c r="U12" i="39"/>
  <c r="S23" i="36"/>
  <c r="U26" i="36"/>
  <c r="AA26" i="36"/>
  <c r="AC26" i="36"/>
  <c r="AA22" i="36"/>
  <c r="U22" i="36"/>
  <c r="S24" i="36"/>
  <c r="U23" i="36"/>
  <c r="AB20" i="36"/>
  <c r="AA25" i="35"/>
  <c r="U29" i="35"/>
  <c r="AB27" i="35"/>
  <c r="U36" i="35"/>
  <c r="U32" i="35"/>
  <c r="S32" i="35"/>
  <c r="AA36" i="35"/>
  <c r="AB16" i="35"/>
  <c r="U22" i="35"/>
  <c r="S20" i="35"/>
  <c r="AC20" i="35"/>
  <c r="S22" i="35"/>
  <c r="U14" i="35"/>
  <c r="AC9" i="35"/>
  <c r="AC12" i="35"/>
  <c r="AC29" i="37"/>
  <c r="U29" i="37"/>
  <c r="W30" i="37"/>
  <c r="S36" i="37"/>
  <c r="AA38" i="37"/>
  <c r="S30" i="37"/>
  <c r="AC15" i="37"/>
  <c r="J17" i="37"/>
  <c r="W17" i="37" s="1"/>
  <c r="G73" i="37"/>
  <c r="F17" i="37"/>
  <c r="AA17" i="37" s="1"/>
  <c r="F75" i="37"/>
  <c r="G75" i="37" s="1"/>
  <c r="F19" i="37"/>
  <c r="S19" i="37" s="1"/>
  <c r="F79" i="37"/>
  <c r="G79" i="37" s="1"/>
  <c r="F23" i="37"/>
  <c r="U15" i="37"/>
  <c r="AA13" i="37"/>
  <c r="H10" i="37"/>
  <c r="AB10" i="37" s="1"/>
  <c r="F63" i="37"/>
  <c r="F11" i="37"/>
  <c r="S11" i="37" s="1"/>
  <c r="W25" i="34"/>
  <c r="AB8" i="34"/>
  <c r="U43" i="34"/>
  <c r="AC39" i="34"/>
  <c r="AC42" i="34"/>
  <c r="U39" i="34"/>
  <c r="S43" i="34"/>
  <c r="AB41" i="34"/>
  <c r="AA25" i="34"/>
  <c r="U28" i="34"/>
  <c r="U27" i="34"/>
  <c r="S23" i="34"/>
  <c r="H10" i="34"/>
  <c r="AB10" i="34" s="1"/>
  <c r="F11" i="34"/>
  <c r="S11" i="34" s="1"/>
  <c r="F70" i="34"/>
  <c r="W42" i="33"/>
  <c r="S27" i="33"/>
  <c r="S32" i="33"/>
  <c r="AB29" i="33"/>
  <c r="W38" i="33"/>
  <c r="H41" i="33"/>
  <c r="AB41" i="33" s="1"/>
  <c r="F121" i="33"/>
  <c r="G121" i="33" s="1"/>
  <c r="H121" i="33" s="1"/>
  <c r="I121" i="33" s="1"/>
  <c r="J121" i="33" s="1"/>
  <c r="K121" i="33" s="1"/>
  <c r="L121" i="33" s="1"/>
  <c r="M121" i="33" s="1"/>
  <c r="U42" i="33"/>
  <c r="S42" i="33"/>
  <c r="F36" i="33"/>
  <c r="AA36" i="33" s="1"/>
  <c r="G108" i="33"/>
  <c r="H108" i="33" s="1"/>
  <c r="I108" i="33" s="1"/>
  <c r="J108" i="33" s="1"/>
  <c r="K108" i="33" s="1"/>
  <c r="L108" i="33" s="1"/>
  <c r="M108" i="33" s="1"/>
  <c r="J35" i="33"/>
  <c r="AC35" i="33" s="1"/>
  <c r="S37" i="33"/>
  <c r="S39" i="33"/>
  <c r="F101" i="33"/>
  <c r="G101" i="33" s="1"/>
  <c r="H101" i="33" s="1"/>
  <c r="I101" i="33" s="1"/>
  <c r="J101" i="33" s="1"/>
  <c r="K101" i="33" s="1"/>
  <c r="L101" i="33" s="1"/>
  <c r="M101" i="33" s="1"/>
  <c r="J32" i="33"/>
  <c r="W32" i="33" s="1"/>
  <c r="W43" i="33"/>
  <c r="F91" i="33"/>
  <c r="H27" i="33"/>
  <c r="AB27" i="33" s="1"/>
  <c r="H25" i="33"/>
  <c r="AB25" i="33" s="1"/>
  <c r="F25" i="33"/>
  <c r="J23" i="33"/>
  <c r="AC23" i="33" s="1"/>
  <c r="F85" i="33"/>
  <c r="G85" i="33" s="1"/>
  <c r="H23" i="33"/>
  <c r="F81" i="33"/>
  <c r="F19" i="33"/>
  <c r="W19" i="33"/>
  <c r="J17" i="33"/>
  <c r="W15" i="33"/>
  <c r="J10" i="33"/>
  <c r="W10" i="33" s="1"/>
  <c r="H10" i="33"/>
  <c r="U10" i="33" s="1"/>
  <c r="AC11" i="33"/>
  <c r="W43" i="21"/>
  <c r="W36" i="21"/>
  <c r="W41" i="21"/>
  <c r="AA43" i="21"/>
  <c r="S39" i="21"/>
  <c r="AA36" i="21"/>
  <c r="J15" i="21"/>
  <c r="F77" i="21"/>
  <c r="G77" i="21"/>
  <c r="F23" i="21"/>
  <c r="E85" i="21"/>
  <c r="AA14" i="21"/>
  <c r="C18" i="9"/>
  <c r="D18" i="9" s="1"/>
  <c r="F34" i="67"/>
  <c r="F62" i="67" s="1"/>
  <c r="M20" i="67"/>
  <c r="F34" i="15"/>
  <c r="F62" i="15" s="1"/>
  <c r="G13" i="3"/>
  <c r="BA13" i="3"/>
  <c r="BL17" i="3"/>
  <c r="AZ17" i="3"/>
  <c r="BL13" i="3"/>
  <c r="J56" i="9"/>
  <c r="J57" i="9" s="1"/>
  <c r="J59" i="9" s="1"/>
  <c r="J61" i="9" s="1"/>
  <c r="A24" i="51"/>
  <c r="B18" i="72" s="1"/>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S37" i="40"/>
  <c r="AB28" i="40"/>
  <c r="W34" i="40"/>
  <c r="W19" i="40"/>
  <c r="S36" i="40"/>
  <c r="U11" i="40"/>
  <c r="AB17" i="40"/>
  <c r="S8" i="40"/>
  <c r="AA39" i="39"/>
  <c r="W25" i="39"/>
  <c r="AC25" i="39"/>
  <c r="U13" i="39"/>
  <c r="S14" i="39"/>
  <c r="AB43" i="39"/>
  <c r="AA27" i="39"/>
  <c r="S27" i="39"/>
  <c r="W17" i="39"/>
  <c r="AC31" i="39"/>
  <c r="AA45" i="39"/>
  <c r="U38" i="39"/>
  <c r="S8" i="39"/>
  <c r="AC25" i="36"/>
  <c r="W29" i="36"/>
  <c r="AC20" i="36"/>
  <c r="AB28" i="36"/>
  <c r="W22" i="36"/>
  <c r="W23" i="36"/>
  <c r="S35" i="35"/>
  <c r="W35" i="35"/>
  <c r="AA16" i="35"/>
  <c r="AA35" i="37"/>
  <c r="W36" i="37"/>
  <c r="W32" i="37"/>
  <c r="S40" i="37"/>
  <c r="AC34" i="37"/>
  <c r="U8" i="37"/>
  <c r="AA40" i="34"/>
  <c r="AB40" i="34"/>
  <c r="U19" i="34"/>
  <c r="W19" i="34"/>
  <c r="AB33" i="34"/>
  <c r="AB47" i="34"/>
  <c r="U25" i="34"/>
  <c r="W33" i="34"/>
  <c r="AC32" i="34"/>
  <c r="W46" i="34"/>
  <c r="AC46" i="34"/>
  <c r="S32" i="34"/>
  <c r="AA32" i="34"/>
  <c r="S37" i="34"/>
  <c r="AA19" i="34"/>
  <c r="S19" i="34"/>
  <c r="AA36" i="34"/>
  <c r="S36" i="34"/>
  <c r="U32" i="34"/>
  <c r="U14" i="34"/>
  <c r="AB14" i="34"/>
  <c r="AC23" i="34"/>
  <c r="AC35" i="34"/>
  <c r="W35" i="34"/>
  <c r="AB28" i="33"/>
  <c r="U39" i="33"/>
  <c r="U38" i="33"/>
  <c r="S33" i="33"/>
  <c r="U44" i="33"/>
  <c r="AB44" i="33"/>
  <c r="AC14" i="33"/>
  <c r="W14" i="33"/>
  <c r="S31" i="33"/>
  <c r="AC13" i="33"/>
  <c r="S11" i="33"/>
  <c r="U37" i="33"/>
  <c r="AC28" i="33"/>
  <c r="W8" i="33"/>
  <c r="AB42" i="21"/>
  <c r="S45" i="21"/>
  <c r="I101" i="21"/>
  <c r="J101" i="21" s="1"/>
  <c r="K101" i="21" s="1"/>
  <c r="L101" i="21" s="1"/>
  <c r="M101" i="21" s="1"/>
  <c r="F33" i="21"/>
  <c r="AA33" i="21" s="1"/>
  <c r="J33" i="21"/>
  <c r="AC33" i="21" s="1"/>
  <c r="H33" i="21"/>
  <c r="AB33" i="21" s="1"/>
  <c r="F37" i="21"/>
  <c r="AA26" i="21"/>
  <c r="AB14" i="21"/>
  <c r="AB46" i="21"/>
  <c r="U40" i="21"/>
  <c r="S35" i="21"/>
  <c r="J37" i="21"/>
  <c r="W37" i="21" s="1"/>
  <c r="H15" i="21"/>
  <c r="J17" i="21"/>
  <c r="AC17" i="21" s="1"/>
  <c r="AC19" i="21"/>
  <c r="W39" i="21"/>
  <c r="H45" i="21"/>
  <c r="U45" i="21" s="1"/>
  <c r="F29" i="21"/>
  <c r="AA29" i="21" s="1"/>
  <c r="F13" i="21"/>
  <c r="AA13" i="21" s="1"/>
  <c r="AC38" i="21"/>
  <c r="H32" i="21"/>
  <c r="AB32" i="21" s="1"/>
  <c r="H9" i="21"/>
  <c r="AB9" i="21" s="1"/>
  <c r="J9" i="21"/>
  <c r="AC9" i="21" s="1"/>
  <c r="J32" i="21"/>
  <c r="W32" i="21" s="1"/>
  <c r="F32" i="21"/>
  <c r="AA32" i="21" s="1"/>
  <c r="U17" i="21"/>
  <c r="S19" i="21"/>
  <c r="S9" i="21"/>
  <c r="AA9" i="21"/>
  <c r="K141" i="21"/>
  <c r="K144" i="21"/>
  <c r="K143" i="21"/>
  <c r="U27" i="21"/>
  <c r="AB25" i="21"/>
  <c r="AC45" i="21"/>
  <c r="F10" i="21"/>
  <c r="AA10" i="21" s="1"/>
  <c r="K145" i="21"/>
  <c r="W25" i="21"/>
  <c r="S27" i="21"/>
  <c r="S17" i="21"/>
  <c r="AA15" i="21"/>
  <c r="AC27" i="21"/>
  <c r="S28" i="21"/>
  <c r="AC34" i="21"/>
  <c r="AB36" i="21"/>
  <c r="W30" i="40"/>
  <c r="C19" i="39"/>
  <c r="C15" i="40"/>
  <c r="C17" i="40"/>
  <c r="C23" i="40"/>
  <c r="C21" i="40"/>
  <c r="B56" i="43"/>
  <c r="B67" i="43"/>
  <c r="B51" i="43"/>
  <c r="B54" i="43"/>
  <c r="B58" i="43"/>
  <c r="B62" i="43"/>
  <c r="B65" i="43"/>
  <c r="B69" i="43"/>
  <c r="D23" i="15"/>
  <c r="D22" i="15"/>
  <c r="E4" i="4"/>
  <c r="B5" i="62" s="1"/>
  <c r="B73" i="72" s="1"/>
  <c r="C4" i="4"/>
  <c r="J32" i="39"/>
  <c r="H32" i="39"/>
  <c r="AA32" i="39"/>
  <c r="S32" i="39"/>
  <c r="AB21" i="39"/>
  <c r="AC17" i="37"/>
  <c r="J19" i="37"/>
  <c r="W19" i="37" s="1"/>
  <c r="AA19" i="37"/>
  <c r="J23" i="37"/>
  <c r="J10" i="37"/>
  <c r="W10" i="37" s="1"/>
  <c r="G63" i="37"/>
  <c r="H63" i="37" s="1"/>
  <c r="I63" i="37" s="1"/>
  <c r="J63" i="37" s="1"/>
  <c r="K63" i="37" s="1"/>
  <c r="L63" i="37" s="1"/>
  <c r="M63" i="37" s="1"/>
  <c r="H11" i="37"/>
  <c r="AB11" i="37" s="1"/>
  <c r="G70" i="34"/>
  <c r="H11" i="34"/>
  <c r="U11" i="34" s="1"/>
  <c r="J10" i="34"/>
  <c r="AC10" i="34" s="1"/>
  <c r="U41" i="33"/>
  <c r="W35" i="33"/>
  <c r="J36" i="33"/>
  <c r="W36" i="33" s="1"/>
  <c r="H36" i="33"/>
  <c r="AC32" i="33"/>
  <c r="U27" i="33"/>
  <c r="G91" i="33"/>
  <c r="H91" i="33" s="1"/>
  <c r="I91" i="33"/>
  <c r="J91" i="33" s="1"/>
  <c r="K91" i="33" s="1"/>
  <c r="L91" i="33" s="1"/>
  <c r="M91" i="33" s="1"/>
  <c r="J27" i="33"/>
  <c r="W27" i="33" s="1"/>
  <c r="H87" i="33"/>
  <c r="I87" i="33" s="1"/>
  <c r="J87" i="33" s="1"/>
  <c r="K87" i="33" s="1"/>
  <c r="L87" i="33" s="1"/>
  <c r="M87" i="33" s="1"/>
  <c r="J25" i="33"/>
  <c r="AC25" i="33" s="1"/>
  <c r="AB23" i="33"/>
  <c r="U23" i="33"/>
  <c r="F23" i="33"/>
  <c r="H19" i="33"/>
  <c r="G81" i="33"/>
  <c r="H17" i="33"/>
  <c r="U17" i="33" s="1"/>
  <c r="F17" i="33"/>
  <c r="J23" i="21"/>
  <c r="W23" i="21" s="1"/>
  <c r="F85" i="21"/>
  <c r="G85" i="21" s="1"/>
  <c r="H23" i="21"/>
  <c r="S13" i="21"/>
  <c r="AP7" i="1"/>
  <c r="A18" i="62"/>
  <c r="B64" i="72" s="1"/>
  <c r="W23" i="37"/>
  <c r="AC23" i="37"/>
  <c r="J11" i="37"/>
  <c r="AC11" i="37" s="1"/>
  <c r="H70" i="34"/>
  <c r="I70" i="34" s="1"/>
  <c r="J70" i="34" s="1"/>
  <c r="K70" i="34" s="1"/>
  <c r="L70" i="34" s="1"/>
  <c r="M70" i="34" s="1"/>
  <c r="J11" i="34"/>
  <c r="W11" i="34" s="1"/>
  <c r="W25" i="33"/>
  <c r="U23" i="21"/>
  <c r="AB23" i="21"/>
  <c r="H109" i="9"/>
  <c r="M49" i="9" s="1"/>
  <c r="H112" i="9"/>
  <c r="D21" i="53" s="1"/>
  <c r="B39" i="72" s="1"/>
  <c r="H111" i="9"/>
  <c r="D126" i="9" s="1"/>
  <c r="J1" i="73"/>
  <c r="D24" i="71"/>
  <c r="U24" i="71" s="1"/>
  <c r="S24" i="71"/>
  <c r="T24" i="71"/>
  <c r="AA20" i="71"/>
  <c r="AA19" i="71"/>
  <c r="X23" i="71"/>
  <c r="F21" i="71"/>
  <c r="F20" i="71" s="1"/>
  <c r="F19" i="71" s="1"/>
  <c r="F18" i="71" s="1"/>
  <c r="F17" i="71" s="1"/>
  <c r="Y20" i="71"/>
  <c r="Z20" i="71" s="1"/>
  <c r="E11" i="76"/>
  <c r="E8" i="76"/>
  <c r="M8" i="67"/>
  <c r="F8" i="67"/>
  <c r="B8" i="76"/>
  <c r="E2" i="68"/>
  <c r="M26" i="67"/>
  <c r="C20" i="9"/>
  <c r="B12" i="76"/>
  <c r="F5" i="73"/>
  <c r="B7" i="76"/>
  <c r="C19" i="9"/>
  <c r="J15" i="67"/>
  <c r="F38" i="15"/>
  <c r="E7" i="76"/>
  <c r="M9" i="67"/>
  <c r="F20" i="31"/>
  <c r="F4" i="73"/>
  <c r="F7" i="73"/>
  <c r="M23" i="67"/>
  <c r="B9" i="76"/>
  <c r="B10" i="76"/>
  <c r="F7" i="67"/>
  <c r="E13" i="76"/>
  <c r="E10" i="76"/>
  <c r="F3" i="73"/>
  <c r="F42" i="67"/>
  <c r="D35" i="9"/>
  <c r="M29" i="67"/>
  <c r="D19" i="9"/>
  <c r="E9" i="76"/>
  <c r="L47" i="67"/>
  <c r="E12" i="76"/>
  <c r="B11" i="76"/>
  <c r="F6" i="73"/>
  <c r="F37" i="67"/>
  <c r="D34" i="9"/>
  <c r="B13" i="76"/>
  <c r="M28" i="67"/>
  <c r="C76" i="15"/>
  <c r="F36" i="67"/>
  <c r="L48" i="67"/>
  <c r="D20" i="9"/>
  <c r="E2" i="69"/>
  <c r="C76" i="67"/>
  <c r="D6" i="73"/>
  <c r="AO13" i="1"/>
  <c r="F42" i="15"/>
  <c r="AZ516" i="3" l="1"/>
  <c r="W45" i="33"/>
  <c r="AC45" i="33"/>
  <c r="S25" i="33"/>
  <c r="AA25" i="33"/>
  <c r="X3" i="71"/>
  <c r="U35" i="34"/>
  <c r="AB35" i="34"/>
  <c r="G544" i="3"/>
  <c r="BI5" i="3"/>
  <c r="BJ5" i="3"/>
  <c r="BK5" i="3"/>
  <c r="BM5" i="3"/>
  <c r="F29" i="6" s="1"/>
  <c r="BN5" i="3"/>
  <c r="G29" i="6" s="1"/>
  <c r="BR5" i="3"/>
  <c r="X20" i="71"/>
  <c r="U33" i="40"/>
  <c r="AB33" i="40"/>
  <c r="W13" i="34"/>
  <c r="AC13" i="34"/>
  <c r="AC43" i="34"/>
  <c r="W43" i="34"/>
  <c r="S34" i="39"/>
  <c r="AC8" i="34"/>
  <c r="W8" i="34"/>
  <c r="AC23" i="39"/>
  <c r="W23" i="39"/>
  <c r="F31" i="40"/>
  <c r="J31" i="40"/>
  <c r="S41" i="21"/>
  <c r="AA41" i="21"/>
  <c r="BL563" i="3"/>
  <c r="AZ563" i="3" s="1"/>
  <c r="BL555" i="3"/>
  <c r="BA553" i="3"/>
  <c r="BA545" i="3"/>
  <c r="BA542" i="3"/>
  <c r="BA529" i="3"/>
  <c r="AZ529" i="3" s="1"/>
  <c r="BA500" i="3"/>
  <c r="BL497" i="3"/>
  <c r="BL494" i="3"/>
  <c r="AB19" i="71"/>
  <c r="AB19" i="40"/>
  <c r="U35" i="37"/>
  <c r="AB35" i="37"/>
  <c r="AZ334" i="3"/>
  <c r="AA15" i="39"/>
  <c r="S15" i="39"/>
  <c r="J14" i="40"/>
  <c r="AB30" i="40"/>
  <c r="U30" i="40"/>
  <c r="AC37" i="37"/>
  <c r="W37" i="37"/>
  <c r="U14" i="36"/>
  <c r="AB14" i="36"/>
  <c r="AB26" i="33"/>
  <c r="U26" i="33"/>
  <c r="U39" i="39"/>
  <c r="AB39" i="39"/>
  <c r="AB35" i="33"/>
  <c r="U35" i="33"/>
  <c r="W35" i="37"/>
  <c r="AC35" i="37"/>
  <c r="J25" i="37"/>
  <c r="F25" i="37"/>
  <c r="AC32" i="40"/>
  <c r="W32" i="40"/>
  <c r="AA14" i="40"/>
  <c r="S14" i="40"/>
  <c r="S17" i="33"/>
  <c r="AA17" i="33"/>
  <c r="AA33" i="34"/>
  <c r="W40" i="37"/>
  <c r="AB20" i="71"/>
  <c r="AB32" i="39"/>
  <c r="U32" i="39"/>
  <c r="AA46" i="34"/>
  <c r="S28" i="33"/>
  <c r="U42" i="39"/>
  <c r="S17" i="34"/>
  <c r="AB40" i="37"/>
  <c r="AA27" i="40"/>
  <c r="S12" i="33"/>
  <c r="AA12" i="33"/>
  <c r="AC17" i="34"/>
  <c r="AZ318" i="3"/>
  <c r="BL569" i="3"/>
  <c r="AZ552" i="3"/>
  <c r="AB25" i="35"/>
  <c r="U25" i="35"/>
  <c r="AB40" i="39"/>
  <c r="U40" i="39"/>
  <c r="U9" i="39"/>
  <c r="H29" i="21"/>
  <c r="J29" i="21"/>
  <c r="AA15" i="33"/>
  <c r="S15" i="33"/>
  <c r="BA572" i="3"/>
  <c r="AZ572" i="3" s="1"/>
  <c r="BA532" i="3"/>
  <c r="BL508" i="3"/>
  <c r="BA503" i="3"/>
  <c r="AZ503" i="3" s="1"/>
  <c r="BH5" i="3"/>
  <c r="AB19" i="33"/>
  <c r="U19" i="33"/>
  <c r="AZ361" i="3"/>
  <c r="BL539" i="3"/>
  <c r="AZ539" i="3" s="1"/>
  <c r="BL571" i="3"/>
  <c r="H14" i="40"/>
  <c r="AA46" i="21"/>
  <c r="S46" i="21"/>
  <c r="AA35" i="40"/>
  <c r="AC23" i="40"/>
  <c r="W40" i="21"/>
  <c r="AC40" i="21"/>
  <c r="F30" i="21"/>
  <c r="J30" i="21"/>
  <c r="B72" i="43"/>
  <c r="C15" i="39"/>
  <c r="G81" i="36"/>
  <c r="H81" i="36" s="1"/>
  <c r="I81" i="36" s="1"/>
  <c r="J81" i="36" s="1"/>
  <c r="K81" i="36" s="1"/>
  <c r="L81" i="36" s="1"/>
  <c r="M81" i="36" s="1"/>
  <c r="F27" i="36"/>
  <c r="AA27" i="36" s="1"/>
  <c r="BA578" i="3"/>
  <c r="BL556" i="3"/>
  <c r="BA540" i="3"/>
  <c r="BA501" i="3"/>
  <c r="BA498" i="3"/>
  <c r="AZ498" i="3" s="1"/>
  <c r="W17" i="33"/>
  <c r="AC17" i="33"/>
  <c r="S36" i="33"/>
  <c r="U13" i="37"/>
  <c r="AZ377" i="3"/>
  <c r="AZ360" i="3"/>
  <c r="AB45" i="33"/>
  <c r="AB15" i="34"/>
  <c r="U15" i="34"/>
  <c r="U42" i="34"/>
  <c r="H31" i="21"/>
  <c r="J31" i="21"/>
  <c r="U41" i="21"/>
  <c r="AB41" i="21"/>
  <c r="AZ582" i="3"/>
  <c r="BT5" i="3"/>
  <c r="AB17" i="37"/>
  <c r="AC41" i="39"/>
  <c r="U9" i="21"/>
  <c r="U34" i="33"/>
  <c r="AB34" i="33"/>
  <c r="AZ344" i="3"/>
  <c r="AZ378" i="3"/>
  <c r="AC5" i="3"/>
  <c r="S45" i="33"/>
  <c r="S29" i="37"/>
  <c r="AA29" i="37"/>
  <c r="H44" i="21"/>
  <c r="J44" i="21"/>
  <c r="AC44" i="21" s="1"/>
  <c r="S9" i="40"/>
  <c r="AA9" i="40"/>
  <c r="AZ494" i="3"/>
  <c r="W9" i="21"/>
  <c r="AA45" i="34"/>
  <c r="U28" i="35"/>
  <c r="X19" i="71"/>
  <c r="W17" i="21"/>
  <c r="AA8" i="34"/>
  <c r="AC29" i="34"/>
  <c r="AA13" i="36"/>
  <c r="U11" i="39"/>
  <c r="AB25" i="37"/>
  <c r="AZ164" i="3"/>
  <c r="AZ309" i="3"/>
  <c r="BL523" i="3"/>
  <c r="AZ523" i="3" s="1"/>
  <c r="BL577" i="3"/>
  <c r="AZ512" i="3"/>
  <c r="S11" i="36"/>
  <c r="AA13" i="39"/>
  <c r="S13" i="39"/>
  <c r="S47" i="34"/>
  <c r="AA47" i="34"/>
  <c r="AB30" i="33"/>
  <c r="U30" i="33"/>
  <c r="F11" i="35"/>
  <c r="W14" i="34"/>
  <c r="AC14" i="34"/>
  <c r="AA44" i="21"/>
  <c r="S44" i="21"/>
  <c r="AC42" i="21"/>
  <c r="W42" i="21"/>
  <c r="U36" i="39"/>
  <c r="AB36" i="39"/>
  <c r="F12" i="35"/>
  <c r="H12" i="35"/>
  <c r="J12" i="36"/>
  <c r="H12" i="36"/>
  <c r="F12" i="36"/>
  <c r="AB31" i="36"/>
  <c r="U31" i="36"/>
  <c r="AC35" i="40"/>
  <c r="W35" i="40"/>
  <c r="AB31" i="40"/>
  <c r="AC27" i="33"/>
  <c r="S17" i="37"/>
  <c r="U15" i="40"/>
  <c r="AA35" i="33"/>
  <c r="AZ311" i="3"/>
  <c r="BA163" i="3"/>
  <c r="AZ308" i="3"/>
  <c r="AZ501" i="3"/>
  <c r="AZ511" i="3"/>
  <c r="S14" i="37"/>
  <c r="AC38" i="37"/>
  <c r="W38" i="37"/>
  <c r="AB30" i="21"/>
  <c r="U30" i="21"/>
  <c r="AC36" i="34"/>
  <c r="W36" i="34"/>
  <c r="U40" i="33"/>
  <c r="W13" i="35"/>
  <c r="AC13" i="35"/>
  <c r="BA536" i="3"/>
  <c r="AZ536" i="3" s="1"/>
  <c r="G509" i="3"/>
  <c r="BA496" i="3"/>
  <c r="AZ496" i="3" s="1"/>
  <c r="AZ513" i="3"/>
  <c r="J13" i="40"/>
  <c r="H13" i="40"/>
  <c r="U15" i="21"/>
  <c r="AB15" i="21"/>
  <c r="U29" i="34"/>
  <c r="W36" i="40"/>
  <c r="AC36" i="40"/>
  <c r="W28" i="21"/>
  <c r="AC28" i="21"/>
  <c r="AC41" i="34"/>
  <c r="W41" i="34"/>
  <c r="U14" i="33"/>
  <c r="AB14" i="33"/>
  <c r="AB38" i="34"/>
  <c r="U38" i="34"/>
  <c r="J12" i="34"/>
  <c r="F12" i="34"/>
  <c r="S12" i="34" s="1"/>
  <c r="H12" i="34"/>
  <c r="U25" i="33"/>
  <c r="AA15" i="40"/>
  <c r="D120" i="9"/>
  <c r="S32" i="37"/>
  <c r="C46" i="36"/>
  <c r="D46" i="36" s="1"/>
  <c r="E46" i="36" s="1"/>
  <c r="F46" i="36" s="1"/>
  <c r="G46" i="36" s="1"/>
  <c r="H46" i="36" s="1"/>
  <c r="I46" i="36" s="1"/>
  <c r="G7" i="36"/>
  <c r="E7" i="36"/>
  <c r="I7" i="36"/>
  <c r="W27" i="39"/>
  <c r="AB32" i="40"/>
  <c r="U32" i="40"/>
  <c r="U32" i="33"/>
  <c r="BL503" i="3"/>
  <c r="BL547" i="3"/>
  <c r="AZ547" i="3" s="1"/>
  <c r="BL583" i="3"/>
  <c r="AZ520" i="3"/>
  <c r="F13" i="40"/>
  <c r="F31" i="21"/>
  <c r="AC11" i="40"/>
  <c r="AA28" i="35"/>
  <c r="S28" i="35"/>
  <c r="AA13" i="34"/>
  <c r="S13" i="34"/>
  <c r="J23" i="35"/>
  <c r="F23" i="35"/>
  <c r="AA23" i="35" s="1"/>
  <c r="W17" i="40"/>
  <c r="AC17" i="40"/>
  <c r="H13" i="21"/>
  <c r="J16" i="36"/>
  <c r="W16" i="36" s="1"/>
  <c r="H27" i="37"/>
  <c r="F27" i="37"/>
  <c r="AA38" i="39"/>
  <c r="S38" i="39"/>
  <c r="AZ120" i="3"/>
  <c r="BA580" i="3"/>
  <c r="S29" i="34"/>
  <c r="AA29" i="34"/>
  <c r="F34" i="36"/>
  <c r="F16" i="36"/>
  <c r="AA16" i="36" s="1"/>
  <c r="B101" i="43"/>
  <c r="B79" i="43"/>
  <c r="C25" i="39"/>
  <c r="H38" i="40"/>
  <c r="J38" i="40"/>
  <c r="BA543" i="3"/>
  <c r="H9" i="35"/>
  <c r="U9" i="35" s="1"/>
  <c r="S9" i="39"/>
  <c r="AZ326" i="3"/>
  <c r="AZ372" i="3"/>
  <c r="AZ342" i="3"/>
  <c r="H31" i="33"/>
  <c r="J26" i="33"/>
  <c r="F26" i="33"/>
  <c r="H30" i="34"/>
  <c r="F30" i="34"/>
  <c r="G553" i="3"/>
  <c r="BA519" i="3"/>
  <c r="BL500" i="3"/>
  <c r="G500" i="3"/>
  <c r="AC26" i="21"/>
  <c r="W13" i="21"/>
  <c r="U19" i="37"/>
  <c r="AZ371" i="3"/>
  <c r="AZ340" i="3"/>
  <c r="S12" i="39"/>
  <c r="AA12" i="39"/>
  <c r="BL535" i="3"/>
  <c r="AZ535" i="3" s="1"/>
  <c r="J27" i="37"/>
  <c r="H28" i="37"/>
  <c r="J32" i="36"/>
  <c r="W32" i="36" s="1"/>
  <c r="W31" i="33"/>
  <c r="U36" i="34"/>
  <c r="AB36" i="34"/>
  <c r="U33" i="33"/>
  <c r="H9" i="33"/>
  <c r="J9" i="33"/>
  <c r="F31" i="34"/>
  <c r="AA31" i="34" s="1"/>
  <c r="H31" i="34"/>
  <c r="AB17" i="39"/>
  <c r="U17" i="39"/>
  <c r="BL534" i="3"/>
  <c r="BL553" i="3"/>
  <c r="BL557" i="3"/>
  <c r="AA38" i="21"/>
  <c r="S37" i="39"/>
  <c r="S31" i="37"/>
  <c r="AA31" i="37"/>
  <c r="BL565" i="3"/>
  <c r="F28" i="37"/>
  <c r="AC47" i="34"/>
  <c r="W47" i="34"/>
  <c r="H32" i="36"/>
  <c r="AB32" i="36" s="1"/>
  <c r="S29" i="33"/>
  <c r="AA29" i="33"/>
  <c r="AC34" i="39"/>
  <c r="W34" i="39"/>
  <c r="AB8" i="40"/>
  <c r="U8" i="40"/>
  <c r="AB34" i="40"/>
  <c r="U34" i="40"/>
  <c r="BL567" i="3"/>
  <c r="BL540" i="3"/>
  <c r="AZ540" i="3" s="1"/>
  <c r="BA493" i="3"/>
  <c r="AZ493" i="3" s="1"/>
  <c r="AC31" i="37"/>
  <c r="W31" i="37"/>
  <c r="AC28" i="40"/>
  <c r="W28" i="40"/>
  <c r="F9" i="34"/>
  <c r="AA9" i="34" s="1"/>
  <c r="J9" i="34"/>
  <c r="H9" i="34"/>
  <c r="J39" i="37"/>
  <c r="H39" i="37"/>
  <c r="BA579" i="3"/>
  <c r="BA565" i="3"/>
  <c r="BL562" i="3"/>
  <c r="BA557" i="3"/>
  <c r="AZ557" i="3" s="1"/>
  <c r="BA544" i="3"/>
  <c r="BL530" i="3"/>
  <c r="BA528" i="3"/>
  <c r="BL517" i="3"/>
  <c r="BA507" i="3"/>
  <c r="BA504" i="3"/>
  <c r="G241" i="3"/>
  <c r="BA177" i="3"/>
  <c r="AZ177" i="3" s="1"/>
  <c r="X26" i="71"/>
  <c r="B30" i="71"/>
  <c r="B31" i="71" s="1"/>
  <c r="B32" i="71" s="1"/>
  <c r="S32" i="71" s="1"/>
  <c r="AA37" i="71"/>
  <c r="E38" i="71"/>
  <c r="AA35" i="71"/>
  <c r="AZ305" i="3"/>
  <c r="W12" i="37"/>
  <c r="AC12" i="37"/>
  <c r="BL515" i="3"/>
  <c r="BL527" i="3"/>
  <c r="AZ527" i="3" s="1"/>
  <c r="AA29" i="35"/>
  <c r="J24" i="35"/>
  <c r="H24" i="35"/>
  <c r="BA562" i="3"/>
  <c r="BL551" i="3"/>
  <c r="G551" i="3"/>
  <c r="BL308" i="3"/>
  <c r="AZ351" i="3"/>
  <c r="AZ380" i="3"/>
  <c r="BL230" i="3"/>
  <c r="T60" i="71"/>
  <c r="D60" i="71"/>
  <c r="AZ219" i="3"/>
  <c r="H5" i="3"/>
  <c r="BL447" i="3"/>
  <c r="BA448" i="3"/>
  <c r="BA105" i="3"/>
  <c r="BA574" i="3"/>
  <c r="AZ574" i="3" s="1"/>
  <c r="G560" i="3"/>
  <c r="G552" i="3"/>
  <c r="G536" i="3"/>
  <c r="G531" i="3"/>
  <c r="BL528" i="3"/>
  <c r="G528" i="3"/>
  <c r="G515" i="3"/>
  <c r="BA510" i="3"/>
  <c r="AZ510" i="3" s="1"/>
  <c r="BL173" i="3"/>
  <c r="G178" i="3"/>
  <c r="BL182" i="3"/>
  <c r="G191" i="3"/>
  <c r="BA196" i="3"/>
  <c r="AZ196" i="3" s="1"/>
  <c r="G427" i="3"/>
  <c r="BL430" i="3"/>
  <c r="G441" i="3"/>
  <c r="BL254" i="3"/>
  <c r="AZ254" i="3" s="1"/>
  <c r="BL280" i="3"/>
  <c r="G164" i="3"/>
  <c r="G190" i="3"/>
  <c r="BL106" i="3"/>
  <c r="BA108" i="3"/>
  <c r="B100" i="43"/>
  <c r="B77" i="43"/>
  <c r="B57" i="43"/>
  <c r="C29" i="39"/>
  <c r="P67" i="71"/>
  <c r="E66" i="71"/>
  <c r="P65" i="71" s="1"/>
  <c r="G424" i="3"/>
  <c r="G438" i="3"/>
  <c r="BA445" i="3"/>
  <c r="BA447" i="3"/>
  <c r="AZ447" i="3" s="1"/>
  <c r="BA473" i="3"/>
  <c r="G479" i="3"/>
  <c r="BA485" i="3"/>
  <c r="BA392" i="3"/>
  <c r="AZ392" i="3" s="1"/>
  <c r="BL267" i="3"/>
  <c r="G102" i="3"/>
  <c r="AZ135" i="3"/>
  <c r="BL525" i="3"/>
  <c r="BL543" i="3"/>
  <c r="G575" i="3"/>
  <c r="BL406" i="3"/>
  <c r="BL429" i="3"/>
  <c r="BA444" i="3"/>
  <c r="BL211" i="3"/>
  <c r="BL266" i="3"/>
  <c r="BA145" i="3"/>
  <c r="BL76" i="3"/>
  <c r="D88" i="71"/>
  <c r="C87" i="71"/>
  <c r="BL402" i="3"/>
  <c r="G410" i="3"/>
  <c r="BL413" i="3"/>
  <c r="BA456" i="3"/>
  <c r="BA469" i="3"/>
  <c r="AZ469" i="3" s="1"/>
  <c r="BL469" i="3"/>
  <c r="G477" i="3"/>
  <c r="G478" i="3"/>
  <c r="BA265" i="3"/>
  <c r="BL289" i="3"/>
  <c r="G147" i="3"/>
  <c r="BA77" i="3"/>
  <c r="G85" i="3"/>
  <c r="BL88" i="3"/>
  <c r="W18" i="35"/>
  <c r="AC18" i="35"/>
  <c r="BA402" i="3"/>
  <c r="G409" i="3"/>
  <c r="G460" i="3"/>
  <c r="BA467" i="3"/>
  <c r="BA468" i="3"/>
  <c r="BL350" i="3"/>
  <c r="BA388" i="3"/>
  <c r="AZ388" i="3" s="1"/>
  <c r="BA212" i="3"/>
  <c r="BA150" i="3"/>
  <c r="BA201" i="3"/>
  <c r="G56" i="3"/>
  <c r="BL58" i="3"/>
  <c r="BA60" i="3"/>
  <c r="BA452" i="3"/>
  <c r="BA209" i="3"/>
  <c r="BA211" i="3"/>
  <c r="AZ211" i="3" s="1"/>
  <c r="AZ252" i="3"/>
  <c r="BA275" i="3"/>
  <c r="BA162" i="3"/>
  <c r="BL198" i="3"/>
  <c r="P27" i="6"/>
  <c r="BL575" i="3"/>
  <c r="G585" i="3"/>
  <c r="BL488" i="3"/>
  <c r="AZ488" i="3" s="1"/>
  <c r="BL219" i="3"/>
  <c r="BA250" i="3"/>
  <c r="BL298" i="3"/>
  <c r="BL110" i="3"/>
  <c r="AZ110" i="3" s="1"/>
  <c r="P68" i="71"/>
  <c r="U68" i="71"/>
  <c r="BA410" i="3"/>
  <c r="BL487" i="3"/>
  <c r="AZ487" i="3" s="1"/>
  <c r="BL395" i="3"/>
  <c r="BA260" i="3"/>
  <c r="G206" i="3"/>
  <c r="BL44" i="3"/>
  <c r="BA46" i="3"/>
  <c r="F40" i="68"/>
  <c r="C40" i="68"/>
  <c r="G456" i="3"/>
  <c r="G318" i="3"/>
  <c r="G343" i="3"/>
  <c r="BA348" i="3"/>
  <c r="BA350" i="3"/>
  <c r="AZ350" i="3" s="1"/>
  <c r="BA220" i="3"/>
  <c r="G227" i="3"/>
  <c r="BA248" i="3"/>
  <c r="G292" i="3"/>
  <c r="BA297" i="3"/>
  <c r="AZ297" i="3" s="1"/>
  <c r="BL297" i="3"/>
  <c r="G127" i="3"/>
  <c r="BA185" i="3"/>
  <c r="G192" i="3"/>
  <c r="BA98" i="3"/>
  <c r="G101" i="3"/>
  <c r="B64" i="71"/>
  <c r="S64" i="71" s="1"/>
  <c r="K10" i="1"/>
  <c r="M10" i="1" s="1"/>
  <c r="O10" i="1" s="1"/>
  <c r="P10" i="1" s="1"/>
  <c r="G422" i="3"/>
  <c r="G423" i="3"/>
  <c r="G437" i="3"/>
  <c r="BA443" i="3"/>
  <c r="AZ443" i="3" s="1"/>
  <c r="BA463" i="3"/>
  <c r="BA466" i="3"/>
  <c r="BA480" i="3"/>
  <c r="G492" i="3"/>
  <c r="BA358" i="3"/>
  <c r="AZ358" i="3" s="1"/>
  <c r="BL225" i="3"/>
  <c r="AZ225" i="3" s="1"/>
  <c r="BL226" i="3"/>
  <c r="BA244" i="3"/>
  <c r="BL244" i="3"/>
  <c r="G257" i="3"/>
  <c r="G258" i="3"/>
  <c r="BL262" i="3"/>
  <c r="G271" i="3"/>
  <c r="G285" i="3"/>
  <c r="BL290" i="3"/>
  <c r="BA117" i="3"/>
  <c r="G126" i="3"/>
  <c r="BA134" i="3"/>
  <c r="AZ134" i="3" s="1"/>
  <c r="G143" i="3"/>
  <c r="G174" i="3"/>
  <c r="G188" i="3"/>
  <c r="BL191" i="3"/>
  <c r="AZ191" i="3" s="1"/>
  <c r="BA193" i="3"/>
  <c r="G202" i="3"/>
  <c r="G203" i="3"/>
  <c r="BA18" i="3"/>
  <c r="BA43" i="3"/>
  <c r="G65" i="3"/>
  <c r="G82" i="3"/>
  <c r="U29" i="39"/>
  <c r="F48" i="71"/>
  <c r="V48" i="71" s="1"/>
  <c r="E55" i="71"/>
  <c r="E56" i="71" s="1"/>
  <c r="U56" i="71" s="1"/>
  <c r="E59" i="71"/>
  <c r="E60" i="71" s="1"/>
  <c r="U60" i="71" s="1"/>
  <c r="C5" i="68"/>
  <c r="BL411" i="3"/>
  <c r="BA413" i="3"/>
  <c r="BL424" i="3"/>
  <c r="BA465" i="3"/>
  <c r="AZ465" i="3" s="1"/>
  <c r="BL479" i="3"/>
  <c r="BA331" i="3"/>
  <c r="AZ331" i="3" s="1"/>
  <c r="BA385" i="3"/>
  <c r="BA397" i="3"/>
  <c r="AZ397" i="3" s="1"/>
  <c r="BL397" i="3"/>
  <c r="BL242" i="3"/>
  <c r="BA277" i="3"/>
  <c r="AZ277" i="3" s="1"/>
  <c r="BL277" i="3"/>
  <c r="BA149" i="3"/>
  <c r="BA164" i="3"/>
  <c r="BA166" i="3"/>
  <c r="BL178" i="3"/>
  <c r="BA180" i="3"/>
  <c r="AZ180" i="3" s="1"/>
  <c r="BA30" i="3"/>
  <c r="BA56" i="3"/>
  <c r="BA57" i="3"/>
  <c r="BL69" i="3"/>
  <c r="BL85" i="3"/>
  <c r="BA86" i="3"/>
  <c r="BL409" i="3"/>
  <c r="BL423" i="3"/>
  <c r="G434" i="3"/>
  <c r="BA442" i="3"/>
  <c r="G449" i="3"/>
  <c r="BL455" i="3"/>
  <c r="BA478" i="3"/>
  <c r="G486" i="3"/>
  <c r="BA319" i="3"/>
  <c r="AZ319" i="3" s="1"/>
  <c r="BL328" i="3"/>
  <c r="AZ328" i="3" s="1"/>
  <c r="G349" i="3"/>
  <c r="G216" i="3"/>
  <c r="G220" i="3"/>
  <c r="BL224" i="3"/>
  <c r="G250" i="3"/>
  <c r="G256" i="3"/>
  <c r="BL272" i="3"/>
  <c r="BL273" i="3"/>
  <c r="G283" i="3"/>
  <c r="G284" i="3"/>
  <c r="BA293" i="3"/>
  <c r="AZ293" i="3" s="1"/>
  <c r="BL127" i="3"/>
  <c r="AZ127" i="3" s="1"/>
  <c r="BA128" i="3"/>
  <c r="AZ128" i="3" s="1"/>
  <c r="BA148" i="3"/>
  <c r="AZ148" i="3" s="1"/>
  <c r="BL161" i="3"/>
  <c r="G172" i="3"/>
  <c r="BL175" i="3"/>
  <c r="AZ175" i="3" s="1"/>
  <c r="G198" i="3"/>
  <c r="BL28" i="3"/>
  <c r="BA29" i="3"/>
  <c r="G49" i="3"/>
  <c r="G50" i="3"/>
  <c r="G62" i="3"/>
  <c r="BL67" i="3"/>
  <c r="G80" i="3"/>
  <c r="G81" i="3"/>
  <c r="G96" i="3"/>
  <c r="G111" i="3"/>
  <c r="E75" i="71"/>
  <c r="E74" i="71" s="1"/>
  <c r="B39" i="71"/>
  <c r="B40" i="71" s="1"/>
  <c r="S40" i="71" s="1"/>
  <c r="C31" i="71"/>
  <c r="B44" i="71"/>
  <c r="S44" i="71" s="1"/>
  <c r="BA439" i="3"/>
  <c r="BA440" i="3"/>
  <c r="AZ440" i="3" s="1"/>
  <c r="BL453" i="3"/>
  <c r="BL454" i="3"/>
  <c r="BA477" i="3"/>
  <c r="BL316" i="3"/>
  <c r="BL365" i="3"/>
  <c r="AZ365" i="3" s="1"/>
  <c r="BA241" i="3"/>
  <c r="AZ241" i="3" s="1"/>
  <c r="BL241" i="3"/>
  <c r="BL259" i="3"/>
  <c r="BA291" i="3"/>
  <c r="AZ291" i="3" s="1"/>
  <c r="BA146" i="3"/>
  <c r="BL157" i="3"/>
  <c r="BL159" i="3"/>
  <c r="AZ159" i="3" s="1"/>
  <c r="BA40" i="3"/>
  <c r="AZ40" i="3" s="1"/>
  <c r="BL52" i="3"/>
  <c r="BL53" i="3"/>
  <c r="BA70" i="3"/>
  <c r="BA71" i="3"/>
  <c r="BL100" i="3"/>
  <c r="BA101" i="3"/>
  <c r="D72" i="71"/>
  <c r="F64" i="71"/>
  <c r="V64" i="71" s="1"/>
  <c r="G400" i="3"/>
  <c r="G403" i="3"/>
  <c r="BL408" i="3"/>
  <c r="G417" i="3"/>
  <c r="BL420" i="3"/>
  <c r="BA424" i="3"/>
  <c r="G431" i="3"/>
  <c r="G432" i="3"/>
  <c r="BA437" i="3"/>
  <c r="G448" i="3"/>
  <c r="BA476" i="3"/>
  <c r="BL490" i="3"/>
  <c r="BL340" i="3"/>
  <c r="G347" i="3"/>
  <c r="BA354" i="3"/>
  <c r="G387" i="3"/>
  <c r="BA395" i="3"/>
  <c r="AZ395" i="3" s="1"/>
  <c r="G212" i="3"/>
  <c r="BA223" i="3"/>
  <c r="BA225" i="3"/>
  <c r="G234" i="3"/>
  <c r="BA240" i="3"/>
  <c r="G247" i="3"/>
  <c r="BA258" i="3"/>
  <c r="G281" i="3"/>
  <c r="BA288" i="3"/>
  <c r="BA126" i="3"/>
  <c r="G152" i="3"/>
  <c r="G184" i="3"/>
  <c r="BA189" i="3"/>
  <c r="BA205" i="3"/>
  <c r="AZ205" i="3" s="1"/>
  <c r="G21" i="3"/>
  <c r="G23" i="3"/>
  <c r="BL38" i="3"/>
  <c r="BA39" i="3"/>
  <c r="G46" i="3"/>
  <c r="BL64" i="3"/>
  <c r="G78" i="3"/>
  <c r="BL99" i="3"/>
  <c r="G108" i="3"/>
  <c r="G109" i="3"/>
  <c r="E71" i="71"/>
  <c r="E70" i="71" s="1"/>
  <c r="B51" i="71"/>
  <c r="B52" i="71" s="1"/>
  <c r="S52" i="71" s="1"/>
  <c r="B59" i="71"/>
  <c r="B60" i="71" s="1"/>
  <c r="S60" i="71" s="1"/>
  <c r="Y27" i="71"/>
  <c r="Z27" i="71" s="1"/>
  <c r="BA407" i="3"/>
  <c r="BL419" i="3"/>
  <c r="BL435" i="3"/>
  <c r="BL436" i="3"/>
  <c r="BA451" i="3"/>
  <c r="BL451" i="3"/>
  <c r="BL472" i="3"/>
  <c r="BL475" i="3"/>
  <c r="BA491" i="3"/>
  <c r="BA339" i="3"/>
  <c r="AZ339" i="3" s="1"/>
  <c r="BL216" i="3"/>
  <c r="BL217" i="3"/>
  <c r="BA239" i="3"/>
  <c r="AZ239" i="3" s="1"/>
  <c r="BL239" i="3"/>
  <c r="BA257" i="3"/>
  <c r="BA286" i="3"/>
  <c r="BA302" i="3"/>
  <c r="BL122" i="3"/>
  <c r="BA125" i="3"/>
  <c r="G134" i="3"/>
  <c r="BL154" i="3"/>
  <c r="BA157" i="3"/>
  <c r="AZ157" i="3" s="1"/>
  <c r="G167" i="3"/>
  <c r="G183" i="3"/>
  <c r="G195" i="3"/>
  <c r="G20" i="3"/>
  <c r="BA52" i="3"/>
  <c r="BL62" i="3"/>
  <c r="BL63" i="3"/>
  <c r="BL82" i="3"/>
  <c r="G90" i="3"/>
  <c r="BL112" i="3"/>
  <c r="AC21" i="33"/>
  <c r="AA18" i="35"/>
  <c r="Q68" i="71"/>
  <c r="Y29" i="71"/>
  <c r="Z29" i="71" s="1"/>
  <c r="G399" i="3"/>
  <c r="BA406" i="3"/>
  <c r="G416" i="3"/>
  <c r="G430" i="3"/>
  <c r="BL433" i="3"/>
  <c r="BL484" i="3"/>
  <c r="BL324" i="3"/>
  <c r="AZ324" i="3" s="1"/>
  <c r="BL214" i="3"/>
  <c r="AZ214" i="3" s="1"/>
  <c r="G231" i="3"/>
  <c r="BL237" i="3"/>
  <c r="G246" i="3"/>
  <c r="BA256" i="3"/>
  <c r="AZ256" i="3" s="1"/>
  <c r="BL256" i="3"/>
  <c r="BL269" i="3"/>
  <c r="BA284" i="3"/>
  <c r="BA301" i="3"/>
  <c r="BL186" i="3"/>
  <c r="BL24" i="3"/>
  <c r="BA26" i="3"/>
  <c r="BL47" i="3"/>
  <c r="BA65" i="3"/>
  <c r="BA66" i="3"/>
  <c r="BA97" i="3"/>
  <c r="F3" i="35"/>
  <c r="F43" i="71"/>
  <c r="F44" i="71" s="1"/>
  <c r="V44" i="71" s="1"/>
  <c r="E51" i="71"/>
  <c r="E52" i="71" s="1"/>
  <c r="U52" i="71" s="1"/>
  <c r="BL400" i="3"/>
  <c r="AZ400" i="3" s="1"/>
  <c r="G413" i="3"/>
  <c r="BA419" i="3"/>
  <c r="BA420" i="3"/>
  <c r="AZ420" i="3" s="1"/>
  <c r="G428" i="3"/>
  <c r="G442" i="3"/>
  <c r="G444" i="3"/>
  <c r="BA449" i="3"/>
  <c r="AZ449" i="3" s="1"/>
  <c r="G461" i="3"/>
  <c r="G462" i="3"/>
  <c r="BL471" i="3"/>
  <c r="G480" i="3"/>
  <c r="G481" i="3"/>
  <c r="BA489" i="3"/>
  <c r="BL212" i="3"/>
  <c r="G228" i="3"/>
  <c r="BA255" i="3"/>
  <c r="AZ255" i="3" s="1"/>
  <c r="G263" i="3"/>
  <c r="BA268" i="3"/>
  <c r="BA283" i="3"/>
  <c r="BL300" i="3"/>
  <c r="G130" i="3"/>
  <c r="G31" i="3"/>
  <c r="G44" i="3"/>
  <c r="G57" i="3"/>
  <c r="G74" i="3"/>
  <c r="BL79" i="3"/>
  <c r="BL91" i="3"/>
  <c r="BL92" i="3"/>
  <c r="AZ92" i="3" s="1"/>
  <c r="G104" i="3"/>
  <c r="G105" i="3"/>
  <c r="F51" i="71"/>
  <c r="F52" i="71" s="1"/>
  <c r="V52" i="71" s="1"/>
  <c r="F66" i="36"/>
  <c r="G66" i="36" s="1"/>
  <c r="F18" i="36"/>
  <c r="AA18" i="36" s="1"/>
  <c r="W18" i="36"/>
  <c r="S33" i="36"/>
  <c r="U16" i="36"/>
  <c r="S16" i="36"/>
  <c r="AC14" i="36"/>
  <c r="S14" i="36"/>
  <c r="U32" i="36"/>
  <c r="G22" i="69"/>
  <c r="G22" i="11"/>
  <c r="E1" i="73"/>
  <c r="G26" i="12"/>
  <c r="M18" i="67"/>
  <c r="F28" i="15"/>
  <c r="F28" i="67"/>
  <c r="M18" i="15"/>
  <c r="F30" i="11"/>
  <c r="C48" i="11" s="1"/>
  <c r="F32" i="67"/>
  <c r="F60" i="67" s="1"/>
  <c r="C21" i="68"/>
  <c r="AC32" i="39"/>
  <c r="W32" i="39"/>
  <c r="AA37" i="21"/>
  <c r="S37" i="21"/>
  <c r="AC15" i="21"/>
  <c r="W15" i="21"/>
  <c r="S23" i="37"/>
  <c r="AA23" i="37"/>
  <c r="AA23" i="21"/>
  <c r="S23" i="21"/>
  <c r="S12" i="40"/>
  <c r="AA12" i="40"/>
  <c r="U36" i="33"/>
  <c r="AB36" i="33"/>
  <c r="AC23" i="21"/>
  <c r="S19" i="33"/>
  <c r="AA19" i="33"/>
  <c r="AA39" i="40"/>
  <c r="S39" i="40"/>
  <c r="U15" i="33"/>
  <c r="U38" i="37"/>
  <c r="S24" i="35"/>
  <c r="W27" i="40"/>
  <c r="U32" i="37"/>
  <c r="AB31" i="37"/>
  <c r="S23" i="35"/>
  <c r="U21" i="40"/>
  <c r="S23" i="40"/>
  <c r="AZ347" i="3"/>
  <c r="AA11" i="39"/>
  <c r="AA43" i="33"/>
  <c r="S32" i="40"/>
  <c r="G521" i="3"/>
  <c r="AC37" i="40"/>
  <c r="S31" i="34"/>
  <c r="U37" i="37"/>
  <c r="AB36" i="37"/>
  <c r="W11" i="35"/>
  <c r="AC11" i="35"/>
  <c r="U46" i="34"/>
  <c r="AA41" i="33"/>
  <c r="AB30" i="37"/>
  <c r="U30" i="37"/>
  <c r="H44" i="39"/>
  <c r="F44" i="39"/>
  <c r="J33" i="40"/>
  <c r="F33" i="40"/>
  <c r="W44" i="33"/>
  <c r="AC44" i="33"/>
  <c r="AZ575" i="3"/>
  <c r="AZ508" i="3"/>
  <c r="J12" i="40"/>
  <c r="H12" i="40"/>
  <c r="U32" i="21"/>
  <c r="S32" i="21"/>
  <c r="AB45" i="21"/>
  <c r="S21" i="39"/>
  <c r="F54" i="9"/>
  <c r="F32" i="15"/>
  <c r="F60" i="15" s="1"/>
  <c r="F52" i="9"/>
  <c r="F30" i="68"/>
  <c r="F48" i="68" s="1"/>
  <c r="AC37" i="33"/>
  <c r="W40" i="34"/>
  <c r="S20" i="36"/>
  <c r="AC13" i="37"/>
  <c r="AC34" i="33"/>
  <c r="AZ391" i="3"/>
  <c r="AZ364" i="3"/>
  <c r="AZ329" i="3"/>
  <c r="AZ304" i="3"/>
  <c r="AZ306" i="3"/>
  <c r="AZ518" i="3"/>
  <c r="AZ556" i="3"/>
  <c r="H25" i="36"/>
  <c r="F25" i="36"/>
  <c r="J39" i="40"/>
  <c r="H39" i="40"/>
  <c r="BA569" i="3"/>
  <c r="BA568" i="3"/>
  <c r="AZ568" i="3" s="1"/>
  <c r="BL566" i="3"/>
  <c r="BL564" i="3"/>
  <c r="AZ564" i="3" s="1"/>
  <c r="BA561" i="3"/>
  <c r="AZ561" i="3" s="1"/>
  <c r="BA560" i="3"/>
  <c r="AZ560" i="3" s="1"/>
  <c r="BL558" i="3"/>
  <c r="AZ558" i="3" s="1"/>
  <c r="BA549" i="3"/>
  <c r="AZ549" i="3" s="1"/>
  <c r="BL544" i="3"/>
  <c r="AZ544" i="3" s="1"/>
  <c r="BL542" i="3"/>
  <c r="AZ542" i="3" s="1"/>
  <c r="BA541" i="3"/>
  <c r="AZ541" i="3" s="1"/>
  <c r="BA538" i="3"/>
  <c r="AZ538" i="3" s="1"/>
  <c r="BL537" i="3"/>
  <c r="AZ537" i="3" s="1"/>
  <c r="BA534" i="3"/>
  <c r="AZ534" i="3" s="1"/>
  <c r="BA533" i="3"/>
  <c r="AZ533" i="3" s="1"/>
  <c r="BL532" i="3"/>
  <c r="AZ532" i="3" s="1"/>
  <c r="BA530" i="3"/>
  <c r="AZ530" i="3" s="1"/>
  <c r="BL526" i="3"/>
  <c r="AZ526" i="3" s="1"/>
  <c r="BA525" i="3"/>
  <c r="BL524" i="3"/>
  <c r="AZ524" i="3" s="1"/>
  <c r="BA522" i="3"/>
  <c r="AZ522" i="3" s="1"/>
  <c r="BL521" i="3"/>
  <c r="BA521" i="3"/>
  <c r="BA515" i="3"/>
  <c r="BA514" i="3"/>
  <c r="AZ514" i="3" s="1"/>
  <c r="BL506" i="3"/>
  <c r="AZ506" i="3" s="1"/>
  <c r="BA505" i="3"/>
  <c r="AZ505" i="3" s="1"/>
  <c r="BL504" i="3"/>
  <c r="AZ504" i="3" s="1"/>
  <c r="BL499" i="3"/>
  <c r="AZ499" i="3" s="1"/>
  <c r="BA497" i="3"/>
  <c r="AZ497" i="3" s="1"/>
  <c r="BL495" i="3"/>
  <c r="AA38" i="33"/>
  <c r="S38" i="33"/>
  <c r="D68" i="9"/>
  <c r="F30" i="69"/>
  <c r="F48" i="69" s="1"/>
  <c r="F31" i="12"/>
  <c r="U28" i="21"/>
  <c r="AB20" i="35"/>
  <c r="U41" i="39"/>
  <c r="AB39" i="21"/>
  <c r="S37" i="37"/>
  <c r="AC30" i="35"/>
  <c r="AA19" i="40"/>
  <c r="AZ357" i="3"/>
  <c r="AZ322" i="3"/>
  <c r="AZ313" i="3"/>
  <c r="AZ394" i="3"/>
  <c r="AZ569" i="3"/>
  <c r="AZ571" i="3"/>
  <c r="AZ566" i="3"/>
  <c r="AA44" i="34"/>
  <c r="AB17" i="34"/>
  <c r="U23" i="34"/>
  <c r="AC44" i="39"/>
  <c r="W44" i="39"/>
  <c r="U34" i="21"/>
  <c r="AB34" i="21"/>
  <c r="H12" i="33"/>
  <c r="U12" i="33" s="1"/>
  <c r="J12" i="33"/>
  <c r="J30" i="33"/>
  <c r="F30" i="33"/>
  <c r="H46" i="33"/>
  <c r="F46" i="33"/>
  <c r="J45" i="34"/>
  <c r="H45" i="34"/>
  <c r="F13" i="35"/>
  <c r="H13" i="35"/>
  <c r="H9" i="36"/>
  <c r="AB9" i="36" s="1"/>
  <c r="J9" i="36"/>
  <c r="BL580" i="3"/>
  <c r="AZ580" i="3" s="1"/>
  <c r="BL579" i="3"/>
  <c r="BA577" i="3"/>
  <c r="AZ577" i="3" s="1"/>
  <c r="BA576" i="3"/>
  <c r="AZ576" i="3" s="1"/>
  <c r="W28" i="35"/>
  <c r="J36" i="35"/>
  <c r="AC36" i="35" s="1"/>
  <c r="J24" i="36"/>
  <c r="H24" i="36"/>
  <c r="W31" i="35"/>
  <c r="AC31" i="35"/>
  <c r="BL550" i="3"/>
  <c r="AZ419" i="3"/>
  <c r="AZ466" i="3"/>
  <c r="B97" i="43"/>
  <c r="B75" i="43"/>
  <c r="AC28" i="36"/>
  <c r="W28" i="36"/>
  <c r="H45" i="39"/>
  <c r="J45" i="39"/>
  <c r="W45" i="39" s="1"/>
  <c r="G582" i="3"/>
  <c r="G574" i="3"/>
  <c r="BA551" i="3"/>
  <c r="AZ551" i="3" s="1"/>
  <c r="BA550" i="3"/>
  <c r="BL548" i="3"/>
  <c r="AZ548" i="3" s="1"/>
  <c r="BL519" i="3"/>
  <c r="BL531" i="3"/>
  <c r="AZ531" i="3" s="1"/>
  <c r="BL559" i="3"/>
  <c r="AZ559" i="3" s="1"/>
  <c r="BL573" i="3"/>
  <c r="AZ573" i="3" s="1"/>
  <c r="AZ583" i="3"/>
  <c r="AA14" i="34"/>
  <c r="BL587" i="3"/>
  <c r="AZ587" i="3" s="1"/>
  <c r="BL586" i="3"/>
  <c r="AZ586" i="3" s="1"/>
  <c r="H23" i="35"/>
  <c r="AC22" i="35"/>
  <c r="W22" i="35"/>
  <c r="F38" i="40"/>
  <c r="AZ458" i="3"/>
  <c r="AZ462" i="3"/>
  <c r="C67" i="71"/>
  <c r="T68" i="71"/>
  <c r="O68" i="71"/>
  <c r="D68" i="71"/>
  <c r="T76" i="71"/>
  <c r="D76" i="71"/>
  <c r="C75" i="71"/>
  <c r="Y26" i="71"/>
  <c r="Z26" i="71" s="1"/>
  <c r="Y25" i="71"/>
  <c r="Z25" i="71" s="1"/>
  <c r="AA3" i="71"/>
  <c r="BL585" i="3"/>
  <c r="AZ585" i="3" s="1"/>
  <c r="G558"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AZ463" i="3" s="1"/>
  <c r="BA471" i="3"/>
  <c r="AZ471" i="3" s="1"/>
  <c r="BL317" i="3"/>
  <c r="BA349" i="3"/>
  <c r="AZ349" i="3" s="1"/>
  <c r="BA353" i="3"/>
  <c r="AZ353" i="3" s="1"/>
  <c r="BL353" i="3"/>
  <c r="BA221" i="3"/>
  <c r="AZ221" i="3" s="1"/>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BA423" i="3"/>
  <c r="AZ423" i="3" s="1"/>
  <c r="BA425" i="3"/>
  <c r="AZ425" i="3" s="1"/>
  <c r="BA426" i="3"/>
  <c r="AZ426" i="3" s="1"/>
  <c r="BA427" i="3"/>
  <c r="AZ427" i="3" s="1"/>
  <c r="BA433" i="3"/>
  <c r="AZ433" i="3" s="1"/>
  <c r="BA435" i="3"/>
  <c r="BL437" i="3"/>
  <c r="AZ437" i="3" s="1"/>
  <c r="G439" i="3"/>
  <c r="G440" i="3"/>
  <c r="BL441" i="3"/>
  <c r="BL442" i="3"/>
  <c r="BL444" i="3"/>
  <c r="AZ444" i="3" s="1"/>
  <c r="G446" i="3"/>
  <c r="G447" i="3"/>
  <c r="BL448" i="3"/>
  <c r="AZ448" i="3" s="1"/>
  <c r="G450" i="3"/>
  <c r="G451" i="3"/>
  <c r="BA454" i="3"/>
  <c r="BA457" i="3"/>
  <c r="BA459" i="3"/>
  <c r="AZ459" i="3" s="1"/>
  <c r="BA460" i="3"/>
  <c r="AZ460" i="3" s="1"/>
  <c r="BA461" i="3"/>
  <c r="BL464" i="3"/>
  <c r="BL466" i="3"/>
  <c r="G468" i="3"/>
  <c r="G469" i="3"/>
  <c r="BL476" i="3"/>
  <c r="AZ476" i="3" s="1"/>
  <c r="BL477" i="3"/>
  <c r="BL478" i="3"/>
  <c r="AZ478" i="3" s="1"/>
  <c r="BL480" i="3"/>
  <c r="AZ480" i="3" s="1"/>
  <c r="BA483" i="3"/>
  <c r="BL483" i="3"/>
  <c r="BA486" i="3"/>
  <c r="BL489" i="3"/>
  <c r="BL491" i="3"/>
  <c r="BL492" i="3"/>
  <c r="BA315" i="3"/>
  <c r="AZ315" i="3" s="1"/>
  <c r="BA333" i="3"/>
  <c r="BL346" i="3"/>
  <c r="AZ346" i="3" s="1"/>
  <c r="BL367" i="3"/>
  <c r="BL375" i="3"/>
  <c r="AZ375" i="3" s="1"/>
  <c r="BA384" i="3"/>
  <c r="AZ384" i="3" s="1"/>
  <c r="BA396" i="3"/>
  <c r="BA208" i="3"/>
  <c r="AZ208" i="3" s="1"/>
  <c r="G223" i="3"/>
  <c r="BA228" i="3"/>
  <c r="AZ228" i="3" s="1"/>
  <c r="BA230" i="3"/>
  <c r="AZ230" i="3" s="1"/>
  <c r="BA156" i="3"/>
  <c r="AZ156" i="3" s="1"/>
  <c r="W25" i="40"/>
  <c r="AC25" i="40"/>
  <c r="BL16" i="3"/>
  <c r="AZ16" i="3" s="1"/>
  <c r="BA401" i="3"/>
  <c r="AZ401" i="3" s="1"/>
  <c r="BA403" i="3"/>
  <c r="AZ403" i="3" s="1"/>
  <c r="BA404" i="3"/>
  <c r="BA405" i="3"/>
  <c r="BL410" i="3"/>
  <c r="G412" i="3"/>
  <c r="G418" i="3"/>
  <c r="BA422" i="3"/>
  <c r="AZ422" i="3" s="1"/>
  <c r="G429" i="3"/>
  <c r="BL431" i="3"/>
  <c r="AZ431" i="3" s="1"/>
  <c r="G433" i="3"/>
  <c r="BL434" i="3"/>
  <c r="G436" i="3"/>
  <c r="BL438" i="3"/>
  <c r="BL439" i="3"/>
  <c r="BA441" i="3"/>
  <c r="BL445" i="3"/>
  <c r="BL446" i="3"/>
  <c r="AZ446" i="3" s="1"/>
  <c r="BL449" i="3"/>
  <c r="BL450" i="3"/>
  <c r="BL452" i="3"/>
  <c r="AZ452" i="3" s="1"/>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58" i="3"/>
  <c r="BA366" i="3"/>
  <c r="AZ366" i="3" s="1"/>
  <c r="BA368" i="3"/>
  <c r="AZ368" i="3" s="1"/>
  <c r="BL368" i="3"/>
  <c r="BA374" i="3"/>
  <c r="AZ374" i="3" s="1"/>
  <c r="BL386" i="3"/>
  <c r="G392" i="3"/>
  <c r="G209" i="3"/>
  <c r="BA210" i="3"/>
  <c r="BL210" i="3"/>
  <c r="BL213" i="3"/>
  <c r="BA217" i="3"/>
  <c r="BL222" i="3"/>
  <c r="BL227" i="3"/>
  <c r="G232" i="3"/>
  <c r="BL232" i="3"/>
  <c r="BL234" i="3"/>
  <c r="BA236" i="3"/>
  <c r="BA238" i="3"/>
  <c r="BA243" i="3"/>
  <c r="BL248" i="3"/>
  <c r="BL250" i="3"/>
  <c r="AZ250" i="3" s="1"/>
  <c r="BA259" i="3"/>
  <c r="AZ259" i="3" s="1"/>
  <c r="BL261" i="3"/>
  <c r="BA263" i="3"/>
  <c r="BA267" i="3"/>
  <c r="AZ267" i="3" s="1"/>
  <c r="BA269" i="3"/>
  <c r="AZ269" i="3" s="1"/>
  <c r="BA271" i="3"/>
  <c r="BL271" i="3"/>
  <c r="BA274" i="3"/>
  <c r="AZ274" i="3" s="1"/>
  <c r="BL274" i="3"/>
  <c r="BA276" i="3"/>
  <c r="BA279" i="3"/>
  <c r="BA281" i="3"/>
  <c r="BL286" i="3"/>
  <c r="AZ286" i="3" s="1"/>
  <c r="G291" i="3"/>
  <c r="BA296" i="3"/>
  <c r="BA116" i="3"/>
  <c r="AZ116" i="3" s="1"/>
  <c r="BA121" i="3"/>
  <c r="AZ121" i="3" s="1"/>
  <c r="BL121" i="3"/>
  <c r="BA124" i="3"/>
  <c r="AZ124" i="3" s="1"/>
  <c r="BA144" i="3"/>
  <c r="AZ144" i="3" s="1"/>
  <c r="G150" i="3"/>
  <c r="G154" i="3"/>
  <c r="G159" i="3"/>
  <c r="BL166" i="3"/>
  <c r="AZ166" i="3" s="1"/>
  <c r="BL167" i="3"/>
  <c r="AZ167" i="3" s="1"/>
  <c r="BL177" i="3"/>
  <c r="G179" i="3"/>
  <c r="BL183" i="3"/>
  <c r="AZ183" i="3" s="1"/>
  <c r="BA186" i="3"/>
  <c r="AZ186" i="3" s="1"/>
  <c r="BA190" i="3"/>
  <c r="BA207" i="3"/>
  <c r="BL20" i="3"/>
  <c r="BA21" i="3"/>
  <c r="AZ21" i="3" s="1"/>
  <c r="G29" i="3"/>
  <c r="BL29" i="3"/>
  <c r="AZ29" i="3" s="1"/>
  <c r="BL35" i="3"/>
  <c r="BA37" i="3"/>
  <c r="G39" i="3"/>
  <c r="BL39" i="3"/>
  <c r="AZ39" i="3" s="1"/>
  <c r="BA47" i="3"/>
  <c r="AZ47" i="3" s="1"/>
  <c r="BL49" i="3"/>
  <c r="BL50" i="3"/>
  <c r="AZ50" i="3" s="1"/>
  <c r="BL51" i="3"/>
  <c r="BA53" i="3"/>
  <c r="AZ53" i="3" s="1"/>
  <c r="BA54" i="3"/>
  <c r="AZ54" i="3" s="1"/>
  <c r="BA62" i="3"/>
  <c r="AZ62" i="3" s="1"/>
  <c r="BA63" i="3"/>
  <c r="AZ63" i="3" s="1"/>
  <c r="BL65" i="3"/>
  <c r="BL66" i="3"/>
  <c r="AZ66" i="3" s="1"/>
  <c r="BA72" i="3"/>
  <c r="AZ72" i="3" s="1"/>
  <c r="G76" i="3"/>
  <c r="BL86" i="3"/>
  <c r="BA87" i="3"/>
  <c r="BA89" i="3"/>
  <c r="AB21" i="37"/>
  <c r="U21" i="37"/>
  <c r="D44" i="71"/>
  <c r="T44" i="71"/>
  <c r="AB34" i="71"/>
  <c r="AB32" i="71"/>
  <c r="AA38" i="71"/>
  <c r="AA28" i="71"/>
  <c r="C47" i="71"/>
  <c r="D47" i="71" s="1"/>
  <c r="D46" i="71"/>
  <c r="D50" i="71"/>
  <c r="C51" i="71"/>
  <c r="C64" i="71"/>
  <c r="D63" i="71"/>
  <c r="C23" i="71"/>
  <c r="B22" i="71"/>
  <c r="B21" i="71" s="1"/>
  <c r="B20" i="71" s="1"/>
  <c r="BL215" i="3"/>
  <c r="BA222" i="3"/>
  <c r="AZ222" i="3" s="1"/>
  <c r="BA224" i="3"/>
  <c r="AZ224" i="3" s="1"/>
  <c r="BA226" i="3"/>
  <c r="BA237" i="3"/>
  <c r="BL240" i="3"/>
  <c r="AZ240" i="3" s="1"/>
  <c r="BA242" i="3"/>
  <c r="AZ242" i="3" s="1"/>
  <c r="BL245" i="3"/>
  <c r="AZ245" i="3" s="1"/>
  <c r="BL255" i="3"/>
  <c r="BL257" i="3"/>
  <c r="AZ257" i="3" s="1"/>
  <c r="BL258" i="3"/>
  <c r="BA262" i="3"/>
  <c r="AZ262" i="3" s="1"/>
  <c r="BL265" i="3"/>
  <c r="BA273" i="3"/>
  <c r="AZ273" i="3" s="1"/>
  <c r="BA278" i="3"/>
  <c r="AZ278" i="3" s="1"/>
  <c r="BA280" i="3"/>
  <c r="BL283" i="3"/>
  <c r="BL284" i="3"/>
  <c r="G288" i="3"/>
  <c r="BL292" i="3"/>
  <c r="BA294" i="3"/>
  <c r="AZ294" i="3" s="1"/>
  <c r="BL295" i="3"/>
  <c r="BA298" i="3"/>
  <c r="AZ298" i="3" s="1"/>
  <c r="BL301" i="3"/>
  <c r="AZ301" i="3" s="1"/>
  <c r="BL302" i="3"/>
  <c r="AZ302" i="3" s="1"/>
  <c r="BA114" i="3"/>
  <c r="BL123" i="3"/>
  <c r="AZ123" i="3" s="1"/>
  <c r="BL125" i="3"/>
  <c r="BL126" i="3"/>
  <c r="BL146" i="3"/>
  <c r="AZ146" i="3" s="1"/>
  <c r="BL155" i="3"/>
  <c r="AZ155" i="3" s="1"/>
  <c r="BL163" i="3"/>
  <c r="AZ163" i="3" s="1"/>
  <c r="AZ52" i="3"/>
  <c r="AZ70" i="3"/>
  <c r="AC21" i="21"/>
  <c r="W21" i="21"/>
  <c r="F40" i="69"/>
  <c r="C40" i="69"/>
  <c r="X33" i="71"/>
  <c r="X31" i="71"/>
  <c r="X34" i="71"/>
  <c r="X36" i="71"/>
  <c r="X35" i="71"/>
  <c r="AB37" i="71"/>
  <c r="AB35" i="71"/>
  <c r="F38" i="71"/>
  <c r="F39" i="71" s="1"/>
  <c r="F40" i="71" s="1"/>
  <c r="V40" i="71" s="1"/>
  <c r="C55" i="71"/>
  <c r="D54" i="71"/>
  <c r="G364" i="3"/>
  <c r="BA367" i="3"/>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BL247" i="3"/>
  <c r="BA249" i="3"/>
  <c r="BL249" i="3"/>
  <c r="BA251" i="3"/>
  <c r="AZ251" i="3" s="1"/>
  <c r="BL251" i="3"/>
  <c r="BA253" i="3"/>
  <c r="BL260" i="3"/>
  <c r="AZ260" i="3" s="1"/>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G128" i="3"/>
  <c r="BA129" i="3"/>
  <c r="BL133" i="3"/>
  <c r="AZ133" i="3" s="1"/>
  <c r="BL139" i="3"/>
  <c r="AZ139" i="3" s="1"/>
  <c r="G140" i="3"/>
  <c r="BL141" i="3"/>
  <c r="BL143" i="3"/>
  <c r="AZ143" i="3" s="1"/>
  <c r="G146" i="3"/>
  <c r="BA153" i="3"/>
  <c r="G163" i="3"/>
  <c r="BL169" i="3"/>
  <c r="BA188" i="3"/>
  <c r="AZ188" i="3" s="1"/>
  <c r="BL195" i="3"/>
  <c r="AZ195" i="3" s="1"/>
  <c r="G196" i="3"/>
  <c r="BA197" i="3"/>
  <c r="BL201" i="3"/>
  <c r="AZ201" i="3" s="1"/>
  <c r="BL203" i="3"/>
  <c r="AZ203" i="3" s="1"/>
  <c r="BA204" i="3"/>
  <c r="AZ204" i="3" s="1"/>
  <c r="BL23" i="3"/>
  <c r="BA25" i="3"/>
  <c r="G32" i="3"/>
  <c r="G42" i="3"/>
  <c r="BA55" i="3"/>
  <c r="BL57" i="3"/>
  <c r="G59" i="3"/>
  <c r="BA67" i="3"/>
  <c r="BL70" i="3"/>
  <c r="BL71" i="3"/>
  <c r="AZ71" i="3" s="1"/>
  <c r="BA80" i="3"/>
  <c r="BL84" i="3"/>
  <c r="D43" i="71"/>
  <c r="C86" i="71"/>
  <c r="D86" i="71" s="1"/>
  <c r="D87" i="71"/>
  <c r="B66" i="71"/>
  <c r="AB25" i="71"/>
  <c r="AB28" i="71"/>
  <c r="AB26" i="71"/>
  <c r="AB27" i="71"/>
  <c r="B35" i="71"/>
  <c r="B36" i="71" s="1"/>
  <c r="S36" i="71" s="1"/>
  <c r="T28" i="71"/>
  <c r="D28" i="71"/>
  <c r="U28" i="71" s="1"/>
  <c r="C27" i="71"/>
  <c r="BA169" i="3"/>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AZ207" i="3" s="1"/>
  <c r="BL18" i="3"/>
  <c r="BL19" i="3"/>
  <c r="BA20" i="3"/>
  <c r="AZ20" i="3" s="1"/>
  <c r="BL25" i="3"/>
  <c r="BL27" i="3"/>
  <c r="BA28" i="3"/>
  <c r="BA31" i="3"/>
  <c r="BA32" i="3"/>
  <c r="G38" i="3"/>
  <c r="BA38" i="3"/>
  <c r="AZ38" i="3" s="1"/>
  <c r="BA41" i="3"/>
  <c r="BA42" i="3"/>
  <c r="G47" i="3"/>
  <c r="BL48" i="3"/>
  <c r="BL54" i="3"/>
  <c r="BL55" i="3"/>
  <c r="G58" i="3"/>
  <c r="BA59" i="3"/>
  <c r="BL61" i="3"/>
  <c r="G64" i="3"/>
  <c r="BA64" i="3"/>
  <c r="AZ64" i="3" s="1"/>
  <c r="G67" i="3"/>
  <c r="BL68" i="3"/>
  <c r="BA69" i="3"/>
  <c r="AZ69" i="3" s="1"/>
  <c r="G72" i="3"/>
  <c r="BL73" i="3"/>
  <c r="BA74" i="3"/>
  <c r="AZ74" i="3" s="1"/>
  <c r="BA75" i="3"/>
  <c r="AZ75" i="3" s="1"/>
  <c r="BA84" i="3"/>
  <c r="AZ84" i="3" s="1"/>
  <c r="BA92" i="3"/>
  <c r="BA95" i="3"/>
  <c r="BL97" i="3"/>
  <c r="AZ97" i="3" s="1"/>
  <c r="BL101" i="3"/>
  <c r="AZ101" i="3" s="1"/>
  <c r="BL102" i="3"/>
  <c r="U21" i="33"/>
  <c r="AB21" i="33"/>
  <c r="C36" i="71"/>
  <c r="T36" i="71" s="1"/>
  <c r="D35" i="71"/>
  <c r="Y35" i="71"/>
  <c r="Z35" i="71" s="1"/>
  <c r="S80" i="71"/>
  <c r="B79" i="71"/>
  <c r="B78" i="71" s="1"/>
  <c r="BA130" i="3"/>
  <c r="AZ130" i="3" s="1"/>
  <c r="BL130" i="3"/>
  <c r="BA137" i="3"/>
  <c r="AZ137" i="3" s="1"/>
  <c r="BL138" i="3"/>
  <c r="BA140" i="3"/>
  <c r="AZ140" i="3" s="1"/>
  <c r="BA142" i="3"/>
  <c r="BL149" i="3"/>
  <c r="AZ149" i="3" s="1"/>
  <c r="BL150" i="3"/>
  <c r="G151" i="3"/>
  <c r="BA152" i="3"/>
  <c r="AZ152" i="3" s="1"/>
  <c r="BA154" i="3"/>
  <c r="BA160" i="3"/>
  <c r="AZ160" i="3" s="1"/>
  <c r="G162" i="3"/>
  <c r="BL162" i="3"/>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G199" i="3"/>
  <c r="G204" i="3"/>
  <c r="G205" i="3"/>
  <c r="BL206" i="3"/>
  <c r="BA19" i="3"/>
  <c r="G22" i="3"/>
  <c r="G24" i="3"/>
  <c r="G25" i="3"/>
  <c r="G27" i="3"/>
  <c r="BA27" i="3"/>
  <c r="G30" i="3"/>
  <c r="BL30" i="3"/>
  <c r="BL31" i="3"/>
  <c r="G35" i="3"/>
  <c r="G36" i="3"/>
  <c r="G37" i="3"/>
  <c r="G40" i="3"/>
  <c r="BL40" i="3"/>
  <c r="BL41" i="3"/>
  <c r="G45" i="3"/>
  <c r="BL45" i="3"/>
  <c r="AZ45" i="3" s="1"/>
  <c r="BA48" i="3"/>
  <c r="AZ48" i="3" s="1"/>
  <c r="BA49" i="3"/>
  <c r="BA51" i="3"/>
  <c r="AZ51" i="3" s="1"/>
  <c r="G54" i="3"/>
  <c r="G55" i="3"/>
  <c r="BL56" i="3"/>
  <c r="BA58" i="3"/>
  <c r="BL59" i="3"/>
  <c r="BL60" i="3"/>
  <c r="BA61" i="3"/>
  <c r="BA68" i="3"/>
  <c r="BA73" i="3"/>
  <c r="AZ73" i="3" s="1"/>
  <c r="BL77" i="3"/>
  <c r="AZ77" i="3" s="1"/>
  <c r="BA79" i="3"/>
  <c r="AZ79" i="3" s="1"/>
  <c r="BA88" i="3"/>
  <c r="AZ88" i="3" s="1"/>
  <c r="BA91" i="3"/>
  <c r="AZ91" i="3" s="1"/>
  <c r="BL96" i="3"/>
  <c r="E39" i="71"/>
  <c r="E40" i="71" s="1"/>
  <c r="U40" i="71" s="1"/>
  <c r="Y37" i="71"/>
  <c r="Z37" i="71" s="1"/>
  <c r="F66" i="71"/>
  <c r="Q65" i="71" s="1"/>
  <c r="Q67" i="71"/>
  <c r="X25" i="71"/>
  <c r="V24" i="71"/>
  <c r="E23" i="71"/>
  <c r="E22" i="71" s="1"/>
  <c r="E21" i="71" s="1"/>
  <c r="E20" i="71" s="1"/>
  <c r="E19" i="71" s="1"/>
  <c r="E18" i="71" s="1"/>
  <c r="E17" i="71" s="1"/>
  <c r="E16" i="71" s="1"/>
  <c r="G99" i="3"/>
  <c r="G103" i="3"/>
  <c r="BA103" i="3"/>
  <c r="AZ103" i="3" s="1"/>
  <c r="BA104" i="3"/>
  <c r="BA106" i="3"/>
  <c r="AZ106" i="3" s="1"/>
  <c r="BL108" i="3"/>
  <c r="AZ108" i="3" s="1"/>
  <c r="G110" i="3"/>
  <c r="BL111" i="3"/>
  <c r="AA27" i="71"/>
  <c r="S28" i="71"/>
  <c r="C83" i="71"/>
  <c r="C79" i="71"/>
  <c r="C71" i="71"/>
  <c r="C39" i="71"/>
  <c r="Y28" i="71"/>
  <c r="Z28" i="71" s="1"/>
  <c r="Y30" i="71"/>
  <c r="Z30" i="71" s="1"/>
  <c r="X28" i="71"/>
  <c r="X32" i="71"/>
  <c r="AB38" i="71"/>
  <c r="F75" i="71"/>
  <c r="F74" i="71" s="1"/>
  <c r="U25" i="40"/>
  <c r="S21" i="34"/>
  <c r="B68" i="43"/>
  <c r="B88" i="43"/>
  <c r="F35" i="71"/>
  <c r="F36" i="71" s="1"/>
  <c r="V36" i="71" s="1"/>
  <c r="AA34" i="71"/>
  <c r="G79" i="3"/>
  <c r="BL81" i="3"/>
  <c r="BA82" i="3"/>
  <c r="AZ82" i="3" s="1"/>
  <c r="BL83" i="3"/>
  <c r="G86" i="3"/>
  <c r="G87" i="3"/>
  <c r="G88" i="3"/>
  <c r="BA90" i="3"/>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A12" i="34"/>
  <c r="S34" i="21"/>
  <c r="J34" i="35"/>
  <c r="F34" i="35"/>
  <c r="J26" i="37"/>
  <c r="F26" i="37"/>
  <c r="F40" i="40"/>
  <c r="G578" i="3"/>
  <c r="AZ410" i="3"/>
  <c r="AZ439" i="3"/>
  <c r="AZ442" i="3"/>
  <c r="AZ445" i="3"/>
  <c r="AZ456" i="3"/>
  <c r="AZ467" i="3"/>
  <c r="AZ468" i="3"/>
  <c r="AZ470" i="3"/>
  <c r="W35" i="39"/>
  <c r="F27" i="34"/>
  <c r="C21" i="39"/>
  <c r="U14" i="37"/>
  <c r="H12" i="21"/>
  <c r="G526" i="3"/>
  <c r="AZ424" i="3"/>
  <c r="AZ434" i="3"/>
  <c r="AZ436" i="3"/>
  <c r="AZ438" i="3"/>
  <c r="AZ450" i="3"/>
  <c r="G28" i="6"/>
  <c r="G30" i="6" s="1"/>
  <c r="G31" i="6" s="1"/>
  <c r="U26" i="21"/>
  <c r="W36" i="39"/>
  <c r="U23" i="40"/>
  <c r="AA39" i="37"/>
  <c r="C27" i="39"/>
  <c r="U40" i="40"/>
  <c r="AC9" i="40"/>
  <c r="W36" i="35"/>
  <c r="J12" i="21"/>
  <c r="B73" i="43"/>
  <c r="B76" i="43"/>
  <c r="F9" i="36"/>
  <c r="J40" i="40"/>
  <c r="G562" i="3"/>
  <c r="AZ489" i="3"/>
  <c r="AZ385" i="3"/>
  <c r="AZ212" i="3"/>
  <c r="AZ220" i="3"/>
  <c r="AZ231" i="3"/>
  <c r="BA472" i="3"/>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G230" i="3"/>
  <c r="BA232" i="3"/>
  <c r="AZ232" i="3" s="1"/>
  <c r="BA234" i="3"/>
  <c r="AZ234" i="3" s="1"/>
  <c r="AZ236" i="3"/>
  <c r="G248" i="3"/>
  <c r="AZ258" i="3"/>
  <c r="BL268" i="3"/>
  <c r="AZ268" i="3" s="1"/>
  <c r="G278" i="3"/>
  <c r="BA474" i="3"/>
  <c r="AZ474" i="3" s="1"/>
  <c r="BA475" i="3"/>
  <c r="BL481" i="3"/>
  <c r="AZ481" i="3" s="1"/>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G168" i="3"/>
  <c r="BA170" i="3"/>
  <c r="BL174" i="3"/>
  <c r="AZ174" i="3" s="1"/>
  <c r="AZ193" i="3"/>
  <c r="BL202" i="3"/>
  <c r="AZ202" i="3" s="1"/>
  <c r="AZ30" i="3"/>
  <c r="BL36" i="3"/>
  <c r="AZ36" i="3" s="1"/>
  <c r="AZ68" i="3"/>
  <c r="G200" i="3"/>
  <c r="G207" i="3"/>
  <c r="BA23" i="3"/>
  <c r="AZ23" i="3" s="1"/>
  <c r="BA24" i="3"/>
  <c r="AZ24" i="3" s="1"/>
  <c r="BL26" i="3"/>
  <c r="BL32" i="3"/>
  <c r="BA34" i="3"/>
  <c r="AZ34" i="3" s="1"/>
  <c r="BA35" i="3"/>
  <c r="AZ35" i="3" s="1"/>
  <c r="BL37" i="3"/>
  <c r="BL42" i="3"/>
  <c r="BA44" i="3"/>
  <c r="AZ56" i="3"/>
  <c r="AZ60" i="3"/>
  <c r="BA206" i="3"/>
  <c r="AZ206" i="3" s="1"/>
  <c r="BL22" i="3"/>
  <c r="AZ22" i="3" s="1"/>
  <c r="BL33" i="3"/>
  <c r="AZ33" i="3" s="1"/>
  <c r="BL43" i="3"/>
  <c r="AZ43" i="3" s="1"/>
  <c r="BL46" i="3"/>
  <c r="AZ46" i="3" s="1"/>
  <c r="AZ90" i="3"/>
  <c r="BL78" i="3"/>
  <c r="BA83" i="3"/>
  <c r="AZ83" i="3" s="1"/>
  <c r="G91" i="3"/>
  <c r="BL95" i="3"/>
  <c r="AZ95" i="3" s="1"/>
  <c r="BL98" i="3"/>
  <c r="AZ98" i="3" s="1"/>
  <c r="BL109" i="3"/>
  <c r="AZ109" i="3" s="1"/>
  <c r="AB21" i="21"/>
  <c r="D36" i="71"/>
  <c r="AZ78" i="3"/>
  <c r="G77" i="3"/>
  <c r="BA81" i="3"/>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E14" i="6"/>
  <c r="E63" i="39" s="1"/>
  <c r="I4" i="6"/>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Q16"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AF3" i="71"/>
  <c r="P26" i="43" s="1"/>
  <c r="D22" i="9"/>
  <c r="G19" i="9"/>
  <c r="Q71" i="15"/>
  <c r="B20" i="31"/>
  <c r="B21" i="31" s="1"/>
  <c r="I1" i="73"/>
  <c r="B39" i="1" s="1"/>
  <c r="F51" i="67"/>
  <c r="F65" i="67"/>
  <c r="J53" i="67"/>
  <c r="J57" i="67"/>
  <c r="J55" i="67" s="1"/>
  <c r="J58" i="67" s="1"/>
  <c r="Q50" i="67" s="1"/>
  <c r="L56" i="67"/>
  <c r="I54" i="67"/>
  <c r="F66" i="15"/>
  <c r="Q71" i="67"/>
  <c r="D103" i="9"/>
  <c r="G20" i="9"/>
  <c r="C103" i="9"/>
  <c r="N59" i="67"/>
  <c r="L59" i="67"/>
  <c r="L58" i="67"/>
  <c r="M59" i="67"/>
  <c r="B13" i="70"/>
  <c r="M7" i="67"/>
  <c r="F50" i="67"/>
  <c r="F64" i="67"/>
  <c r="C36" i="68"/>
  <c r="D9" i="68"/>
  <c r="F6" i="15"/>
  <c r="L48" i="15"/>
  <c r="J15" i="15"/>
  <c r="M24" i="67"/>
  <c r="M9" i="15"/>
  <c r="F36" i="15"/>
  <c r="D4" i="73"/>
  <c r="D3" i="73"/>
  <c r="F8" i="15"/>
  <c r="F40" i="15"/>
  <c r="F37" i="15"/>
  <c r="M26" i="15"/>
  <c r="F13" i="15"/>
  <c r="M22" i="15"/>
  <c r="F7" i="15"/>
  <c r="D7" i="73"/>
  <c r="F40" i="67"/>
  <c r="M22" i="67"/>
  <c r="F26" i="15"/>
  <c r="M29" i="15"/>
  <c r="D9" i="69"/>
  <c r="M6" i="67"/>
  <c r="M8" i="15"/>
  <c r="L47" i="15"/>
  <c r="C36" i="69"/>
  <c r="F38" i="67"/>
  <c r="F43" i="67"/>
  <c r="F6" i="67"/>
  <c r="F9" i="15"/>
  <c r="F43" i="15"/>
  <c r="M6" i="15"/>
  <c r="F9" i="67"/>
  <c r="F27" i="69"/>
  <c r="D5" i="73"/>
  <c r="F16" i="15"/>
  <c r="M28" i="15"/>
  <c r="M24" i="15"/>
  <c r="F13" i="67"/>
  <c r="F26" i="67"/>
  <c r="F16" i="67"/>
  <c r="M23" i="15"/>
  <c r="F71" i="15" l="1"/>
  <c r="L59" i="15"/>
  <c r="Q74" i="15" s="1"/>
  <c r="N59" i="15"/>
  <c r="L58" i="15"/>
  <c r="Q60" i="15" s="1"/>
  <c r="M59" i="15"/>
  <c r="C27" i="15"/>
  <c r="F50" i="15"/>
  <c r="M7" i="15"/>
  <c r="J6" i="15" s="1"/>
  <c r="F65" i="15"/>
  <c r="F68" i="15"/>
  <c r="F51" i="15"/>
  <c r="F59" i="15" s="1"/>
  <c r="F64" i="15"/>
  <c r="J57" i="15"/>
  <c r="J55" i="15" s="1"/>
  <c r="J58" i="15" s="1"/>
  <c r="Q50" i="15" s="1"/>
  <c r="I54" i="15"/>
  <c r="J53" i="15"/>
  <c r="L56" i="15" s="1"/>
  <c r="F31" i="15"/>
  <c r="C6" i="15"/>
  <c r="C32" i="15" s="1"/>
  <c r="F15" i="71"/>
  <c r="F14" i="71" s="1"/>
  <c r="F13" i="71" s="1"/>
  <c r="F12" i="71" s="1"/>
  <c r="F11" i="71" s="1"/>
  <c r="F10" i="71" s="1"/>
  <c r="F9" i="71" s="1"/>
  <c r="F8" i="71" s="1"/>
  <c r="F7" i="71" s="1"/>
  <c r="F6" i="71" s="1"/>
  <c r="F5" i="71" s="1"/>
  <c r="M23" i="43"/>
  <c r="AZ42" i="3"/>
  <c r="D31" i="71"/>
  <c r="C32" i="71"/>
  <c r="S34" i="36"/>
  <c r="AA34" i="36"/>
  <c r="AB14" i="40"/>
  <c r="U14" i="40"/>
  <c r="AA25" i="37"/>
  <c r="S25" i="37"/>
  <c r="AC31" i="40"/>
  <c r="W31" i="40"/>
  <c r="AZ37" i="3"/>
  <c r="AC45" i="39"/>
  <c r="AZ19" i="3"/>
  <c r="AZ65" i="3"/>
  <c r="AZ332" i="3"/>
  <c r="AZ550" i="3"/>
  <c r="AZ521" i="3"/>
  <c r="AZ406" i="3"/>
  <c r="AZ528" i="3"/>
  <c r="AC25" i="37"/>
  <c r="W25" i="37"/>
  <c r="AA31" i="40"/>
  <c r="S31" i="40"/>
  <c r="AZ295" i="3"/>
  <c r="AZ213" i="3"/>
  <c r="AZ472" i="3"/>
  <c r="AZ58" i="3"/>
  <c r="AZ154" i="3"/>
  <c r="AZ28" i="3"/>
  <c r="AZ67" i="3"/>
  <c r="AZ265" i="3"/>
  <c r="AZ248" i="3"/>
  <c r="AZ413" i="3"/>
  <c r="AC23" i="35"/>
  <c r="W23" i="35"/>
  <c r="AC29" i="21"/>
  <c r="W29" i="21"/>
  <c r="AZ189" i="3"/>
  <c r="AZ404" i="3"/>
  <c r="AZ454" i="3"/>
  <c r="AZ435" i="3"/>
  <c r="U13" i="40"/>
  <c r="AB13" i="40"/>
  <c r="U29" i="21"/>
  <c r="AB29" i="21"/>
  <c r="AZ500" i="3"/>
  <c r="E83" i="43"/>
  <c r="B81" i="43" s="1"/>
  <c r="AZ32" i="3"/>
  <c r="AZ57" i="3"/>
  <c r="AZ525" i="3"/>
  <c r="AZ402" i="3"/>
  <c r="AC27" i="37"/>
  <c r="W27" i="37"/>
  <c r="AB12" i="34"/>
  <c r="U12" i="34"/>
  <c r="AC13" i="40"/>
  <c r="W13" i="40"/>
  <c r="AC30" i="21"/>
  <c r="W30" i="21"/>
  <c r="W14" i="40"/>
  <c r="AC14" i="40"/>
  <c r="J7" i="36"/>
  <c r="AZ26" i="3"/>
  <c r="AZ150" i="3"/>
  <c r="AB24" i="35"/>
  <c r="U24" i="35"/>
  <c r="S12" i="36"/>
  <c r="AA12" i="36"/>
  <c r="S30" i="21"/>
  <c r="AA30" i="21"/>
  <c r="AZ104" i="3"/>
  <c r="AZ486" i="3"/>
  <c r="AZ198" i="3"/>
  <c r="P66" i="71"/>
  <c r="AZ118" i="3"/>
  <c r="AZ244" i="3"/>
  <c r="AC24" i="35"/>
  <c r="W24" i="35"/>
  <c r="AZ565" i="3"/>
  <c r="AC38" i="40"/>
  <c r="W38" i="40"/>
  <c r="W12" i="34"/>
  <c r="AC12" i="34"/>
  <c r="AB12" i="36"/>
  <c r="U12" i="36"/>
  <c r="S11" i="35"/>
  <c r="AA11" i="35"/>
  <c r="AZ49" i="3"/>
  <c r="AZ247" i="3"/>
  <c r="AZ543" i="3"/>
  <c r="AA28" i="37"/>
  <c r="S28" i="37"/>
  <c r="S30" i="34"/>
  <c r="AA30" i="34"/>
  <c r="AB38" i="40"/>
  <c r="U38" i="40"/>
  <c r="AA27" i="37"/>
  <c r="S27" i="37"/>
  <c r="AC12" i="36"/>
  <c r="W12" i="36"/>
  <c r="AC31" i="21"/>
  <c r="W31" i="21"/>
  <c r="AZ553" i="3"/>
  <c r="AB31" i="21"/>
  <c r="U31" i="21"/>
  <c r="AZ170" i="3"/>
  <c r="AZ169" i="3"/>
  <c r="AZ284" i="3"/>
  <c r="AZ86" i="3"/>
  <c r="AZ453" i="3"/>
  <c r="AC39" i="37"/>
  <c r="W39" i="37"/>
  <c r="AB9" i="33"/>
  <c r="U9" i="33"/>
  <c r="AA26" i="33"/>
  <c r="S26" i="33"/>
  <c r="AA13" i="40"/>
  <c r="S13" i="40"/>
  <c r="AC9" i="33"/>
  <c r="W9" i="33"/>
  <c r="U27" i="37"/>
  <c r="AB27" i="37"/>
  <c r="AA31" i="21"/>
  <c r="S31" i="21"/>
  <c r="U12" i="35"/>
  <c r="AB12" i="35"/>
  <c r="AZ87" i="3"/>
  <c r="AZ113" i="3"/>
  <c r="AZ142" i="3"/>
  <c r="AB12" i="33"/>
  <c r="AZ367" i="3"/>
  <c r="AZ126" i="3"/>
  <c r="AZ283" i="3"/>
  <c r="AZ237" i="3"/>
  <c r="AZ491" i="3"/>
  <c r="AZ451" i="3"/>
  <c r="U9" i="34"/>
  <c r="AB9" i="34"/>
  <c r="AC26" i="33"/>
  <c r="W26" i="33"/>
  <c r="AB13" i="21"/>
  <c r="U13" i="21"/>
  <c r="U44" i="21"/>
  <c r="AB44" i="21"/>
  <c r="AB39" i="37"/>
  <c r="U39" i="37"/>
  <c r="AB30" i="34"/>
  <c r="U30" i="34"/>
  <c r="C30" i="69"/>
  <c r="AZ81" i="3"/>
  <c r="AZ44" i="3"/>
  <c r="AZ165" i="3"/>
  <c r="AZ300" i="3"/>
  <c r="AZ276" i="3"/>
  <c r="AZ475" i="3"/>
  <c r="AC16" i="36"/>
  <c r="AZ61" i="3"/>
  <c r="AZ162" i="3"/>
  <c r="AZ223" i="3"/>
  <c r="AZ125" i="3"/>
  <c r="AZ280" i="3"/>
  <c r="AZ217" i="3"/>
  <c r="AZ461" i="3"/>
  <c r="AZ519" i="3"/>
  <c r="AZ579" i="3"/>
  <c r="W44" i="21"/>
  <c r="AZ515" i="3"/>
  <c r="AC9" i="34"/>
  <c r="W9" i="34"/>
  <c r="D121" i="9"/>
  <c r="D7" i="52" s="1"/>
  <c r="D6" i="52"/>
  <c r="S18" i="36"/>
  <c r="U9" i="36"/>
  <c r="K16" i="1"/>
  <c r="P6" i="1"/>
  <c r="C13" i="12" s="1"/>
  <c r="H16" i="1"/>
  <c r="C6" i="67"/>
  <c r="C32" i="67" s="1"/>
  <c r="F31" i="67"/>
  <c r="C27" i="67"/>
  <c r="F66" i="67"/>
  <c r="F68" i="67"/>
  <c r="F71" i="67"/>
  <c r="D83" i="71"/>
  <c r="C82" i="71"/>
  <c r="D82" i="71" s="1"/>
  <c r="AZ59" i="3"/>
  <c r="C26" i="71"/>
  <c r="D26" i="71" s="1"/>
  <c r="D27" i="71"/>
  <c r="N65" i="71"/>
  <c r="N66" i="71"/>
  <c r="AZ55" i="3"/>
  <c r="AZ197" i="3"/>
  <c r="AZ249" i="3"/>
  <c r="C56" i="71"/>
  <c r="D55" i="71"/>
  <c r="B19" i="71"/>
  <c r="B18" i="71" s="1"/>
  <c r="B17" i="71" s="1"/>
  <c r="B16" i="71" s="1"/>
  <c r="S16" i="71" s="1"/>
  <c r="S20" i="71"/>
  <c r="C52" i="71"/>
  <c r="D51" i="71"/>
  <c r="AZ190" i="3"/>
  <c r="AZ271" i="3"/>
  <c r="AZ243" i="3"/>
  <c r="AZ210" i="3"/>
  <c r="AZ441" i="3"/>
  <c r="AZ405" i="3"/>
  <c r="AZ483" i="3"/>
  <c r="AZ421" i="3"/>
  <c r="D67" i="71"/>
  <c r="C66" i="71"/>
  <c r="O67" i="71"/>
  <c r="U23" i="35"/>
  <c r="AB23" i="35"/>
  <c r="U45" i="39"/>
  <c r="AB45" i="39"/>
  <c r="U13" i="35"/>
  <c r="AB13" i="35"/>
  <c r="AA46" i="33"/>
  <c r="S46" i="33"/>
  <c r="AC12" i="33"/>
  <c r="W12" i="33"/>
  <c r="S25" i="36"/>
  <c r="AA25" i="36"/>
  <c r="AB12" i="40"/>
  <c r="U12" i="40"/>
  <c r="AB44" i="39"/>
  <c r="U44" i="39"/>
  <c r="J6" i="67"/>
  <c r="J18" i="67" s="1"/>
  <c r="C40" i="71"/>
  <c r="D39" i="71"/>
  <c r="AZ27" i="3"/>
  <c r="D23" i="71"/>
  <c r="C22" i="71"/>
  <c r="AZ238" i="3"/>
  <c r="AZ457" i="3"/>
  <c r="AA38" i="40"/>
  <c r="S38" i="40"/>
  <c r="U46" i="33"/>
  <c r="AB46" i="33"/>
  <c r="AB25" i="36"/>
  <c r="U25" i="36"/>
  <c r="W12" i="40"/>
  <c r="AC12" i="40"/>
  <c r="AA33" i="40"/>
  <c r="S33" i="40"/>
  <c r="AZ111" i="3"/>
  <c r="C70" i="71"/>
  <c r="D70" i="71" s="1"/>
  <c r="D71" i="71"/>
  <c r="D75" i="71"/>
  <c r="C74" i="71"/>
  <c r="D74" i="71" s="1"/>
  <c r="AB24" i="36"/>
  <c r="U24" i="36"/>
  <c r="AC9" i="36"/>
  <c r="W9" i="36"/>
  <c r="U45" i="34"/>
  <c r="AB45" i="34"/>
  <c r="S30" i="33"/>
  <c r="AA30" i="33"/>
  <c r="U39" i="40"/>
  <c r="AB39" i="40"/>
  <c r="W33" i="40"/>
  <c r="AC33" i="40"/>
  <c r="G5" i="3"/>
  <c r="B3" i="3" s="1"/>
  <c r="E212" i="3" s="1"/>
  <c r="D79" i="71"/>
  <c r="C78" i="71"/>
  <c r="D78" i="71" s="1"/>
  <c r="AZ41" i="3"/>
  <c r="AZ31" i="3"/>
  <c r="AZ25" i="3"/>
  <c r="AZ263" i="3"/>
  <c r="AC24" i="36"/>
  <c r="W24" i="36"/>
  <c r="W45" i="34"/>
  <c r="AC45" i="34"/>
  <c r="AC30" i="33"/>
  <c r="W30" i="33"/>
  <c r="AC39" i="40"/>
  <c r="W39" i="40"/>
  <c r="AA44" i="39"/>
  <c r="S44" i="39"/>
  <c r="G16" i="1"/>
  <c r="F10" i="39" s="1"/>
  <c r="AA10" i="39" s="1"/>
  <c r="J7" i="37"/>
  <c r="W7" i="37" s="1"/>
  <c r="K1" i="73"/>
  <c r="E510" i="3"/>
  <c r="E536" i="3"/>
  <c r="E199" i="3"/>
  <c r="E575" i="3"/>
  <c r="R6" i="3"/>
  <c r="E442" i="3"/>
  <c r="E541" i="3"/>
  <c r="E449" i="3"/>
  <c r="I3" i="6"/>
  <c r="E554" i="3"/>
  <c r="E435" i="3"/>
  <c r="E417" i="3"/>
  <c r="E56" i="3"/>
  <c r="E95" i="3"/>
  <c r="E192" i="3"/>
  <c r="E241" i="3"/>
  <c r="E363" i="3"/>
  <c r="E389" i="3"/>
  <c r="E76" i="3"/>
  <c r="E409" i="3"/>
  <c r="E425" i="3"/>
  <c r="E64" i="3"/>
  <c r="E103" i="3"/>
  <c r="E267" i="3"/>
  <c r="E300" i="3"/>
  <c r="E310" i="3"/>
  <c r="E23" i="3"/>
  <c r="E67" i="3"/>
  <c r="E144" i="3"/>
  <c r="E233" i="3"/>
  <c r="E381" i="3"/>
  <c r="E63" i="3"/>
  <c r="E264" i="3"/>
  <c r="E309" i="3"/>
  <c r="E21" i="3"/>
  <c r="E198" i="3"/>
  <c r="E332" i="3"/>
  <c r="AL6" i="3"/>
  <c r="E75" i="3"/>
  <c r="E18" i="3"/>
  <c r="E129" i="3"/>
  <c r="E235" i="3"/>
  <c r="E522" i="3"/>
  <c r="E34" i="3"/>
  <c r="E251" i="3"/>
  <c r="E102" i="3"/>
  <c r="E287" i="3"/>
  <c r="E22" i="3"/>
  <c r="E140" i="3"/>
  <c r="E173" i="3"/>
  <c r="E534" i="3"/>
  <c r="E405" i="3"/>
  <c r="E469" i="3"/>
  <c r="E408" i="3"/>
  <c r="E360" i="3"/>
  <c r="E497" i="3"/>
  <c r="E452" i="3"/>
  <c r="E420" i="3"/>
  <c r="E104"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F7" i="36"/>
  <c r="AA7" i="36" s="1"/>
  <c r="H7" i="36"/>
  <c r="AB7" i="36" s="1"/>
  <c r="E94" i="3"/>
  <c r="E131" i="3"/>
  <c r="E142" i="3"/>
  <c r="E118" i="3"/>
  <c r="E369" i="3"/>
  <c r="E248" i="3"/>
  <c r="AA9" i="36"/>
  <c r="S9" i="36"/>
  <c r="AA34" i="35"/>
  <c r="S34" i="35"/>
  <c r="E15" i="71"/>
  <c r="E14" i="71" s="1"/>
  <c r="E13" i="71" s="1"/>
  <c r="E12" i="71" s="1"/>
  <c r="V16" i="71"/>
  <c r="E139" i="3"/>
  <c r="E378" i="3"/>
  <c r="S40" i="40"/>
  <c r="AA40" i="40"/>
  <c r="AC34" i="35"/>
  <c r="W34" i="35"/>
  <c r="E61" i="43"/>
  <c r="B59" i="43" s="1"/>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59" i="67"/>
  <c r="H7" i="37"/>
  <c r="AB7" i="37" s="1"/>
  <c r="T42" i="37" s="1"/>
  <c r="G42" i="37" s="1"/>
  <c r="H7" i="33"/>
  <c r="J7" i="33"/>
  <c r="D65" i="40"/>
  <c r="E63" i="40"/>
  <c r="F48" i="35"/>
  <c r="AC7" i="37"/>
  <c r="F7" i="33"/>
  <c r="E58" i="21"/>
  <c r="AC7" i="36"/>
  <c r="W7" i="36"/>
  <c r="F7" i="37"/>
  <c r="M17" i="67"/>
  <c r="P28" i="43"/>
  <c r="B66" i="40" s="1"/>
  <c r="P25" i="43"/>
  <c r="C49" i="67"/>
  <c r="P29" i="43"/>
  <c r="P27" i="43"/>
  <c r="B70" i="39" s="1"/>
  <c r="C49" i="15"/>
  <c r="J18" i="15"/>
  <c r="C32" i="9"/>
  <c r="Q60" i="67"/>
  <c r="Q73" i="67"/>
  <c r="M11" i="67"/>
  <c r="J10" i="67" s="1"/>
  <c r="F11" i="15"/>
  <c r="M11" i="15"/>
  <c r="J10" i="15" s="1"/>
  <c r="F11" i="67"/>
  <c r="F1" i="15"/>
  <c r="Q52" i="15"/>
  <c r="F1" i="67"/>
  <c r="Q52" i="67"/>
  <c r="Q61" i="67"/>
  <c r="Q74" i="67"/>
  <c r="AE11" i="1"/>
  <c r="AE6" i="1"/>
  <c r="AE9" i="1"/>
  <c r="F27" i="68"/>
  <c r="AE7" i="1"/>
  <c r="AE8" i="1"/>
  <c r="AE12" i="1"/>
  <c r="AE10" i="1"/>
  <c r="G1" i="73"/>
  <c r="C16" i="15"/>
  <c r="F41" i="67"/>
  <c r="C16" i="67"/>
  <c r="J5" i="15" l="1"/>
  <c r="J24" i="15" s="1"/>
  <c r="M17" i="15"/>
  <c r="Q61" i="15"/>
  <c r="Q73" i="15"/>
  <c r="AZ5" i="3"/>
  <c r="T32" i="71"/>
  <c r="D32" i="71"/>
  <c r="F67" i="39"/>
  <c r="G67" i="39" s="1"/>
  <c r="B15" i="71"/>
  <c r="B14" i="71" s="1"/>
  <c r="B13" i="71" s="1"/>
  <c r="B12" i="71" s="1"/>
  <c r="S12" i="71" s="1"/>
  <c r="U7" i="36"/>
  <c r="C28" i="43"/>
  <c r="T16" i="43" s="1"/>
  <c r="V16" i="43" s="1"/>
  <c r="S7" i="36"/>
  <c r="J10" i="39"/>
  <c r="W10" i="39" s="1"/>
  <c r="S10" i="39"/>
  <c r="H10" i="39"/>
  <c r="U10" i="39" s="1"/>
  <c r="J5" i="67"/>
  <c r="J24" i="67" s="1"/>
  <c r="H10" i="40"/>
  <c r="AB10" i="40" s="1"/>
  <c r="J10" i="40"/>
  <c r="F10" i="40"/>
  <c r="S10" i="40" s="1"/>
  <c r="AY6" i="3"/>
  <c r="E3" i="6"/>
  <c r="D3" i="33" s="1"/>
  <c r="D22" i="71"/>
  <c r="C21" i="71"/>
  <c r="T40" i="71"/>
  <c r="D40" i="71"/>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T52" i="71"/>
  <c r="D52" i="71"/>
  <c r="D56" i="71"/>
  <c r="T56" i="71"/>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O65" i="71"/>
  <c r="D66" i="71"/>
  <c r="O66" i="71"/>
  <c r="B40" i="1"/>
  <c r="L36" i="43" s="1"/>
  <c r="L37" i="43" s="1"/>
  <c r="V42" i="37"/>
  <c r="I42" i="37" s="1"/>
  <c r="I46" i="37" s="1"/>
  <c r="J46" i="37" s="1"/>
  <c r="B11" i="71"/>
  <c r="B10" i="71" s="1"/>
  <c r="B9" i="71" s="1"/>
  <c r="B8" i="71" s="1"/>
  <c r="B7" i="71" s="1"/>
  <c r="B6" i="71" s="1"/>
  <c r="B5" i="71" s="1"/>
  <c r="E65" i="39"/>
  <c r="E11" i="71"/>
  <c r="E10" i="71" s="1"/>
  <c r="E9" i="71" s="1"/>
  <c r="E8" i="71" s="1"/>
  <c r="E7" i="71" s="1"/>
  <c r="E6" i="71" s="1"/>
  <c r="E5" i="71" s="1"/>
  <c r="V12" i="71"/>
  <c r="AC7" i="34"/>
  <c r="V49" i="34" s="1"/>
  <c r="I49" i="34" s="1"/>
  <c r="U7" i="34"/>
  <c r="AA7" i="34"/>
  <c r="R49" i="34" s="1"/>
  <c r="R50" i="34" s="1"/>
  <c r="AG11" i="1"/>
  <c r="AG9" i="1"/>
  <c r="AG10" i="1"/>
  <c r="AG8" i="1"/>
  <c r="AG12" i="1"/>
  <c r="AG7" i="1"/>
  <c r="AG6" i="1"/>
  <c r="F69" i="67"/>
  <c r="C47" i="11"/>
  <c r="D45" i="11" s="1"/>
  <c r="T15" i="43"/>
  <c r="V15" i="43" s="1"/>
  <c r="T13" i="43"/>
  <c r="V13" i="43" s="1"/>
  <c r="T11" i="43"/>
  <c r="V11" i="43" s="1"/>
  <c r="T9" i="43"/>
  <c r="V9" i="43" s="1"/>
  <c r="T7" i="43"/>
  <c r="V7" i="43" s="1"/>
  <c r="T12" i="43"/>
  <c r="V12" i="43" s="1"/>
  <c r="T10" i="43"/>
  <c r="V10" i="43" s="1"/>
  <c r="T8" i="43"/>
  <c r="V8" i="43" s="1"/>
  <c r="T4" i="43"/>
  <c r="V4" i="43" s="1"/>
  <c r="T3" i="43"/>
  <c r="V3" i="43" s="1"/>
  <c r="T2" i="43"/>
  <c r="V2" i="43" s="1"/>
  <c r="T6" i="43"/>
  <c r="V6" i="43" s="1"/>
  <c r="T5" i="43"/>
  <c r="V5" i="43" s="1"/>
  <c r="C40" i="43"/>
  <c r="K21" i="6"/>
  <c r="S8" i="1" s="1"/>
  <c r="E8" i="70" s="1"/>
  <c r="F45" i="68"/>
  <c r="C47" i="68"/>
  <c r="D45" i="68" s="1"/>
  <c r="C29" i="68"/>
  <c r="D27" i="68" s="1"/>
  <c r="K25" i="6"/>
  <c r="K20" i="6"/>
  <c r="K23" i="6"/>
  <c r="K22" i="6"/>
  <c r="E31" i="6"/>
  <c r="K24" i="6"/>
  <c r="K19" i="6"/>
  <c r="S6" i="1" s="1"/>
  <c r="O14" i="1"/>
  <c r="O16" i="1" s="1"/>
  <c r="M16" i="1"/>
  <c r="AY131" i="3"/>
  <c r="AY281" i="3"/>
  <c r="AY276" i="3"/>
  <c r="AY473" i="3"/>
  <c r="AY470" i="3"/>
  <c r="AY460" i="3"/>
  <c r="AY433" i="3"/>
  <c r="AY553" i="3"/>
  <c r="AY97" i="3"/>
  <c r="AY299" i="3"/>
  <c r="AY283" i="3"/>
  <c r="AY294" i="3"/>
  <c r="AY290" i="3"/>
  <c r="AY259" i="3"/>
  <c r="AY274" i="3"/>
  <c r="AY561" i="3"/>
  <c r="AY534" i="3"/>
  <c r="AY510" i="3"/>
  <c r="AY244" i="3"/>
  <c r="AY390" i="3"/>
  <c r="BO6" i="3"/>
  <c r="AY365" i="3"/>
  <c r="BS6" i="3"/>
  <c r="BI6" i="3"/>
  <c r="AY559" i="3"/>
  <c r="AY508" i="3"/>
  <c r="AY532" i="3"/>
  <c r="AY116" i="3"/>
  <c r="AY557" i="3"/>
  <c r="AY573" i="3"/>
  <c r="AY384" i="3"/>
  <c r="AY373" i="3"/>
  <c r="AY368" i="3"/>
  <c r="AY520" i="3"/>
  <c r="AY552" i="3"/>
  <c r="AY543" i="3"/>
  <c r="AY364" i="3"/>
  <c r="AY344" i="3"/>
  <c r="AY328" i="3"/>
  <c r="AY14" i="3"/>
  <c r="D3" i="6"/>
  <c r="AY531" i="3"/>
  <c r="AY249" i="3"/>
  <c r="AY221" i="3"/>
  <c r="AY378" i="3"/>
  <c r="AY184" i="3"/>
  <c r="AY179" i="3"/>
  <c r="AY148" i="3"/>
  <c r="AY459" i="3"/>
  <c r="AY504" i="3"/>
  <c r="AY586" i="3"/>
  <c r="AY450" i="3"/>
  <c r="AY399" i="3"/>
  <c r="AY17" i="3"/>
  <c r="AY383" i="3"/>
  <c r="AY528" i="3"/>
  <c r="AY576" i="3"/>
  <c r="AY15" i="3"/>
  <c r="AY583" i="3"/>
  <c r="AY567" i="3"/>
  <c r="AY415" i="3"/>
  <c r="AY551" i="3"/>
  <c r="AY545" i="3"/>
  <c r="AY547" i="3"/>
  <c r="AY568" i="3"/>
  <c r="AY107" i="3"/>
  <c r="AY566" i="3"/>
  <c r="D14" i="12"/>
  <c r="D3" i="34"/>
  <c r="C39" i="43"/>
  <c r="C42" i="43"/>
  <c r="E42" i="43" s="1"/>
  <c r="C38" i="43"/>
  <c r="AC10" i="39"/>
  <c r="U7" i="37"/>
  <c r="F69" i="39"/>
  <c r="I53" i="34"/>
  <c r="J53" i="34" s="1"/>
  <c r="F58" i="21"/>
  <c r="F63" i="40"/>
  <c r="E65" i="40"/>
  <c r="W7" i="33"/>
  <c r="AC7" i="33"/>
  <c r="V48" i="33" s="1"/>
  <c r="I48" i="33" s="1"/>
  <c r="AA7" i="37"/>
  <c r="R42" i="37" s="1"/>
  <c r="S7" i="37"/>
  <c r="S7" i="33"/>
  <c r="AA7" i="33"/>
  <c r="R48" i="33" s="1"/>
  <c r="G53" i="34"/>
  <c r="H53" i="34" s="1"/>
  <c r="G54" i="34"/>
  <c r="H54" i="34" s="1"/>
  <c r="G46" i="37"/>
  <c r="H46" i="37" s="1"/>
  <c r="G48" i="35"/>
  <c r="U7" i="33"/>
  <c r="AB7" i="33"/>
  <c r="T48" i="33" s="1"/>
  <c r="G48" i="33" s="1"/>
  <c r="C53" i="67"/>
  <c r="C48" i="67" s="1"/>
  <c r="C10" i="67"/>
  <c r="C5" i="67" s="1"/>
  <c r="C38" i="67" s="1"/>
  <c r="C53" i="15"/>
  <c r="C48" i="15" s="1"/>
  <c r="C66" i="15" s="1"/>
  <c r="C10" i="15"/>
  <c r="C5" i="15" s="1"/>
  <c r="C38" i="15" s="1"/>
  <c r="C35" i="9"/>
  <c r="M27" i="67"/>
  <c r="F41" i="15"/>
  <c r="M27" i="15"/>
  <c r="AY144" i="3" l="1"/>
  <c r="AY111" i="3"/>
  <c r="AY303" i="3"/>
  <c r="AY204" i="3"/>
  <c r="AY409" i="3"/>
  <c r="AY358" i="3"/>
  <c r="BK6" i="3"/>
  <c r="AY45" i="3"/>
  <c r="AY138" i="3"/>
  <c r="AY231" i="3"/>
  <c r="AY554" i="3"/>
  <c r="AY177" i="3"/>
  <c r="AY349" i="3"/>
  <c r="AY446" i="3"/>
  <c r="BF6" i="3"/>
  <c r="AY163" i="3"/>
  <c r="AY155" i="3"/>
  <c r="AY58" i="3"/>
  <c r="AY103" i="3"/>
  <c r="AY284" i="3"/>
  <c r="AY529" i="3"/>
  <c r="AY327" i="3"/>
  <c r="AY544" i="3"/>
  <c r="AY76" i="3"/>
  <c r="AY165" i="3"/>
  <c r="AY262" i="3"/>
  <c r="BH6" i="3"/>
  <c r="AY145" i="3"/>
  <c r="AY333" i="3"/>
  <c r="AY430" i="3"/>
  <c r="AY571" i="3"/>
  <c r="AY75" i="3"/>
  <c r="AY355" i="3"/>
  <c r="AY53" i="3"/>
  <c r="AY239" i="3"/>
  <c r="AY150" i="3"/>
  <c r="AY454" i="3"/>
  <c r="AY556" i="3"/>
  <c r="AY147" i="3"/>
  <c r="AY343" i="3"/>
  <c r="AY84" i="3"/>
  <c r="AY270" i="3"/>
  <c r="AY161" i="3"/>
  <c r="AY438" i="3"/>
  <c r="AY514" i="3"/>
  <c r="AY169" i="3"/>
  <c r="AY345" i="3"/>
  <c r="AY442" i="3"/>
  <c r="AY502" i="3"/>
  <c r="AY78" i="3"/>
  <c r="AY264" i="3"/>
  <c r="AY424" i="3"/>
  <c r="AY70" i="3"/>
  <c r="AY256" i="3"/>
  <c r="AY416" i="3"/>
  <c r="AY122" i="3"/>
  <c r="AY418" i="3"/>
  <c r="AY30" i="3"/>
  <c r="AY421" i="3"/>
  <c r="AY208" i="3"/>
  <c r="AY174" i="3"/>
  <c r="AY445" i="3"/>
  <c r="AY79" i="3"/>
  <c r="AY451" i="3"/>
  <c r="AY257" i="3"/>
  <c r="AY124" i="3"/>
  <c r="AY168" i="3"/>
  <c r="AY67" i="3"/>
  <c r="AY252" i="3"/>
  <c r="AY106" i="3"/>
  <c r="AY342" i="3"/>
  <c r="AY569" i="3"/>
  <c r="AY60" i="3"/>
  <c r="AY149" i="3"/>
  <c r="AY246" i="3"/>
  <c r="BJ6" i="3"/>
  <c r="AY114" i="3"/>
  <c r="AY317" i="3"/>
  <c r="AY414" i="3"/>
  <c r="AY546" i="3"/>
  <c r="AY237" i="3"/>
  <c r="AY311" i="3"/>
  <c r="AY68" i="3"/>
  <c r="AY254" i="3"/>
  <c r="AY130" i="3"/>
  <c r="AY422" i="3"/>
  <c r="AY496" i="3"/>
  <c r="AY220" i="3"/>
  <c r="AY326" i="3"/>
  <c r="AY52" i="3"/>
  <c r="AY238" i="3"/>
  <c r="AY121" i="3"/>
  <c r="AY406" i="3"/>
  <c r="AY582" i="3"/>
  <c r="AY137" i="3"/>
  <c r="AY329" i="3"/>
  <c r="AY426" i="3"/>
  <c r="AY565" i="3"/>
  <c r="AY46" i="3"/>
  <c r="AY232" i="3"/>
  <c r="AY437" i="3"/>
  <c r="AY38" i="3"/>
  <c r="AY224" i="3"/>
  <c r="AY429" i="3"/>
  <c r="AY298" i="3"/>
  <c r="AY431" i="3"/>
  <c r="AY203" i="3"/>
  <c r="AY13" i="3"/>
  <c r="AY375" i="3"/>
  <c r="AY153" i="3"/>
  <c r="AY434" i="3"/>
  <c r="AY62" i="3"/>
  <c r="AY408" i="3"/>
  <c r="AY240" i="3"/>
  <c r="AY115" i="3"/>
  <c r="AY297" i="3"/>
  <c r="AY50" i="3"/>
  <c r="AY209" i="3"/>
  <c r="AY26" i="3"/>
  <c r="AY310" i="3"/>
  <c r="AY533" i="3"/>
  <c r="AY44" i="3"/>
  <c r="AY133" i="3"/>
  <c r="AY230" i="3"/>
  <c r="AY109" i="3"/>
  <c r="AY295" i="3"/>
  <c r="AY348" i="3"/>
  <c r="AY398" i="3"/>
  <c r="AY495" i="3"/>
  <c r="AY387" i="3"/>
  <c r="AY481" i="3"/>
  <c r="AY36" i="3"/>
  <c r="AY222" i="3"/>
  <c r="AY279" i="3"/>
  <c r="AY435" i="3"/>
  <c r="AY577" i="3"/>
  <c r="AY350" i="3"/>
  <c r="AY478" i="3"/>
  <c r="AY20" i="3"/>
  <c r="AY227" i="3"/>
  <c r="AY275" i="3"/>
  <c r="AY419" i="3"/>
  <c r="AY519" i="3"/>
  <c r="AY129" i="3"/>
  <c r="AY313" i="3"/>
  <c r="AY59" i="3"/>
  <c r="AY371" i="3"/>
  <c r="AY319" i="3"/>
  <c r="AY217" i="3"/>
  <c r="BE6" i="3"/>
  <c r="AY185" i="3"/>
  <c r="AY219" i="3"/>
  <c r="AY202" i="3"/>
  <c r="AY316" i="3"/>
  <c r="AY585" i="3"/>
  <c r="AY486" i="3"/>
  <c r="AY574" i="3"/>
  <c r="AY302" i="3"/>
  <c r="AY226" i="3"/>
  <c r="AY527" i="3"/>
  <c r="AY31" i="3"/>
  <c r="AY417" i="3"/>
  <c r="AY141" i="3"/>
  <c r="AY29" i="3"/>
  <c r="AY580" i="3"/>
  <c r="AY48" i="3"/>
  <c r="AY369" i="3"/>
  <c r="AY439" i="3"/>
  <c r="AY570" i="3"/>
  <c r="AY135" i="3"/>
  <c r="AY469" i="3"/>
  <c r="AY55" i="3"/>
  <c r="AY391" i="3"/>
  <c r="AY511" i="3"/>
  <c r="AY336" i="3"/>
  <c r="AY563" i="3"/>
  <c r="AY440" i="3"/>
  <c r="AY322" i="3"/>
  <c r="AY396" i="3"/>
  <c r="AY515" i="3"/>
  <c r="AY359" i="3"/>
  <c r="AY293" i="3"/>
  <c r="AY23" i="3"/>
  <c r="AY268" i="3"/>
  <c r="AY183" i="3"/>
  <c r="AY300" i="3"/>
  <c r="AY401" i="3"/>
  <c r="AY33" i="3"/>
  <c r="AY278" i="3"/>
  <c r="AY73" i="3"/>
  <c r="AY388" i="3"/>
  <c r="AY411" i="3"/>
  <c r="AY18" i="3"/>
  <c r="AY447" i="3"/>
  <c r="AY146" i="3"/>
  <c r="AY57" i="3"/>
  <c r="AY403" i="3"/>
  <c r="AY49" i="3"/>
  <c r="AY229" i="3"/>
  <c r="AY198" i="3"/>
  <c r="AY507" i="3"/>
  <c r="AY483" i="3"/>
  <c r="AY101" i="3"/>
  <c r="AY266" i="3"/>
  <c r="AY468" i="3"/>
  <c r="AY524" i="3"/>
  <c r="AY192" i="3"/>
  <c r="AY362" i="3"/>
  <c r="BL6" i="3"/>
  <c r="AY277" i="3"/>
  <c r="AY448" i="3"/>
  <c r="AY207" i="3"/>
  <c r="AY236" i="3"/>
  <c r="AY123" i="3"/>
  <c r="AY245" i="3"/>
  <c r="AY513" i="3"/>
  <c r="AY206" i="3"/>
  <c r="AY263" i="3"/>
  <c r="AY41" i="3"/>
  <c r="AY377" i="3"/>
  <c r="AY581" i="3"/>
  <c r="AY171" i="3"/>
  <c r="AY404" i="3"/>
  <c r="AY157" i="3"/>
  <c r="AY40" i="3"/>
  <c r="AY525" i="3"/>
  <c r="AY82" i="3"/>
  <c r="AY212" i="3"/>
  <c r="AY193" i="3"/>
  <c r="BB6" i="3"/>
  <c r="AY480" i="3"/>
  <c r="AY96" i="3"/>
  <c r="AY234" i="3"/>
  <c r="AY453" i="3"/>
  <c r="AY509" i="3"/>
  <c r="AY187" i="3"/>
  <c r="AY331" i="3"/>
  <c r="AY587" i="3"/>
  <c r="AY273" i="3"/>
  <c r="AY550" i="3"/>
  <c r="AY385" i="3"/>
  <c r="AY537" i="3"/>
  <c r="AY347" i="3"/>
  <c r="AY288" i="3"/>
  <c r="AY113" i="3"/>
  <c r="AY505" i="3"/>
  <c r="AY265" i="3"/>
  <c r="AY200" i="3"/>
  <c r="BT6" i="3"/>
  <c r="AY176" i="3"/>
  <c r="AY225" i="3"/>
  <c r="AY261" i="3"/>
  <c r="AY260" i="3"/>
  <c r="AY190" i="3"/>
  <c r="AY247" i="3"/>
  <c r="AY56" i="3"/>
  <c r="AY353" i="3"/>
  <c r="BQ6" i="3"/>
  <c r="AY90" i="3"/>
  <c r="AY535" i="3"/>
  <c r="AY186" i="3"/>
  <c r="AY516" i="3"/>
  <c r="AY191" i="3"/>
  <c r="AY379" i="3"/>
  <c r="AY162" i="3"/>
  <c r="AY88" i="3"/>
  <c r="AY65" i="3"/>
  <c r="AY223" i="3"/>
  <c r="AY458" i="3"/>
  <c r="AY542" i="3"/>
  <c r="AY346" i="3"/>
  <c r="AY91" i="3"/>
  <c r="AY241" i="3"/>
  <c r="AY352" i="3"/>
  <c r="AY530" i="3"/>
  <c r="AY272" i="3"/>
  <c r="AY538" i="3"/>
  <c r="AY164" i="3"/>
  <c r="AY95" i="3"/>
  <c r="AY201" i="3"/>
  <c r="AY24" i="3"/>
  <c r="BM6" i="3"/>
  <c r="AY562" i="3"/>
  <c r="AY243" i="3"/>
  <c r="AY132" i="3"/>
  <c r="AY173" i="3"/>
  <c r="AY503" i="3"/>
  <c r="AY380" i="3"/>
  <c r="BR6" i="3"/>
  <c r="AY314" i="3"/>
  <c r="AY213" i="3"/>
  <c r="AY321" i="3"/>
  <c r="AY482" i="3"/>
  <c r="AY250" i="3"/>
  <c r="AY394" i="3"/>
  <c r="AY549" i="3"/>
  <c r="AY126" i="3"/>
  <c r="AY449" i="3"/>
  <c r="AY156" i="3"/>
  <c r="BD6" i="3"/>
  <c r="AY330" i="3"/>
  <c r="AY267" i="3"/>
  <c r="AY248" i="3"/>
  <c r="AY382" i="3"/>
  <c r="AY363" i="3"/>
  <c r="AY228" i="3"/>
  <c r="AY541" i="3"/>
  <c r="AY214" i="3"/>
  <c r="AY332" i="3"/>
  <c r="AY334" i="3"/>
  <c r="AY117" i="3"/>
  <c r="BN6" i="3"/>
  <c r="AY436" i="3"/>
  <c r="AY72" i="3"/>
  <c r="AY80" i="3"/>
  <c r="AY410" i="3"/>
  <c r="AY167" i="3"/>
  <c r="AY86" i="3"/>
  <c r="BC6" i="3"/>
  <c r="AY548" i="3"/>
  <c r="AY339" i="3"/>
  <c r="AY522" i="3"/>
  <c r="AY143" i="3"/>
  <c r="AY500" i="3"/>
  <c r="AY413" i="3"/>
  <c r="AY461" i="3"/>
  <c r="AY280" i="3"/>
  <c r="AY251" i="3"/>
  <c r="AY255" i="3"/>
  <c r="AY518" i="3"/>
  <c r="AY427" i="3"/>
  <c r="AY420" i="3"/>
  <c r="AY476" i="3"/>
  <c r="AY432" i="3"/>
  <c r="AY233" i="3"/>
  <c r="AY492" i="3"/>
  <c r="AY512" i="3"/>
  <c r="AY285" i="3"/>
  <c r="AY282" i="3"/>
  <c r="AY572" i="3"/>
  <c r="AY286" i="3"/>
  <c r="AY497" i="3"/>
  <c r="AY464" i="3"/>
  <c r="AY211" i="3"/>
  <c r="AY199" i="3"/>
  <c r="AY197" i="3"/>
  <c r="AY452" i="3"/>
  <c r="AY74" i="3"/>
  <c r="AY188" i="3"/>
  <c r="AY443" i="3"/>
  <c r="AY479" i="3"/>
  <c r="AY296" i="3"/>
  <c r="AY338" i="3"/>
  <c r="AY127" i="3"/>
  <c r="AY287" i="3"/>
  <c r="AY291" i="3"/>
  <c r="AY271" i="3"/>
  <c r="AY526" i="3"/>
  <c r="AY457" i="3"/>
  <c r="AY154" i="3"/>
  <c r="AY463" i="3"/>
  <c r="AY289" i="3"/>
  <c r="AY42" i="3"/>
  <c r="AY477" i="3"/>
  <c r="AY320" i="3"/>
  <c r="AY120" i="3"/>
  <c r="AY323" i="3"/>
  <c r="AY35" i="3"/>
  <c r="AY158" i="3"/>
  <c r="AY134" i="3"/>
  <c r="AY308" i="3"/>
  <c r="AY425" i="3"/>
  <c r="AY472" i="3"/>
  <c r="AY360" i="3"/>
  <c r="AY465" i="3"/>
  <c r="AY34" i="3"/>
  <c r="D3" i="37"/>
  <c r="AY151" i="3"/>
  <c r="AY175" i="3"/>
  <c r="AY235" i="3"/>
  <c r="AY558" i="3"/>
  <c r="AY423" i="3"/>
  <c r="AY341" i="3"/>
  <c r="AY489" i="3"/>
  <c r="AY182" i="3"/>
  <c r="AY444" i="3"/>
  <c r="AY357" i="3"/>
  <c r="AY28" i="3"/>
  <c r="AY160" i="3"/>
  <c r="AY66" i="3"/>
  <c r="AY172" i="3"/>
  <c r="AY47" i="3"/>
  <c r="AY100" i="3"/>
  <c r="AY205" i="3"/>
  <c r="E6" i="6"/>
  <c r="C30" i="36" s="1"/>
  <c r="D37" i="11"/>
  <c r="M18" i="9"/>
  <c r="B118" i="9" s="1"/>
  <c r="B1" i="74" s="1"/>
  <c r="B10" i="74" s="1"/>
  <c r="D3" i="21"/>
  <c r="AY521" i="3"/>
  <c r="AY402" i="3"/>
  <c r="AY216" i="3"/>
  <c r="AY490" i="3"/>
  <c r="AY499" i="3"/>
  <c r="AY536" i="3"/>
  <c r="AY43" i="3"/>
  <c r="AY269" i="3"/>
  <c r="AY166" i="3"/>
  <c r="AY125" i="3"/>
  <c r="AY152" i="3"/>
  <c r="AY485" i="3"/>
  <c r="AY306" i="3"/>
  <c r="AY462" i="3"/>
  <c r="AC10" i="40"/>
  <c r="W10" i="40"/>
  <c r="AY315" i="3"/>
  <c r="AY474" i="3"/>
  <c r="AY304" i="3"/>
  <c r="AY560" i="3"/>
  <c r="AY579" i="3"/>
  <c r="AY324" i="3"/>
  <c r="AY467" i="3"/>
  <c r="AY104" i="3"/>
  <c r="AY301" i="3"/>
  <c r="AY136" i="3"/>
  <c r="AY218" i="3"/>
  <c r="AY517" i="3"/>
  <c r="AY407" i="3"/>
  <c r="AY309" i="3"/>
  <c r="AY455" i="3"/>
  <c r="AY178" i="3"/>
  <c r="AY170" i="3"/>
  <c r="G47" i="37"/>
  <c r="H47" i="37" s="1"/>
  <c r="AY307" i="3"/>
  <c r="AY305" i="3"/>
  <c r="AY140" i="3"/>
  <c r="AY354" i="3"/>
  <c r="AY63" i="3"/>
  <c r="AY189" i="3"/>
  <c r="AY69" i="3"/>
  <c r="AY340" i="3"/>
  <c r="AY488" i="3"/>
  <c r="AY372" i="3"/>
  <c r="AY351" i="3"/>
  <c r="AY337" i="3"/>
  <c r="AY195" i="3"/>
  <c r="AY142" i="3"/>
  <c r="AY367" i="3"/>
  <c r="AY405" i="3"/>
  <c r="AY94" i="3"/>
  <c r="AY484" i="3"/>
  <c r="AY194" i="3"/>
  <c r="AY370" i="3"/>
  <c r="AY292" i="3"/>
  <c r="AY325" i="3"/>
  <c r="AY25" i="3"/>
  <c r="AY98" i="3"/>
  <c r="AY475" i="3"/>
  <c r="AY374" i="3"/>
  <c r="AY61" i="3"/>
  <c r="AY395" i="3"/>
  <c r="AY196" i="3"/>
  <c r="AY51" i="3"/>
  <c r="C17" i="4"/>
  <c r="B4" i="52" s="1"/>
  <c r="B43" i="72" s="1"/>
  <c r="AY386" i="3"/>
  <c r="AY19" i="3"/>
  <c r="AY361" i="3"/>
  <c r="AY22" i="3"/>
  <c r="AY110" i="3"/>
  <c r="AY119" i="3"/>
  <c r="AY456" i="3"/>
  <c r="AY99" i="3"/>
  <c r="AY471" i="3"/>
  <c r="AY37" i="3"/>
  <c r="AY215" i="3"/>
  <c r="AY105" i="3"/>
  <c r="AY81" i="3"/>
  <c r="AY356" i="3"/>
  <c r="AY85" i="3"/>
  <c r="AY501" i="3"/>
  <c r="AY491" i="3"/>
  <c r="AY381" i="3"/>
  <c r="AY77" i="3"/>
  <c r="AY180" i="3"/>
  <c r="AY335" i="3"/>
  <c r="AY83" i="3"/>
  <c r="L18" i="9"/>
  <c r="AY54" i="3"/>
  <c r="AY493" i="3"/>
  <c r="AY21" i="3"/>
  <c r="AY39" i="3"/>
  <c r="AY575" i="3"/>
  <c r="AY32" i="3"/>
  <c r="AY128" i="3"/>
  <c r="AY466" i="3"/>
  <c r="BA6" i="3"/>
  <c r="AY487" i="3"/>
  <c r="AY494" i="3"/>
  <c r="AY258" i="3"/>
  <c r="AY539" i="3"/>
  <c r="AY112" i="3"/>
  <c r="AY393" i="3"/>
  <c r="AY89" i="3"/>
  <c r="AY16" i="3"/>
  <c r="AY210" i="3"/>
  <c r="AY397" i="3"/>
  <c r="AY92" i="3"/>
  <c r="AY441" i="3"/>
  <c r="AY366" i="3"/>
  <c r="AY87" i="3"/>
  <c r="AY27" i="3"/>
  <c r="AY389" i="3"/>
  <c r="AY318" i="3"/>
  <c r="AY400" i="3"/>
  <c r="AY506" i="3"/>
  <c r="AY118" i="3"/>
  <c r="AY412" i="3"/>
  <c r="AY139" i="3"/>
  <c r="D19" i="11"/>
  <c r="C19" i="11" s="1"/>
  <c r="AY71" i="3"/>
  <c r="BP6" i="3"/>
  <c r="AY64" i="3"/>
  <c r="AY102" i="3"/>
  <c r="AY564" i="3"/>
  <c r="AY498" i="3"/>
  <c r="AY159" i="3"/>
  <c r="AY376" i="3"/>
  <c r="AY578" i="3"/>
  <c r="AY312" i="3"/>
  <c r="AY584" i="3"/>
  <c r="AY181" i="3"/>
  <c r="AY540" i="3"/>
  <c r="AY523" i="3"/>
  <c r="AY93" i="3"/>
  <c r="AY555" i="3"/>
  <c r="BG6" i="3"/>
  <c r="AY242" i="3"/>
  <c r="AY392" i="3"/>
  <c r="AY108" i="3"/>
  <c r="AY428" i="3"/>
  <c r="AY253" i="3"/>
  <c r="C41" i="43"/>
  <c r="T14" i="43"/>
  <c r="V14" i="43" s="1"/>
  <c r="C37" i="43"/>
  <c r="AA10" i="40"/>
  <c r="AB10" i="39"/>
  <c r="U10" i="40"/>
  <c r="F25" i="12"/>
  <c r="C26" i="12" s="1"/>
  <c r="D25" i="12" s="1"/>
  <c r="D21" i="71"/>
  <c r="C20" i="71"/>
  <c r="F22" i="68"/>
  <c r="F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I54" i="34"/>
  <c r="J54" i="34" s="1"/>
  <c r="G52" i="33"/>
  <c r="H52" i="33" s="1"/>
  <c r="G53" i="33"/>
  <c r="H53" i="33" s="1"/>
  <c r="H48" i="35"/>
  <c r="C49" i="34"/>
  <c r="C50" i="34"/>
  <c r="R43" i="37"/>
  <c r="E42" i="37"/>
  <c r="G63" i="40"/>
  <c r="F65" i="40"/>
  <c r="G58" i="21"/>
  <c r="C60" i="15"/>
  <c r="C34" i="9"/>
  <c r="C66" i="67"/>
  <c r="C60" i="67"/>
  <c r="D10" i="68"/>
  <c r="C14" i="67"/>
  <c r="C17" i="67"/>
  <c r="C34" i="69"/>
  <c r="D10" i="69"/>
  <c r="C17" i="15"/>
  <c r="H24" i="6" l="1"/>
  <c r="H30" i="36"/>
  <c r="J30" i="36"/>
  <c r="F30" i="36"/>
  <c r="H21" i="6"/>
  <c r="R21" i="6" s="1"/>
  <c r="R8" i="1" s="1"/>
  <c r="D30" i="6"/>
  <c r="C23" i="68"/>
  <c r="C44" i="68"/>
  <c r="D41" i="68" s="1"/>
  <c r="C26" i="68"/>
  <c r="D22" i="68" s="1"/>
  <c r="C44" i="11"/>
  <c r="D41" i="11" s="1"/>
  <c r="H25" i="6"/>
  <c r="E53" i="34"/>
  <c r="F53" i="34" s="1"/>
  <c r="C19" i="71"/>
  <c r="T20" i="71"/>
  <c r="D20" i="71"/>
  <c r="U20" i="71" s="1"/>
  <c r="C26" i="11"/>
  <c r="D22" i="11" s="1"/>
  <c r="C25" i="11"/>
  <c r="C24" i="11"/>
  <c r="C44" i="69"/>
  <c r="D41" i="69" s="1"/>
  <c r="C26" i="69"/>
  <c r="D22" i="69" s="1"/>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D7" i="74"/>
  <c r="C10" i="69"/>
  <c r="C8"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AC30" i="36" l="1"/>
  <c r="V36" i="36" s="1"/>
  <c r="I36" i="36" s="1"/>
  <c r="W30" i="36"/>
  <c r="U30" i="36"/>
  <c r="AB30" i="36"/>
  <c r="T36" i="36" s="1"/>
  <c r="G36" i="36" s="1"/>
  <c r="D31" i="6"/>
  <c r="E2" i="70"/>
  <c r="AA30" i="36"/>
  <c r="R36" i="36" s="1"/>
  <c r="S30" i="36"/>
  <c r="D19" i="71"/>
  <c r="C18"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G3" i="43" s="1"/>
  <c r="I69" i="39"/>
  <c r="J67" i="39"/>
  <c r="I63" i="40"/>
  <c r="H65" i="40"/>
  <c r="I58" i="21"/>
  <c r="J58" i="21" s="1"/>
  <c r="K58" i="21" s="1"/>
  <c r="L58" i="21" s="1"/>
  <c r="M58" i="21" s="1"/>
  <c r="N58" i="21" s="1"/>
  <c r="O58" i="21" s="1"/>
  <c r="H7" i="21" s="1"/>
  <c r="J48" i="35"/>
  <c r="G40" i="36" l="1"/>
  <c r="H40" i="36" s="1"/>
  <c r="G41" i="36"/>
  <c r="H41" i="36" s="1"/>
  <c r="I40" i="36"/>
  <c r="J40" i="36" s="1"/>
  <c r="F26" i="43"/>
  <c r="B116" i="43"/>
  <c r="Z7" i="43"/>
  <c r="J26" i="43"/>
  <c r="N94" i="46"/>
  <c r="E26" i="43"/>
  <c r="H26" i="43"/>
  <c r="G26" i="43"/>
  <c r="N370" i="46"/>
  <c r="R37" i="36"/>
  <c r="E36" i="36"/>
  <c r="I41" i="36" s="1"/>
  <c r="J41" i="36" s="1"/>
  <c r="C17" i="7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I120" i="43" l="1"/>
  <c r="J120" i="43" s="1"/>
  <c r="K120" i="43" s="1"/>
  <c r="L120" i="43" s="1"/>
  <c r="M120" i="43" s="1"/>
  <c r="D120" i="43"/>
  <c r="E120" i="43" s="1"/>
  <c r="F120" i="43" s="1"/>
  <c r="G120" i="43" s="1"/>
  <c r="H120" i="43" s="1"/>
  <c r="I119" i="43"/>
  <c r="J119" i="43" s="1"/>
  <c r="K119" i="43" s="1"/>
  <c r="L119" i="43" s="1"/>
  <c r="M119" i="43" s="1"/>
  <c r="B120" i="43"/>
  <c r="C120" i="43" s="1"/>
  <c r="B118" i="43"/>
  <c r="D121" i="43"/>
  <c r="E121" i="43" s="1"/>
  <c r="F121" i="43" s="1"/>
  <c r="B121" i="43"/>
  <c r="C121" i="43" s="1"/>
  <c r="D122" i="43"/>
  <c r="E122" i="43" s="1"/>
  <c r="F122" i="43" s="1"/>
  <c r="G122" i="43" s="1"/>
  <c r="H122" i="43" s="1"/>
  <c r="D118" i="43"/>
  <c r="E118" i="43" s="1"/>
  <c r="F118" i="43" s="1"/>
  <c r="G118" i="43" s="1"/>
  <c r="H118" i="43" s="1"/>
  <c r="B122" i="43"/>
  <c r="C122" i="43" s="1"/>
  <c r="I122" i="43"/>
  <c r="J122" i="43" s="1"/>
  <c r="K122" i="43" s="1"/>
  <c r="L122" i="43" s="1"/>
  <c r="M122" i="43" s="1"/>
  <c r="I121" i="43"/>
  <c r="J121" i="43" s="1"/>
  <c r="K121" i="43" s="1"/>
  <c r="L121" i="43" s="1"/>
  <c r="M121" i="43" s="1"/>
  <c r="B119" i="43"/>
  <c r="C119" i="43" s="1"/>
  <c r="G121" i="43"/>
  <c r="H121" i="43" s="1"/>
  <c r="I118" i="43"/>
  <c r="J118" i="43" s="1"/>
  <c r="K118" i="43" s="1"/>
  <c r="L118" i="43" s="1"/>
  <c r="M118" i="43" s="1"/>
  <c r="D119" i="43"/>
  <c r="E119" i="43" s="1"/>
  <c r="F119" i="43" s="1"/>
  <c r="G119" i="43" s="1"/>
  <c r="H119" i="43" s="1"/>
  <c r="D26" i="43"/>
  <c r="C25" i="43" s="1"/>
  <c r="E40" i="36"/>
  <c r="F40" i="36" s="1"/>
  <c r="E41" i="36"/>
  <c r="F41" i="36" s="1"/>
  <c r="C36" i="36"/>
  <c r="C2" i="84" s="1"/>
  <c r="C37" i="36"/>
  <c r="C16" i="7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C33" i="43" l="1"/>
  <c r="C118" i="43"/>
  <c r="D116" i="43"/>
  <c r="T16" i="71"/>
  <c r="D16" i="71"/>
  <c r="U16" i="71" s="1"/>
  <c r="C15" i="71"/>
  <c r="E48" i="21"/>
  <c r="E52" i="21" s="1"/>
  <c r="F52" i="21"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F2" i="82" s="1"/>
  <c r="L69" i="39"/>
  <c r="M67" i="39"/>
  <c r="S7" i="35"/>
  <c r="AA7" i="35"/>
  <c r="R38" i="35" s="1"/>
  <c r="C49" i="21"/>
  <c r="C48" i="21"/>
  <c r="G42" i="35"/>
  <c r="H42" i="35" s="1"/>
  <c r="K65" i="40"/>
  <c r="L63" i="40"/>
  <c r="C51" i="69" l="1"/>
  <c r="I42" i="35"/>
  <c r="J42" i="35" s="1"/>
  <c r="E53" i="21"/>
  <c r="F53" i="21" s="1"/>
  <c r="C6" i="69"/>
  <c r="E2" i="82"/>
  <c r="C5" i="82" s="1"/>
  <c r="C3" i="82" s="1"/>
  <c r="C34" i="43"/>
  <c r="E34" i="43" s="1"/>
  <c r="C31" i="43" s="1"/>
  <c r="E33" i="43"/>
  <c r="C30" i="43" s="1"/>
  <c r="I53" i="21"/>
  <c r="J53" i="21"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E6" i="76"/>
  <c r="D2" i="21"/>
  <c r="E2" i="76" l="1"/>
  <c r="B2" i="43"/>
  <c r="C7" i="69"/>
  <c r="C5" i="69"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B6" i="76"/>
  <c r="L51" i="67"/>
  <c r="B2" i="76" l="1"/>
  <c r="B3" i="76" s="1"/>
  <c r="C23" i="69"/>
  <c r="C20" i="69"/>
  <c r="B3" i="43"/>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C28" i="69" l="1"/>
  <c r="C27" i="69" s="1"/>
  <c r="C25" i="69"/>
  <c r="C22" i="69" s="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7" i="1"/>
  <c r="AO12" i="1"/>
  <c r="AO9" i="1"/>
  <c r="AO10" i="1"/>
  <c r="AO8" i="1"/>
  <c r="AO6" i="1"/>
  <c r="C31" i="69" l="1"/>
  <c r="C52" i="69" s="1"/>
  <c r="B2" i="69" s="1"/>
  <c r="C2" i="82"/>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3" i="69"/>
  <c r="C57" i="69" l="1"/>
  <c r="C56" i="69" s="1"/>
  <c r="C10" i="82"/>
  <c r="C7" i="82" s="1"/>
  <c r="F10" i="82" s="1"/>
  <c r="H9" i="82"/>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11" i="82" l="1"/>
  <c r="C12" i="82" s="1"/>
  <c r="C3" i="84" s="1"/>
  <c r="E2" i="84" s="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C80" i="9"/>
  <c r="E80" i="9"/>
  <c r="E81" i="9"/>
  <c r="B32" i="72"/>
  <c r="D14" i="53"/>
  <c r="B22" i="72"/>
  <c r="D6" i="53"/>
  <c r="D9" i="52"/>
  <c r="D123" i="9"/>
  <c r="B48" i="72"/>
  <c r="E4" i="52"/>
  <c r="H5" i="52"/>
  <c r="H119" i="9"/>
  <c r="F119" i="9"/>
  <c r="F5" i="52"/>
  <c r="B53" i="72"/>
  <c r="B21" i="72"/>
  <c r="D7" i="53"/>
  <c r="D4" i="52"/>
  <c r="B47" i="72"/>
  <c r="C97" i="9"/>
  <c r="D58" i="9"/>
  <c r="D56" i="9"/>
  <c r="M54" i="9"/>
  <c r="B51" i="72"/>
  <c r="F4" i="52"/>
  <c r="H102" i="9"/>
  <c r="C5" i="74"/>
  <c r="C72" i="9"/>
  <c r="C79" i="9"/>
  <c r="C81" i="9"/>
  <c r="D54" i="9"/>
  <c r="C68" i="9"/>
  <c r="D13" i="53"/>
  <c r="B30" i="72"/>
  <c r="C64" i="9"/>
  <c r="C63" i="9"/>
  <c r="C67" i="9"/>
  <c r="D59" i="9"/>
  <c r="M55" i="9"/>
  <c r="N58" i="9"/>
  <c r="P57" i="9"/>
  <c r="C86" i="9"/>
  <c r="C93" i="9"/>
  <c r="C73" i="9"/>
  <c r="C78" i="9"/>
  <c r="B52" i="72"/>
  <c r="F118" i="9"/>
  <c r="G118" i="9"/>
  <c r="G4" i="52"/>
  <c r="D5" i="53"/>
  <c r="B20" i="72"/>
  <c r="B31" i="72"/>
  <c r="D15" i="53"/>
  <c r="D122" i="9"/>
  <c r="D8" i="52"/>
  <c r="C85" i="9"/>
  <c r="C95" i="9"/>
  <c r="C96" i="9"/>
  <c r="E96" i="9"/>
  <c r="E97" i="9"/>
  <c r="H107" i="9"/>
  <c r="H108" i="9"/>
  <c r="C6" i="74"/>
  <c r="M48" i="9"/>
  <c r="N61" i="9"/>
  <c r="D55" i="9"/>
  <c r="M53" i="9"/>
  <c r="N57" i="9"/>
  <c r="N59" i="9"/>
  <c r="N60" i="9"/>
  <c r="D53" i="9"/>
  <c r="H101" i="9"/>
  <c r="D45" i="9"/>
  <c r="D52" i="9"/>
  <c r="C105" i="9"/>
  <c r="I4" i="52"/>
  <c r="E118" i="9"/>
  <c r="D118" i="9"/>
  <c r="D119" i="9"/>
  <c r="D5" i="52"/>
  <c r="B49" i="72"/>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C16" authorId="1" shapeId="0" xr:uid="{00000000-0006-0000-1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800-000004000000}">
      <text>
        <r>
          <rPr>
            <sz val="12"/>
            <color indexed="81"/>
            <rFont val="宋体"/>
            <family val="3"/>
            <charset val="134"/>
          </rPr>
          <t>1.05~1.1</t>
        </r>
        <r>
          <rPr>
            <sz val="9"/>
            <color indexed="81"/>
            <rFont val="宋体"/>
            <family val="3"/>
            <charset val="134"/>
          </rPr>
          <t xml:space="preserve">
</t>
        </r>
      </text>
    </comment>
    <comment ref="E16" authorId="1" shapeId="0" xr:uid="{00000000-0006-0000-1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800-000009000000}">
      <text>
        <r>
          <rPr>
            <sz val="9"/>
            <color indexed="81"/>
            <rFont val="宋体"/>
            <family val="3"/>
            <charset val="134"/>
          </rPr>
          <t xml:space="preserve">需在此处填写剩余土地年限
</t>
        </r>
      </text>
    </comment>
    <comment ref="C111"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在建项目均选择“是”</t>
        </r>
      </text>
    </comment>
    <comment ref="F59" authorId="1" shapeId="0" xr:uid="{00000000-0006-0000-1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C00-000006000000}">
      <text>
        <r>
          <rPr>
            <sz val="10"/>
            <color indexed="81"/>
            <rFont val="宋体"/>
            <family val="3"/>
            <charset val="134"/>
          </rPr>
          <t xml:space="preserve">在建
</t>
        </r>
      </text>
    </comment>
    <comment ref="N59" authorId="0" shapeId="0" xr:uid="{00000000-0006-0000-1C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4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4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4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400-000004000000}">
      <text>
        <r>
          <rPr>
            <b/>
            <sz val="12"/>
            <color indexed="81"/>
            <rFont val="宋体"/>
            <family val="3"/>
            <charset val="134"/>
          </rPr>
          <t>所属项目品质或
物业管理</t>
        </r>
      </text>
    </comment>
    <comment ref="B90" authorId="0" shapeId="0" xr:uid="{00000000-0006-0000-24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5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5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500-000004000000}">
      <text>
        <r>
          <rPr>
            <b/>
            <sz val="12"/>
            <color indexed="81"/>
            <rFont val="宋体"/>
            <family val="3"/>
            <charset val="134"/>
          </rPr>
          <t>所属项目品质或
物业管理</t>
        </r>
      </text>
    </comment>
    <comment ref="B86" authorId="0" shapeId="0" xr:uid="{00000000-0006-0000-1500-000005000000}">
      <text>
        <r>
          <rPr>
            <b/>
            <sz val="12"/>
            <color indexed="81"/>
            <rFont val="宋体"/>
            <family val="3"/>
            <charset val="134"/>
          </rPr>
          <t>所属项目品质</t>
        </r>
      </text>
    </comment>
    <comment ref="B89" authorId="0" shapeId="0" xr:uid="{00000000-0006-0000-1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sharedStrings.xml><?xml version="1.0" encoding="utf-8"?>
<sst xmlns="http://schemas.openxmlformats.org/spreadsheetml/2006/main" count="7972" uniqueCount="3507">
  <si>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</si>
  <si>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</si>
  <si>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</si>
  <si>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</si>
  <si>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</si>
  <si>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</si>
  <si>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</si>
  <si>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</si>
  <si>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</si>
  <si>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</si>
  <si>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</si>
  <si>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</si>
  <si>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</si>
  <si>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</si>
  <si>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</si>
  <si>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</si>
  <si>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</si>
  <si>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</si>
  <si>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</si>
  <si>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</si>
  <si>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</si>
  <si>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</si>
  <si>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</si>
  <si>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</si>
  <si>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</si>
  <si>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</si>
  <si>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</si>
  <si>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</si>
  <si>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</si>
  <si>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</si>
  <si>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</si>
  <si>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</si>
  <si>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</si>
  <si>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</si>
  <si>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</si>
  <si>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</si>
  <si>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</si>
  <si>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</si>
  <si>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</si>
  <si>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</si>
  <si>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</si>
  <si>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</si>
  <si>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</si>
  <si>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</si>
  <si>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</si>
  <si>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</si>
  <si>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</si>
  <si>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</si>
  <si>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</si>
  <si>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</si>
  <si>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</si>
  <si>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</si>
  <si>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</si>
  <si>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</si>
  <si>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</si>
  <si>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</si>
  <si>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</si>
  <si>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</si>
  <si>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</si>
  <si>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</si>
  <si>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</si>
  <si>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</si>
  <si>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</si>
  <si>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</si>
  <si>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</si>
  <si>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</si>
  <si>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</si>
  <si>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</si>
  <si>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</si>
  <si>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</si>
  <si>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</si>
  <si>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</si>
  <si>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</si>
  <si>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</si>
  <si>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</si>
  <si>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</si>
  <si>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</si>
  <si>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</si>
  <si>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</si>
  <si>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</si>
  <si>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</si>
  <si>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</si>
  <si>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</si>
  <si>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</si>
  <si>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</si>
  <si>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</si>
  <si>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</si>
  <si>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</si>
  <si>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</si>
  <si>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</si>
  <si>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</si>
  <si>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</si>
  <si>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</si>
  <si>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</si>
  <si>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</si>
  <si>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</si>
  <si>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</si>
  <si>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</si>
  <si>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</si>
  <si>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</si>
  <si>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</si>
  <si>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</si>
  <si>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</si>
  <si>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</si>
  <si>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</si>
  <si>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</si>
  <si>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</si>
  <si>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</si>
  <si>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</si>
  <si>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</si>
  <si>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</si>
  <si>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</si>
  <si>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</si>
  <si>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</si>
  <si>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</si>
  <si>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</si>
  <si>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</si>
  <si>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</si>
  <si>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</si>
  <si>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</si>
  <si>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</si>
  <si>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</si>
  <si>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</si>
  <si>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</si>
  <si>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</si>
  <si>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</si>
  <si>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</si>
  <si>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</si>
  <si>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</si>
  <si>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</si>
  <si>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</si>
  <si>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</si>
  <si>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</si>
  <si>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</si>
  <si>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</si>
  <si>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</si>
  <si>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</si>
  <si>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</si>
  <si>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</si>
  <si>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</si>
  <si>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</si>
  <si>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</si>
  <si>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</si>
  <si>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</si>
  <si>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</si>
  <si>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</si>
  <si>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</si>
  <si>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</si>
  <si>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</si>
  <si>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</si>
  <si>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</si>
  <si>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</si>
  <si>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</si>
  <si>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</si>
  <si>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</si>
  <si>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</si>
  <si>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</si>
  <si>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</si>
  <si>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</si>
  <si>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</si>
  <si>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</si>
  <si>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</si>
  <si>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</si>
  <si>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</si>
  <si>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</si>
  <si>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</si>
  <si>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</si>
  <si>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</si>
  <si>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</si>
  <si>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</si>
  <si>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</si>
  <si>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</si>
  <si>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</si>
  <si>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</si>
  <si>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</si>
  <si>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</si>
  <si>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</si>
  <si>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</si>
  <si>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</si>
  <si>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</si>
  <si>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</si>
  <si>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</si>
  <si>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</si>
  <si>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</si>
  <si>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</si>
  <si>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</si>
  <si>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</si>
  <si>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</si>
  <si>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</si>
  <si>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</si>
  <si>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</si>
  <si>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</si>
  <si>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</si>
  <si>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</si>
  <si>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</si>
  <si>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</si>
  <si>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</si>
  <si>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</si>
  <si>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</si>
  <si>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</si>
  <si>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</si>
  <si>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</si>
  <si>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</si>
  <si>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</si>
  <si>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</si>
  <si>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</si>
  <si>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</si>
  <si>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</si>
  <si>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</si>
  <si>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</si>
  <si>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</si>
  <si>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</si>
  <si>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</si>
  <si>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</si>
  <si>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</si>
  <si>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</si>
  <si>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</si>
  <si>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</si>
  <si>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</si>
  <si>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</si>
  <si>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</si>
  <si>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</si>
  <si>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</si>
  <si>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</si>
  <si>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</si>
  <si>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</si>
  <si>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</si>
  <si>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</si>
  <si>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</si>
  <si>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</si>
  <si>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</si>
  <si>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</si>
  <si>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</si>
  <si>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</si>
  <si>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</si>
  <si>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</si>
  <si>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</si>
  <si>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</si>
  <si>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</si>
  <si>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</si>
  <si>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</si>
  <si>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</si>
  <si>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</si>
  <si>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</si>
  <si>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</si>
  <si>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</si>
  <si>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</si>
  <si>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</si>
  <si>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</si>
  <si>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</si>
  <si>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</si>
  <si>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</si>
  <si>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</si>
  <si>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</si>
  <si>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</si>
  <si>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</si>
  <si>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</si>
  <si>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</si>
  <si>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</si>
  <si>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</si>
  <si>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</si>
  <si>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</si>
  <si>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</si>
  <si>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</si>
  <si>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</si>
  <si>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</si>
  <si>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</si>
  <si>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</si>
  <si>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</si>
  <si>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</si>
  <si>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</si>
  <si>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</si>
  <si>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</si>
  <si>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</si>
  <si>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</si>
  <si>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</si>
  <si>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</si>
  <si>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</si>
  <si>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</si>
  <si>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</si>
  <si>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</si>
  <si>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</si>
  <si>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</si>
  <si>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</si>
  <si>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</si>
  <si>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</si>
  <si>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</si>
  <si>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</si>
  <si>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</si>
  <si>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</si>
  <si>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</si>
  <si>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</si>
  <si>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</si>
  <si>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</si>
  <si>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</si>
  <si>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</si>
  <si>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</si>
  <si>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</si>
  <si>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</si>
  <si>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</si>
  <si>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</si>
  <si>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</si>
  <si>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</si>
  <si>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</si>
  <si>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</si>
  <si>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</si>
  <si>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</si>
  <si>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</si>
  <si>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</si>
  <si>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</si>
  <si>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</si>
  <si>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</si>
  <si>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</si>
  <si>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</si>
  <si>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</si>
  <si>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</si>
  <si>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</si>
  <si>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</si>
  <si>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</si>
  <si>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</si>
  <si>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</si>
  <si>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</si>
  <si>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</si>
  <si>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</si>
  <si>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</si>
  <si>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</si>
  <si>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</si>
  <si>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</si>
  <si>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</si>
  <si>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</si>
  <si>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</si>
  <si>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</si>
  <si>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</si>
  <si>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</si>
  <si>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</si>
  <si>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</si>
  <si>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</si>
  <si>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</si>
  <si>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</si>
  <si>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</si>
  <si>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</si>
  <si>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</si>
  <si>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</si>
  <si>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</si>
  <si>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</si>
  <si>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</si>
  <si>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</si>
  <si>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</si>
  <si>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</si>
  <si>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</si>
  <si>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</si>
  <si>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</si>
  <si>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</si>
  <si>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</si>
  <si>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</si>
  <si>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</si>
  <si>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</si>
  <si>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</si>
  <si>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</si>
  <si>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</si>
  <si>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</si>
  <si>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</si>
  <si>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</si>
  <si>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</si>
  <si>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</si>
  <si>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</si>
  <si>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</si>
  <si>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</si>
  <si>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</si>
  <si>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</si>
  <si>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</si>
  <si>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</si>
  <si>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</si>
  <si>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</si>
  <si>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</si>
  <si>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</si>
  <si>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</si>
  <si>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</si>
  <si>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</si>
  <si>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</si>
  <si>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</si>
  <si>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</si>
  <si>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</si>
  <si>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</si>
  <si>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</si>
  <si>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</si>
  <si>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</si>
  <si>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</si>
  <si>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</si>
  <si>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</si>
  <si>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</si>
  <si>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</si>
  <si>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</si>
  <si>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</si>
  <si>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</si>
  <si>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</si>
  <si>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</si>
  <si>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</si>
  <si>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</si>
  <si>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</si>
  <si>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</si>
  <si>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</si>
  <si>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</si>
  <si>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</si>
  <si>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</si>
  <si>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</si>
  <si>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</si>
  <si>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</si>
  <si>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</si>
  <si>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</si>
  <si>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</si>
  <si>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</si>
  <si>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</si>
  <si>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</si>
  <si>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</si>
  <si>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</si>
  <si>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</si>
  <si>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</si>
  <si>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</si>
  <si>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</si>
  <si>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</si>
  <si>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</si>
  <si>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</si>
  <si>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</si>
  <si>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</si>
  <si>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</si>
  <si>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</si>
  <si>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</si>
  <si>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</si>
  <si>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</si>
  <si>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</si>
  <si>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</si>
  <si>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</si>
  <si>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</si>
  <si>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</si>
  <si>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</si>
  <si>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</si>
  <si>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</si>
  <si>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</si>
  <si>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</si>
  <si>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</si>
  <si>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</si>
  <si>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</si>
  <si>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</si>
  <si>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</si>
  <si>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</si>
  <si>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</si>
  <si>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</si>
  <si>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</si>
  <si>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</si>
  <si>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</si>
  <si>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</si>
  <si>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</si>
  <si>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</si>
  <si>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</si>
  <si>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</si>
  <si>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</si>
  <si>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</si>
  <si>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</si>
  <si>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</si>
  <si>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</si>
  <si>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</si>
  <si>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</si>
  <si>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</si>
  <si>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</si>
  <si>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</si>
  <si>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</si>
  <si>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</si>
  <si>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</si>
  <si>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</si>
  <si>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</si>
  <si>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</si>
  <si>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</si>
  <si>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</si>
  <si>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</si>
  <si>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</si>
  <si>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</si>
  <si>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</si>
  <si>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</si>
  <si>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</si>
  <si>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</si>
  <si>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</si>
  <si>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</si>
  <si>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</si>
  <si>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</si>
  <si>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</si>
  <si>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</si>
  <si>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</si>
  <si>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</si>
  <si>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</si>
  <si>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</si>
  <si>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</si>
  <si>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</si>
  <si>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</si>
  <si>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</si>
  <si>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</si>
  <si>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</si>
  <si>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</si>
  <si>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</si>
  <si>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</si>
  <si>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</si>
  <si>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</si>
  <si>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</si>
  <si>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</si>
  <si>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</si>
  <si>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</si>
  <si>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</si>
  <si>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</si>
  <si>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</si>
  <si>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</si>
  <si>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</si>
  <si>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</si>
  <si>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</si>
  <si>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</si>
  <si>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</si>
  <si>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</si>
  <si>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</si>
  <si>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</si>
  <si>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</si>
  <si>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</si>
  <si>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</si>
  <si>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</si>
  <si>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</si>
  <si>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</si>
  <si>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</si>
  <si>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</si>
  <si>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</si>
  <si>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</si>
  <si>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</si>
  <si>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</si>
  <si>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</si>
  <si>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</si>
  <si>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</si>
  <si>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</si>
  <si>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</si>
  <si>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</si>
  <si>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</si>
  <si>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</si>
  <si>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</si>
  <si>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</si>
  <si>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</si>
  <si>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</si>
  <si>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</si>
  <si>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</si>
  <si>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</si>
  <si>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</si>
  <si>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</si>
  <si>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</si>
  <si>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</si>
  <si>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</si>
  <si>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</si>
  <si>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</si>
  <si>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</si>
  <si>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</si>
  <si>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</si>
  <si>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</si>
  <si>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</si>
  <si>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</si>
  <si>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</si>
  <si>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</si>
  <si>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</si>
  <si>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</si>
  <si>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</si>
  <si>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</si>
  <si>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</si>
  <si>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</si>
  <si>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</si>
  <si>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</si>
  <si>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</si>
  <si>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</si>
  <si>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</si>
  <si>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</si>
  <si>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</si>
  <si>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</si>
  <si>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</si>
  <si>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</si>
  <si>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</si>
  <si>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</si>
  <si>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</si>
  <si>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</si>
  <si>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</si>
  <si>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</si>
  <si>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</si>
  <si>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</si>
  <si>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</si>
  <si>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</si>
  <si>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</si>
  <si>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</si>
  <si>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</si>
  <si>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</si>
  <si>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</si>
  <si>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</si>
  <si>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</si>
  <si>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</si>
  <si>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</si>
  <si>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</si>
  <si>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</si>
  <si>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</si>
  <si>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</si>
  <si>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</si>
  <si>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</si>
  <si>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</si>
  <si>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</si>
  <si>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</si>
  <si>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</si>
  <si>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</si>
  <si>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</si>
  <si>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</si>
  <si>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</si>
  <si>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</si>
  <si>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</si>
  <si>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</si>
  <si>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</si>
  <si>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</si>
  <si>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</si>
  <si>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</si>
  <si>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</si>
  <si>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</si>
  <si>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</si>
  <si>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</si>
  <si>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</si>
  <si>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</si>
  <si>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</si>
  <si>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</si>
  <si>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</si>
  <si>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</si>
  <si>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</si>
  <si>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</si>
  <si>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</si>
  <si>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</si>
  <si>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</si>
  <si>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</si>
  <si>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</si>
  <si>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</si>
  <si>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</si>
  <si>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</si>
  <si>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</si>
  <si>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</si>
  <si>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</si>
  <si>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</si>
  <si>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</si>
  <si>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</si>
  <si>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</si>
  <si>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</si>
  <si>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</si>
  <si>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</si>
  <si>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</si>
  <si>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</si>
  <si>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</si>
  <si>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</si>
  <si>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</si>
  <si>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</si>
  <si>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</si>
  <si>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</si>
  <si>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</si>
  <si>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</si>
  <si>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</si>
  <si>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</si>
  <si>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</si>
  <si>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</si>
  <si>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</si>
  <si>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</si>
  <si>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</si>
  <si>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</si>
  <si>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</si>
  <si>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</si>
  <si>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</si>
  <si>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</si>
  <si>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</si>
  <si>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</si>
  <si>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</si>
  <si>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</si>
  <si>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</si>
  <si>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</si>
  <si>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</si>
  <si>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</si>
  <si>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</si>
  <si>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</si>
  <si>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</si>
  <si>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</si>
  <si>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</si>
  <si>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</si>
  <si>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</si>
  <si>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</si>
  <si>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</si>
  <si>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</si>
  <si>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</si>
  <si>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</si>
  <si>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</si>
  <si>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</si>
  <si>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</si>
  <si>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</si>
  <si>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</si>
  <si>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</si>
  <si>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</si>
  <si>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</si>
  <si>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</si>
  <si>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</si>
  <si>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</si>
  <si>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</si>
  <si>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</si>
  <si>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</si>
  <si>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</si>
  <si>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</si>
  <si>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</si>
  <si>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</si>
  <si>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</si>
  <si>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</si>
  <si>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</si>
  <si>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</si>
  <si>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</si>
  <si>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</si>
  <si>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</si>
  <si>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</si>
  <si>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</si>
  <si>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</si>
  <si>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</si>
  <si>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</si>
  <si>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</si>
  <si>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</si>
  <si>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</si>
  <si>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</si>
  <si>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</si>
  <si>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</si>
  <si>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</si>
  <si>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</si>
  <si>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</si>
  <si>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</si>
  <si>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</si>
  <si>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</si>
  <si>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</si>
  <si>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</si>
  <si>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</si>
  <si>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</si>
  <si>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</si>
  <si>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</si>
  <si>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</si>
  <si>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</si>
  <si>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</si>
  <si>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</si>
  <si>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</si>
  <si>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</si>
  <si>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</si>
  <si>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</si>
  <si>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</si>
  <si>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</si>
  <si>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</si>
  <si>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</si>
  <si>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</si>
  <si>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</si>
  <si>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</si>
  <si>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</si>
  <si>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</si>
  <si>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</si>
  <si>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</si>
  <si>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</si>
  <si>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</si>
  <si>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</si>
  <si>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</si>
  <si>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</si>
  <si>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</si>
  <si>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</si>
  <si>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</si>
  <si>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</si>
  <si>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</si>
  <si>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</si>
  <si>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</si>
  <si>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</si>
  <si>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</si>
  <si>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</si>
  <si>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</si>
  <si>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</si>
  <si>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</si>
  <si>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</si>
  <si>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</si>
  <si>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</si>
  <si>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</si>
  <si>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</si>
  <si>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</si>
  <si>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</si>
  <si>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</si>
  <si>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</si>
  <si>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</si>
  <si>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</si>
  <si>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</si>
  <si>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</si>
  <si>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</si>
  <si>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</si>
  <si>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</si>
  <si>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</si>
  <si>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</si>
  <si>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</si>
  <si>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</si>
  <si>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</si>
  <si>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</si>
  <si>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</si>
  <si>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</si>
  <si>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</si>
  <si>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</si>
  <si>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</si>
  <si>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</si>
  <si>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</si>
  <si>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</si>
  <si>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</si>
  <si>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</si>
  <si>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</si>
  <si>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</si>
  <si>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</si>
  <si>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</si>
  <si>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</si>
  <si>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</si>
  <si>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</si>
  <si>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</si>
  <si>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</si>
  <si>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</si>
  <si>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</si>
  <si>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</si>
  <si>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</si>
  <si>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</si>
  <si>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</si>
  <si>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</si>
  <si>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</si>
  <si>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</si>
  <si>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</si>
  <si>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</si>
  <si>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</si>
  <si>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</si>
  <si>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</si>
  <si>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</si>
  <si>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</si>
  <si>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</si>
  <si>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</si>
  <si>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</si>
  <si>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</si>
  <si>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</si>
  <si>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</si>
  <si>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</si>
  <si>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</si>
  <si>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</si>
  <si>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</si>
  <si>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</si>
  <si>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</si>
  <si>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</si>
  <si>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</si>
  <si>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</si>
  <si>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</si>
  <si>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</si>
  <si>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</si>
  <si>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</si>
  <si>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</si>
  <si>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</si>
  <si>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</si>
  <si>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</si>
  <si>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</si>
  <si>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</si>
  <si>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</si>
  <si>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</si>
  <si>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</si>
  <si>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</si>
  <si>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</si>
  <si>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</si>
  <si>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</si>
  <si>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</si>
  <si>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</si>
  <si>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</si>
  <si>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</si>
  <si>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</si>
  <si>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</si>
  <si>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</si>
  <si>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</si>
  <si>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</si>
  <si>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</si>
  <si>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</si>
  <si>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</si>
  <si>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</si>
  <si>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</si>
  <si>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</si>
  <si>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</si>
  <si>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</si>
  <si>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</si>
  <si>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</si>
  <si>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</si>
  <si>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</si>
  <si>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</si>
  <si>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</si>
  <si>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</si>
  <si>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</si>
  <si>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</si>
  <si>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</si>
  <si>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</si>
  <si>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</si>
  <si>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</si>
  <si>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</si>
  <si>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</si>
  <si>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</si>
  <si>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</si>
  <si>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</si>
  <si>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</si>
  <si>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</si>
  <si>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</si>
  <si>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</si>
  <si>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</si>
  <si>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</si>
  <si>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</si>
  <si>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</si>
  <si>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</si>
  <si>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</si>
  <si>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</si>
  <si>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</si>
  <si>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</si>
  <si>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</si>
  <si>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</si>
  <si>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</si>
  <si>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</si>
  <si>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</si>
  <si>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</si>
  <si>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</si>
  <si>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</si>
  <si>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</si>
  <si>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</si>
  <si>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</si>
  <si>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</si>
  <si>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</si>
  <si>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</si>
  <si>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</si>
  <si>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</si>
  <si>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</si>
  <si>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</si>
  <si>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</si>
  <si>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</si>
  <si>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</si>
  <si>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</si>
  <si>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</si>
  <si>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</si>
  <si>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</si>
  <si>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</si>
  <si>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</si>
  <si>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</si>
  <si>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</si>
  <si>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</si>
  <si>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</si>
  <si>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</si>
  <si>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</si>
  <si>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</si>
  <si>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</si>
  <si>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</si>
  <si>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</si>
  <si>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</si>
  <si>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</si>
  <si>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</si>
  <si>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</si>
  <si>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</si>
  <si>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</si>
  <si>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</si>
  <si>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</si>
  <si>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</si>
  <si>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</si>
  <si>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</si>
  <si>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</si>
  <si>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</si>
  <si>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</si>
  <si>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</si>
  <si>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</si>
  <si>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</si>
  <si>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</si>
  <si>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</si>
  <si>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</si>
  <si>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</si>
  <si>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</si>
  <si>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</si>
  <si>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</si>
  <si>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</si>
  <si>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</si>
  <si>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</si>
  <si>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</si>
  <si>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</si>
  <si>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</si>
  <si>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</si>
  <si>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</si>
  <si>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</si>
  <si>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</si>
  <si>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</si>
  <si>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</si>
  <si>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</si>
  <si>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</si>
  <si>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</si>
  <si>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</si>
  <si>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</si>
  <si>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</si>
  <si>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</si>
  <si>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</si>
  <si>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</si>
  <si>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</si>
  <si>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</si>
  <si>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</si>
  <si>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</si>
  <si>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</si>
  <si>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</si>
  <si>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</si>
  <si>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</si>
  <si>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</si>
  <si>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</si>
  <si>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</si>
  <si>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</si>
  <si>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</si>
  <si>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</si>
  <si>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</si>
  <si>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</si>
  <si>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</si>
  <si>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</si>
  <si>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</si>
  <si>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</si>
  <si>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</si>
  <si>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</si>
  <si>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</si>
  <si>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</si>
  <si>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</si>
  <si>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</si>
  <si>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</si>
  <si>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</si>
  <si>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</si>
  <si>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</si>
  <si>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</si>
  <si>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</si>
  <si>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</si>
  <si>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</si>
  <si>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</si>
  <si>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</si>
  <si>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</si>
  <si>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</si>
  <si>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</si>
  <si>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</si>
  <si>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</si>
  <si>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</si>
  <si>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</si>
  <si>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</si>
  <si>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</si>
  <si>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</si>
  <si>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</si>
  <si>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</si>
  <si>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</si>
  <si>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</si>
  <si>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</si>
  <si>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</si>
  <si>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</si>
  <si>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</si>
  <si>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</si>
  <si>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</si>
  <si>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</si>
  <si>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</si>
  <si>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</si>
  <si>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</si>
  <si>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</si>
  <si>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</si>
  <si>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</si>
  <si>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</si>
  <si>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</si>
  <si>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</si>
  <si>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</si>
  <si>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</si>
  <si>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</si>
  <si>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</si>
  <si>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</si>
  <si>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</si>
  <si>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</si>
  <si>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</si>
  <si>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</si>
  <si>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</si>
  <si>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</si>
  <si>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</si>
  <si>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</si>
  <si>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</si>
  <si>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</si>
  <si>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</si>
  <si>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</si>
  <si>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</si>
  <si>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</si>
  <si>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</si>
  <si>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</si>
  <si>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</si>
  <si>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</si>
  <si>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</si>
  <si>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</si>
  <si>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</si>
  <si>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</si>
  <si>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</si>
  <si>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</si>
  <si>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</si>
  <si>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</si>
  <si>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</si>
  <si>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</si>
  <si>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</si>
  <si>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</si>
  <si>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</si>
  <si>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</si>
  <si>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</si>
  <si>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</si>
  <si>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</si>
  <si>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</si>
  <si>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</si>
  <si>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</si>
  <si>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</si>
  <si>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</si>
  <si>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</si>
  <si>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</si>
  <si>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</si>
  <si>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</si>
  <si>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</si>
  <si>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</si>
  <si>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</si>
  <si>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</si>
  <si>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</si>
  <si>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</si>
  <si>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</si>
  <si>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</si>
  <si>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</si>
  <si>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</si>
  <si>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</si>
  <si>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</si>
  <si>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</si>
  <si>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</si>
  <si>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</si>
  <si>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</si>
  <si>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</si>
  <si>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</si>
  <si>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</si>
  <si>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</si>
  <si>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</si>
  <si>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</si>
  <si>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</si>
  <si>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</si>
  <si>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</si>
  <si>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</si>
  <si>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</si>
  <si>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</si>
  <si>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</si>
  <si>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</si>
  <si>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</si>
  <si>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</si>
  <si>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</si>
  <si>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</si>
  <si>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</si>
  <si>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</si>
  <si>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</si>
  <si>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</si>
  <si>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</si>
  <si>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</si>
  <si>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</si>
  <si>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</si>
  <si>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</si>
  <si>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</si>
  <si>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</si>
  <si>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</si>
  <si>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</si>
  <si>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</si>
  <si>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</si>
  <si>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</si>
  <si>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</si>
  <si>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</si>
  <si>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</si>
  <si>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</si>
  <si>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</si>
  <si>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</si>
  <si>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</si>
  <si>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</si>
  <si>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</si>
  <si>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</si>
  <si>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</si>
  <si>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</si>
  <si>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</si>
  <si>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</si>
  <si>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</si>
  <si>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</si>
  <si>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</si>
  <si>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</si>
  <si>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</si>
  <si>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</si>
  <si>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</si>
  <si>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</si>
  <si>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</si>
  <si>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</si>
  <si>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</si>
  <si>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</si>
  <si>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</si>
  <si>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</si>
  <si>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</si>
  <si>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</si>
  <si>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</si>
  <si>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</si>
  <si>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</si>
  <si>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</si>
  <si>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</si>
  <si>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</si>
  <si>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</si>
  <si>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</si>
  <si>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</si>
  <si>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</si>
  <si>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</si>
  <si>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</si>
  <si>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</si>
  <si>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</si>
  <si>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</si>
  <si>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</si>
  <si>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</si>
  <si>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</si>
  <si>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</si>
  <si>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</si>
  <si>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</si>
  <si>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</si>
  <si>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</si>
  <si>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</si>
  <si>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</si>
  <si>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</si>
  <si>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</si>
  <si>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</si>
  <si>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</si>
  <si>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</si>
  <si>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</si>
  <si>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</si>
  <si>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</si>
  <si>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</si>
  <si>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</si>
  <si>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</si>
  <si>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</si>
  <si>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</si>
  <si>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</si>
  <si>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</si>
  <si>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</si>
  <si>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</si>
  <si>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</si>
  <si>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</si>
  <si>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</si>
  <si>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</si>
  <si>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</si>
  <si>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</si>
  <si>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</si>
  <si>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</si>
  <si>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</si>
  <si>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</si>
  <si>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</si>
  <si>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</si>
  <si>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</si>
  <si>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</si>
  <si>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</si>
  <si>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</si>
  <si>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</si>
  <si>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</si>
  <si>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</si>
  <si>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</si>
  <si>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</si>
  <si>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</si>
  <si>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</si>
  <si>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</si>
  <si>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</si>
  <si>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</si>
  <si>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</si>
  <si>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</si>
  <si>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</si>
  <si>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</si>
  <si>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</si>
  <si>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</si>
  <si>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</si>
  <si>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</si>
  <si>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</si>
  <si>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</si>
  <si>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</si>
  <si>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</si>
  <si>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</si>
  <si>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</si>
  <si>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</si>
  <si>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</si>
  <si>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</si>
  <si>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</si>
  <si>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</si>
  <si>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</si>
  <si>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</si>
  <si>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</si>
  <si>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</si>
  <si>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</si>
  <si>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</si>
  <si>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</si>
  <si>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</si>
  <si>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</si>
  <si>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</si>
  <si>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</si>
  <si>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</si>
  <si>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</si>
  <si>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</si>
  <si>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</si>
  <si>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</si>
  <si>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</si>
  <si>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</si>
  <si>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</si>
  <si>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</si>
  <si>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</si>
  <si>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</si>
  <si>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</si>
  <si>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</si>
  <si>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</si>
  <si>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</si>
  <si>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</si>
  <si>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</si>
  <si>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</si>
  <si>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</si>
  <si>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</si>
  <si>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</si>
  <si>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</si>
  <si>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</si>
  <si>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</si>
  <si>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</si>
  <si>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</si>
  <si>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</si>
  <si>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</si>
  <si>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</si>
  <si>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</si>
  <si>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</si>
  <si>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</si>
  <si>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</si>
  <si>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</si>
  <si>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</si>
  <si>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</si>
  <si>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</si>
  <si>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</si>
  <si>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</si>
  <si>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</si>
  <si>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</si>
  <si>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</si>
  <si>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</si>
  <si>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</si>
  <si>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</si>
  <si>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</si>
  <si>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</si>
  <si>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</si>
  <si>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</si>
  <si>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</si>
  <si>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</si>
  <si>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</si>
  <si>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</si>
  <si>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</si>
  <si>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</si>
  <si>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</si>
  <si>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</si>
  <si>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</si>
  <si>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</si>
  <si>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</si>
  <si>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</si>
  <si>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</si>
  <si>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</si>
  <si>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</si>
  <si>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</si>
  <si>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</si>
  <si>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</si>
  <si>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</si>
  <si>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</si>
  <si>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</si>
  <si>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</si>
  <si>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</si>
  <si>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</si>
  <si>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</si>
  <si>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</si>
  <si>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</si>
  <si>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</si>
  <si>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</si>
  <si>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</si>
  <si>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</si>
  <si>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</si>
  <si>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</si>
  <si>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</si>
  <si>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</si>
  <si>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</si>
  <si>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</si>
  <si>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</si>
  <si>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</si>
  <si>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</si>
  <si>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</si>
  <si>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</si>
  <si>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</si>
  <si>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</si>
  <si>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</si>
  <si>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</si>
  <si>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</si>
  <si>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</si>
  <si>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</si>
  <si>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</si>
  <si>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</si>
  <si>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</si>
  <si>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</si>
  <si>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</si>
  <si>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</si>
  <si>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</si>
  <si>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</si>
  <si>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</si>
  <si>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</si>
  <si>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</si>
  <si>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</si>
  <si>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</si>
  <si>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</si>
  <si>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</si>
  <si>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</si>
  <si>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</si>
  <si>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</si>
  <si>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</si>
  <si>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</si>
  <si>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</si>
  <si>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</si>
  <si>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</si>
  <si>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</si>
  <si>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</si>
  <si>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</si>
  <si>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</si>
  <si>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</si>
  <si>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</si>
  <si>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</si>
  <si>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</si>
  <si>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</si>
  <si>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</si>
  <si>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</si>
  <si>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</si>
  <si>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</si>
  <si>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</si>
  <si>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</si>
  <si>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</si>
  <si>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</si>
  <si>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</si>
  <si>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</si>
  <si>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</si>
  <si>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</si>
  <si>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</si>
  <si>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</si>
  <si>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</si>
  <si>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</si>
  <si>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</si>
  <si>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</si>
  <si>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</si>
  <si>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</si>
  <si>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</si>
  <si>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</si>
  <si>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</si>
  <si>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</si>
  <si>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</si>
  <si>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</si>
  <si>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</si>
  <si>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</si>
  <si>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</si>
  <si>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</si>
  <si>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</si>
  <si>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</si>
  <si>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</si>
  <si>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</si>
  <si>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</si>
  <si>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</si>
  <si>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</si>
  <si>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</si>
  <si>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</si>
  <si>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</si>
  <si>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</si>
  <si>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</si>
  <si>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</si>
  <si>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</si>
  <si>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</si>
  <si>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</si>
  <si>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</si>
  <si>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</si>
  <si>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</si>
  <si>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</si>
  <si>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</si>
  <si>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</si>
  <si>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</si>
  <si>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</si>
  <si>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</si>
  <si>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</si>
  <si>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</si>
  <si>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</si>
  <si>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</si>
  <si>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</si>
  <si>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</si>
  <si>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</si>
  <si>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</si>
  <si>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</si>
  <si>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</si>
  <si>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</si>
  <si>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</si>
  <si>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</si>
  <si>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</si>
  <si>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</si>
  <si>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</si>
  <si>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</si>
  <si>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</si>
  <si>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</si>
  <si>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</si>
  <si>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</si>
  <si>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</si>
  <si>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</si>
  <si>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</si>
  <si>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</si>
  <si>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</si>
  <si>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</si>
  <si>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</si>
  <si>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</si>
  <si>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</si>
  <si>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</si>
  <si>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</si>
  <si>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</si>
  <si>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</si>
  <si>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</si>
  <si>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</si>
  <si>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</si>
  <si>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</si>
  <si>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</si>
  <si>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</si>
  <si>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</si>
  <si>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</si>
  <si>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</si>
  <si>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</si>
  <si>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</si>
  <si>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</si>
  <si>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</si>
  <si>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</si>
  <si>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</si>
  <si>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</si>
  <si>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</si>
  <si>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</si>
  <si>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</si>
  <si>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</si>
  <si>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</si>
  <si>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</si>
  <si>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</si>
  <si>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</si>
  <si>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</si>
  <si>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</si>
  <si>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</si>
  <si>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</si>
  <si>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</si>
  <si>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</si>
  <si>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</si>
  <si>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</si>
  <si>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</si>
  <si>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</si>
  <si>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</si>
  <si>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</si>
  <si>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</si>
  <si>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</si>
  <si>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</si>
  <si>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</si>
  <si>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</si>
  <si>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</si>
  <si>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</si>
  <si>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</si>
  <si>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</si>
  <si>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</si>
  <si>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</si>
  <si>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</si>
  <si>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</si>
  <si>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</si>
  <si>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</si>
  <si>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</si>
  <si>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</si>
  <si>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</si>
  <si>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</si>
  <si>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</si>
  <si>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</si>
  <si>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</si>
  <si>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</si>
  <si>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</si>
  <si>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</si>
  <si>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</si>
  <si>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</si>
  <si>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</si>
  <si>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</si>
  <si>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</si>
  <si>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</si>
  <si>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</si>
  <si>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</si>
  <si>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</si>
  <si>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</si>
  <si>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</si>
  <si>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</si>
  <si>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</si>
  <si>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</si>
  <si>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</si>
  <si>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</si>
  <si>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</si>
  <si>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</si>
  <si>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</si>
  <si>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</si>
  <si>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</si>
  <si>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</si>
  <si>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</si>
  <si>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</si>
  <si>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</si>
  <si>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</si>
  <si>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</si>
  <si>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</si>
  <si>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</si>
  <si>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</si>
  <si>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</si>
  <si>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</si>
  <si>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</si>
  <si>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</si>
  <si>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</si>
  <si>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</si>
  <si>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</si>
  <si>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</si>
  <si>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</si>
  <si>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</si>
  <si>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</si>
  <si>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</si>
  <si>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</si>
  <si>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</si>
  <si>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</si>
  <si>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</si>
  <si>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</si>
  <si>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</si>
  <si>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</si>
  <si>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</si>
  <si>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</si>
  <si>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</si>
  <si>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</si>
  <si>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</si>
  <si>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</si>
  <si>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</si>
  <si>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</si>
  <si>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</si>
  <si>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</si>
  <si>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</si>
  <si>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</si>
  <si>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</si>
  <si>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</si>
  <si>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</si>
  <si>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</si>
  <si>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</si>
  <si>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</si>
  <si>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</si>
  <si>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</si>
  <si>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</si>
  <si>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</si>
  <si>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</si>
  <si>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</si>
  <si>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</si>
  <si>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</si>
  <si>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</si>
  <si>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</si>
  <si>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</si>
  <si>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</si>
  <si>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</si>
  <si>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</si>
  <si>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</si>
  <si>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</si>
  <si>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</si>
  <si>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</si>
  <si>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</si>
  <si>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</si>
  <si>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</si>
  <si>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</si>
  <si>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</si>
  <si>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</si>
  <si>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</si>
  <si>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</si>
  <si>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</si>
  <si>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</si>
  <si>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</si>
  <si>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</si>
  <si>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</si>
  <si>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</si>
  <si>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</si>
  <si>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</si>
  <si>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</si>
  <si>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</si>
  <si>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</si>
  <si>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</si>
  <si>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</si>
  <si>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</si>
  <si>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</si>
  <si>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</si>
  <si>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</si>
  <si>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</si>
  <si>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</si>
  <si>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</si>
  <si>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</si>
  <si>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</si>
  <si>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</si>
  <si>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</si>
  <si>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</si>
  <si>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</si>
  <si>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</si>
  <si>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</si>
  <si>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</si>
  <si>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</si>
  <si>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</si>
  <si>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</si>
  <si>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</si>
  <si>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</si>
  <si>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</si>
  <si>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</si>
  <si>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</si>
  <si>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</si>
  <si>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</si>
  <si>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</si>
  <si>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</si>
  <si>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</si>
  <si>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</si>
  <si>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</si>
  <si>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</si>
  <si>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</si>
  <si>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</si>
  <si>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</si>
  <si>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</si>
  <si>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</si>
  <si>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</si>
  <si>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</si>
  <si>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</si>
  <si>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</si>
  <si>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</si>
  <si>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</si>
  <si>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</si>
  <si>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</si>
  <si>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</si>
  <si>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</si>
  <si>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</si>
  <si>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</si>
  <si>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</si>
  <si>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</si>
  <si>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</si>
  <si>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</si>
  <si>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</si>
  <si>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</si>
  <si>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</si>
  <si>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</si>
  <si>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</si>
  <si>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</si>
  <si>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</si>
  <si>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</si>
  <si>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</si>
  <si>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</si>
  <si>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</si>
  <si>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</si>
  <si>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</si>
  <si>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</si>
  <si>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</si>
  <si>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</si>
  <si>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</si>
  <si>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</si>
  <si>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</si>
  <si>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</si>
  <si>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</si>
  <si>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</si>
  <si>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</si>
  <si>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</si>
  <si>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</si>
  <si>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</si>
  <si>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</si>
  <si>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</si>
  <si>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</si>
  <si>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</si>
  <si>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</si>
  <si>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</si>
  <si>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</si>
  <si>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</si>
  <si>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</si>
  <si>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</si>
  <si>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</si>
  <si>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</si>
  <si>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</si>
  <si>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</si>
  <si>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</si>
  <si>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</si>
  <si>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</si>
  <si>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</si>
  <si>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</si>
  <si>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</si>
  <si>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</si>
  <si>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</si>
  <si>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</si>
  <si>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</si>
  <si>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</si>
  <si>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</si>
  <si>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</si>
  <si>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</si>
  <si>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</si>
  <si>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</si>
  <si>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</si>
  <si>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</si>
  <si>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</si>
  <si>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</si>
  <si>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</si>
  <si>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</si>
  <si>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</si>
  <si>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</si>
  <si>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</si>
  <si>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</si>
  <si>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</si>
  <si>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</si>
  <si>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</si>
  <si>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</si>
  <si>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</si>
  <si>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</si>
  <si>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</si>
  <si>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</si>
  <si>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</si>
  <si>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</si>
  <si>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</si>
  <si>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</si>
  <si>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</si>
  <si>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</si>
  <si>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</si>
  <si>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</si>
  <si>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</si>
  <si>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</si>
  <si>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</si>
  <si>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</si>
  <si>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</si>
  <si>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</si>
  <si>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</si>
  <si>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</si>
  <si>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</si>
  <si>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</si>
  <si>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</si>
  <si>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</si>
  <si>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</si>
  <si>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</si>
  <si>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</si>
  <si>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</si>
  <si>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</si>
  <si>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</si>
  <si>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</si>
  <si>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</si>
  <si>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</si>
  <si>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</si>
  <si>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</si>
  <si>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</si>
  <si>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</si>
  <si>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</si>
  <si>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</si>
  <si>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</si>
  <si>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</si>
  <si>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</si>
  <si>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</si>
  <si>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</si>
  <si>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</si>
  <si>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</si>
  <si>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</si>
  <si>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</si>
  <si>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</si>
  <si>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</si>
  <si>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</si>
  <si>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</si>
  <si>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</si>
  <si>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</si>
  <si>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</si>
  <si>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</si>
  <si>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</si>
  <si>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</si>
  <si>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</si>
  <si>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</si>
  <si>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</si>
  <si>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</si>
  <si>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</si>
  <si>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</si>
  <si>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</si>
  <si>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</si>
  <si>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</si>
  <si>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</si>
  <si>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</si>
  <si>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</si>
  <si>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</si>
  <si>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</si>
  <si>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</si>
  <si>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</si>
  <si>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</si>
  <si>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</si>
  <si>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</si>
  <si>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</si>
  <si>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</si>
  <si>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</si>
  <si>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</si>
  <si>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</si>
  <si>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</si>
  <si>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</si>
  <si>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</si>
  <si>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</si>
  <si>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</si>
  <si>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</si>
  <si>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</si>
  <si>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</si>
  <si>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</si>
  <si>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</si>
  <si>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</si>
  <si>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</si>
  <si>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</si>
  <si>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</si>
  <si>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</si>
  <si>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</si>
  <si>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</si>
  <si>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</si>
  <si>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</si>
  <si>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</si>
  <si>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</si>
  <si>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</si>
  <si>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</si>
  <si>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</si>
  <si>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</si>
  <si>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</si>
  <si>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</si>
  <si>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</si>
  <si>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</si>
  <si>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</si>
  <si>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</si>
  <si>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</si>
  <si>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</si>
  <si>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</si>
  <si>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</si>
  <si>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</si>
  <si>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</si>
  <si>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</si>
  <si>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</si>
  <si>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</si>
  <si>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</si>
  <si>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</si>
  <si>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</si>
  <si>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</si>
  <si>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</si>
  <si>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</si>
  <si>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</si>
  <si>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</si>
  <si>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</si>
  <si>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</si>
  <si>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</si>
  <si>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</si>
  <si>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</si>
  <si>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</si>
  <si>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</si>
  <si>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</si>
  <si>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</si>
  <si>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</si>
  <si>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</si>
  <si>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</si>
  <si>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</si>
  <si>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</si>
  <si>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</si>
  <si>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</si>
  <si>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</si>
  <si>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</si>
  <si>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</si>
  <si>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</si>
  <si>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</si>
  <si>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</si>
  <si>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</si>
  <si>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</si>
  <si>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</si>
  <si>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</si>
  <si>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</si>
  <si>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</si>
  <si>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</si>
  <si>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</si>
  <si>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</si>
  <si>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</si>
  <si>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</si>
  <si>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</si>
  <si>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</si>
  <si>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</si>
  <si>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</si>
  <si>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</si>
  <si>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</si>
  <si>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</si>
  <si>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</si>
  <si>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</si>
  <si>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</si>
  <si>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</si>
  <si>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</si>
  <si>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</si>
  <si>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</si>
  <si>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</si>
  <si>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</si>
  <si>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</si>
  <si>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</si>
  <si>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</si>
  <si>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</si>
  <si>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</si>
  <si>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</si>
  <si>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</si>
  <si>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</si>
  <si>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</si>
  <si>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</si>
  <si>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</si>
  <si>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</si>
  <si>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</si>
  <si>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</si>
  <si>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</si>
  <si>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</si>
  <si>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</si>
  <si>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</si>
  <si>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</si>
  <si>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</si>
  <si>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</si>
  <si>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</si>
  <si>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</si>
  <si>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</si>
  <si>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</si>
  <si>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</si>
  <si>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</si>
  <si>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</si>
  <si>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</si>
  <si>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</si>
  <si>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</si>
  <si>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</si>
  <si>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</si>
  <si>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</si>
  <si>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</si>
  <si>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</si>
  <si>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</si>
  <si>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</si>
  <si>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</si>
  <si>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</si>
  <si>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</si>
  <si>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</si>
  <si>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</si>
  <si>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</si>
  <si>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</si>
  <si>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</si>
  <si>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</si>
  <si>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</si>
  <si>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</si>
  <si>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</si>
  <si>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</si>
  <si>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</si>
  <si>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</si>
  <si>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</si>
  <si>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</si>
  <si>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</si>
  <si>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</si>
  <si>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</si>
  <si>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</si>
  <si>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</si>
  <si>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</si>
  <si>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</si>
  <si>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</si>
  <si>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</si>
  <si>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</si>
  <si>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</si>
  <si>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</si>
  <si>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</si>
  <si>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</si>
  <si>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</si>
  <si>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</si>
  <si>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</si>
  <si>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</si>
  <si>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</si>
  <si>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</si>
  <si>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</si>
  <si>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</si>
  <si>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</si>
  <si>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</si>
  <si>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</si>
  <si>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</si>
  <si>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</si>
  <si>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</si>
  <si>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</si>
  <si>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</si>
  <si>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</si>
  <si>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</si>
  <si>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</si>
  <si>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</si>
  <si>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</si>
  <si>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</si>
  <si>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</si>
  <si>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</si>
  <si>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</si>
  <si>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</si>
  <si>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</si>
  <si>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</si>
  <si>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</si>
  <si>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</si>
  <si>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</si>
  <si>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</si>
  <si>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</si>
  <si>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</si>
  <si>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</si>
  <si>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</si>
  <si>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</si>
  <si>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</si>
  <si>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</si>
  <si>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</si>
  <si>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</si>
  <si>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</si>
  <si>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</si>
  <si>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</si>
  <si>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</si>
  <si>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</si>
  <si>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</si>
  <si>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</si>
  <si>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</si>
  <si>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</si>
  <si>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</si>
  <si>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</si>
  <si>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</si>
  <si>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</si>
  <si>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</si>
  <si>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</si>
  <si>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</si>
  <si>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</si>
  <si>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</si>
  <si>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</si>
  <si>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</si>
  <si>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</si>
  <si>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</si>
  <si>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</si>
  <si>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</si>
  <si>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</si>
  <si>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</si>
  <si>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</si>
  <si>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</si>
  <si>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</si>
  <si>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</si>
  <si>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</si>
  <si>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</si>
  <si>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</si>
  <si>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</si>
  <si>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</si>
  <si>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</si>
  <si>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</si>
  <si>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</si>
  <si>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</si>
  <si>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</si>
  <si>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</si>
  <si>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</si>
  <si>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</si>
  <si>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</si>
  <si>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</si>
  <si>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</si>
  <si>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</si>
  <si>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</si>
  <si>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</si>
  <si>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</si>
  <si>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</si>
  <si>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</si>
  <si>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</si>
  <si>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</si>
  <si>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</si>
  <si>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</si>
  <si>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</si>
  <si>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</si>
  <si>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</si>
  <si>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</si>
  <si>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</si>
  <si>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</si>
  <si>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</si>
  <si>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</si>
  <si>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</si>
  <si>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</si>
  <si>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</si>
  <si>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</si>
  <si>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</si>
  <si>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</si>
  <si>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</si>
  <si>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</si>
  <si>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</si>
  <si>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</si>
  <si>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</si>
  <si>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</si>
  <si>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</si>
  <si>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</si>
  <si>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</si>
  <si>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</si>
  <si>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</si>
  <si>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</si>
  <si>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</si>
  <si>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</si>
  <si>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</si>
  <si>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</si>
  <si>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</si>
  <si>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</si>
  <si>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</si>
  <si>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</si>
  <si>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</si>
  <si>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</si>
  <si>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</si>
  <si>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</si>
  <si>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</si>
  <si>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</si>
  <si>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</si>
  <si>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</si>
  <si>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</si>
  <si>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</si>
  <si>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</si>
  <si>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</si>
  <si>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</si>
  <si>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</si>
  <si>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</si>
  <si>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</si>
  <si>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</si>
  <si>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</si>
  <si>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</si>
  <si>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</si>
  <si>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</si>
  <si>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</si>
  <si>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</si>
  <si>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</si>
  <si>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</si>
  <si>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</si>
  <si>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</si>
  <si>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</si>
  <si>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</si>
  <si>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</si>
  <si>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</si>
  <si>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</si>
  <si>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</si>
  <si>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</si>
  <si>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</si>
  <si>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</si>
  <si>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</si>
  <si>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</si>
  <si>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</si>
  <si>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</si>
  <si>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</si>
  <si>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</si>
  <si>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</si>
  <si>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</si>
  <si>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</si>
  <si>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</si>
  <si>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</si>
  <si>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</si>
  <si>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</si>
  <si>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</si>
  <si>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</si>
  <si>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</si>
  <si>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</si>
  <si>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</si>
  <si>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</si>
  <si>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</si>
  <si>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</si>
  <si>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</si>
  <si>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</si>
  <si>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</si>
  <si>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</si>
  <si>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</si>
  <si>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</si>
  <si>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</si>
  <si>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</si>
  <si>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</si>
  <si>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</si>
  <si>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</si>
  <si>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</si>
  <si>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</si>
  <si>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</si>
  <si>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</si>
  <si>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</si>
  <si>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</si>
  <si>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</si>
  <si>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</si>
  <si>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</si>
  <si>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</si>
  <si>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</si>
  <si>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</si>
  <si>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</si>
  <si>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</si>
  <si>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</si>
  <si>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</si>
  <si>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</si>
  <si>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</si>
  <si>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</si>
  <si>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</si>
  <si>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</si>
  <si>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</si>
  <si>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</si>
  <si>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</si>
  <si>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</si>
  <si>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</si>
  <si>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</si>
  <si>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</si>
  <si>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</si>
  <si>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</si>
  <si>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</si>
  <si>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</si>
  <si>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</si>
  <si>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</si>
  <si>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</si>
  <si>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</si>
  <si>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</si>
  <si>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</si>
  <si>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</si>
  <si>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</si>
  <si>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</si>
  <si>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</si>
  <si>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</si>
  <si>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</si>
  <si>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</si>
  <si>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</si>
  <si>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</si>
  <si>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</si>
  <si>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</si>
  <si>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</si>
  <si>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</si>
  <si>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</si>
  <si>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</si>
  <si>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</si>
  <si>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</si>
  <si>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</si>
  <si>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</si>
  <si>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</si>
  <si>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</si>
  <si>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</si>
  <si>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</si>
  <si>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</si>
  <si>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</si>
  <si>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</si>
  <si>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</si>
  <si>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</si>
  <si>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</si>
  <si>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</si>
  <si>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</si>
  <si>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</si>
  <si>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</si>
  <si>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</si>
  <si>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</si>
  <si>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</si>
  <si>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</si>
  <si>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</si>
  <si>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</si>
  <si>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</si>
  <si>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</si>
  <si>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</si>
  <si>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</si>
  <si>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</si>
  <si>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</si>
  <si>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</si>
  <si>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</si>
  <si>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</si>
  <si>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</si>
  <si>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</si>
  <si>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</si>
  <si>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</si>
  <si>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</si>
  <si>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</si>
  <si>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</si>
  <si>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</si>
  <si>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</si>
  <si>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</si>
  <si>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</si>
  <si>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</si>
  <si>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</si>
  <si>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</si>
  <si>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</si>
  <si>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</si>
  <si>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</si>
  <si>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</si>
  <si>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</si>
  <si>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</si>
  <si>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</si>
  <si>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</si>
  <si>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</si>
  <si>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</si>
  <si>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</si>
  <si>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</si>
  <si>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</si>
  <si>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</si>
  <si>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</si>
  <si>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</si>
  <si>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</si>
  <si>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</si>
  <si>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</si>
  <si>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</si>
  <si>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</si>
  <si>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</si>
  <si>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</si>
  <si>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</si>
  <si>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</si>
  <si>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</si>
  <si>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</si>
  <si>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</si>
  <si>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</si>
  <si>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</si>
  <si>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</si>
  <si>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</si>
  <si>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</si>
  <si>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</si>
  <si>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</si>
  <si>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</si>
  <si>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</si>
  <si>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</si>
  <si>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</si>
  <si>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</si>
  <si>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</si>
  <si>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</si>
  <si>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</si>
  <si>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</si>
  <si>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</si>
  <si>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</si>
  <si>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</si>
  <si>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</si>
  <si>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</si>
  <si>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</si>
  <si>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</si>
  <si>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</si>
  <si>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</si>
  <si>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</si>
  <si>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</si>
  <si>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</si>
  <si>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</si>
  <si>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</si>
  <si>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</si>
  <si>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</si>
  <si>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</si>
  <si>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</si>
  <si>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</si>
  <si>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</si>
  <si>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</si>
  <si>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</si>
  <si>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</si>
  <si>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</si>
  <si>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</si>
  <si>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</si>
  <si>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</si>
  <si>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</si>
  <si>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</si>
  <si>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</si>
  <si>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</si>
  <si>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</si>
  <si>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</si>
  <si>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</si>
  <si>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</si>
  <si>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</si>
  <si>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</si>
  <si>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</si>
  <si>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</si>
  <si>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</si>
  <si>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</si>
  <si>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</si>
  <si>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</si>
  <si>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</si>
  <si>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</si>
  <si>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</si>
  <si>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</si>
  <si>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</si>
  <si>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</si>
  <si>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</si>
  <si>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</si>
  <si>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</si>
  <si>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</si>
  <si>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</si>
  <si>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</si>
  <si>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</si>
  <si>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</si>
  <si>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</si>
  <si>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</si>
  <si>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</si>
  <si>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</si>
  <si>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</si>
  <si>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</si>
  <si>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</si>
  <si>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</si>
  <si>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</si>
  <si>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</si>
  <si>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</si>
  <si>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</si>
  <si>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</si>
  <si>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</si>
  <si>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</si>
  <si>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</si>
  <si>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</si>
  <si>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</si>
  <si>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</si>
  <si>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</si>
  <si>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</si>
  <si>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</si>
  <si>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</si>
  <si>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</si>
  <si>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</si>
  <si>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</si>
  <si>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</si>
  <si>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</si>
  <si>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</si>
  <si>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</si>
  <si>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</si>
  <si>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</si>
  <si>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</si>
  <si>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</si>
  <si>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</si>
  <si>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</si>
  <si>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</si>
  <si>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</si>
  <si>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</si>
  <si>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</si>
  <si>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</si>
  <si>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</si>
  <si>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</si>
  <si>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</si>
  <si>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</si>
  <si>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</si>
  <si>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</si>
  <si>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</si>
  <si>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</si>
  <si>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</si>
  <si>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</si>
  <si>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</si>
  <si>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</si>
  <si>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</si>
  <si>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</si>
  <si>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</si>
  <si>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</si>
  <si>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</si>
  <si>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</si>
  <si>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</si>
  <si>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</si>
  <si>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</si>
  <si>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</si>
  <si>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</si>
  <si>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</si>
  <si>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</si>
  <si>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</si>
  <si>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</si>
  <si>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</si>
  <si>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</si>
  <si>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</si>
  <si>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</si>
  <si>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</si>
  <si>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</si>
  <si>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</si>
  <si>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</si>
  <si>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</si>
  <si>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</si>
  <si>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</si>
  <si>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</si>
  <si>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</si>
  <si>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</si>
  <si>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</si>
  <si>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</si>
  <si>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</si>
  <si>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</si>
  <si>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</si>
  <si>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</si>
  <si>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</si>
  <si>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</si>
  <si>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</si>
  <si>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</si>
  <si>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</si>
  <si>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</si>
  <si>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</si>
  <si>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</si>
  <si>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</si>
  <si>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</si>
  <si>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</si>
  <si>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</si>
  <si>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</si>
  <si>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</si>
  <si>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</si>
  <si>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</si>
  <si>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</si>
  <si>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</si>
  <si>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</si>
  <si>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</si>
  <si>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</si>
  <si>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</si>
  <si>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</si>
  <si>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</si>
  <si>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</si>
  <si>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</si>
  <si>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</si>
  <si>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</si>
  <si>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</si>
  <si>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</si>
  <si>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</si>
  <si>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</si>
  <si>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</si>
  <si>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</si>
  <si>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</si>
  <si>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</si>
  <si>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</si>
  <si>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</si>
  <si>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</si>
  <si>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</si>
  <si>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</si>
  <si>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</si>
  <si>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</si>
  <si>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</si>
  <si>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</si>
  <si>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</si>
  <si>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</si>
  <si>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</si>
  <si>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</si>
  <si>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</si>
  <si>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</si>
  <si>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</si>
  <si>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</si>
  <si>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</si>
  <si>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</si>
  <si>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</si>
  <si>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</si>
  <si>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</si>
  <si>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</si>
  <si>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</si>
  <si>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</si>
  <si>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</si>
  <si>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</si>
  <si>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</si>
  <si>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</si>
  <si>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</si>
  <si>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</si>
  <si>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</si>
  <si>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</si>
  <si>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</si>
  <si>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</si>
  <si>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</si>
  <si>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</si>
  <si>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</si>
  <si>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</si>
  <si>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</si>
  <si>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</si>
  <si>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</si>
  <si>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</si>
  <si>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</si>
  <si>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</si>
  <si>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</si>
  <si>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</si>
  <si>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</si>
  <si>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</si>
  <si>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</si>
  <si>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</si>
  <si>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</si>
  <si>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</si>
  <si>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</si>
  <si>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</si>
  <si>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</si>
  <si>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</si>
  <si>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</si>
  <si>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</si>
  <si>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</si>
  <si>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</si>
  <si>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</si>
  <si>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</si>
  <si>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</si>
  <si>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</si>
  <si>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</si>
  <si>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</si>
  <si>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</si>
  <si>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</si>
  <si>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</si>
  <si>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</si>
  <si>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</si>
  <si>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</si>
  <si>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</si>
  <si>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</si>
  <si>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</si>
  <si>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</si>
  <si>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</si>
  <si>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</si>
  <si>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</si>
  <si>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</si>
  <si>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</si>
  <si>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</si>
  <si>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</si>
  <si>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</si>
  <si>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</si>
  <si>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</si>
  <si>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</si>
  <si>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</si>
  <si>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</si>
  <si>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</si>
  <si>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</si>
  <si>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</si>
  <si>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</si>
  <si>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</si>
  <si>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</si>
  <si>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</si>
  <si>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</si>
  <si>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</si>
  <si>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</si>
  <si>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</si>
  <si>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</si>
  <si>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</si>
  <si>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</si>
  <si>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</si>
  <si>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</si>
  <si>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</si>
  <si>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</si>
  <si>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</si>
  <si>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</si>
  <si>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</si>
  <si>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</si>
  <si>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</si>
  <si>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</si>
  <si>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</si>
  <si>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</si>
  <si>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</si>
  <si>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</si>
  <si>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</si>
  <si>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</si>
  <si>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</si>
  <si>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</si>
  <si>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</si>
  <si>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</si>
  <si>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</si>
  <si>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</si>
  <si>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</si>
  <si>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</si>
  <si>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</si>
  <si>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</si>
  <si>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</si>
  <si>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</si>
  <si>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</si>
  <si>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</si>
  <si>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</si>
  <si>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</si>
  <si>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</si>
  <si>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</si>
  <si>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</si>
  <si>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</si>
  <si>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</si>
  <si>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</si>
  <si>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</si>
  <si>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</si>
  <si>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</si>
  <si>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</si>
  <si>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</si>
  <si>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</si>
  <si>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</si>
  <si>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</si>
  <si>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</si>
  <si>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</si>
  <si>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</si>
  <si>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</si>
  <si>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</si>
  <si>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</si>
  <si>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</si>
  <si>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</si>
  <si>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</si>
  <si>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</si>
  <si>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</si>
  <si>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</si>
  <si>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</si>
  <si>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</si>
  <si>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</si>
  <si>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</si>
  <si>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</si>
  <si>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</si>
  <si>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</si>
  <si>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</si>
  <si>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</si>
  <si>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</si>
  <si>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</si>
  <si>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</si>
  <si>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</si>
  <si>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</si>
  <si>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</si>
  <si>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</si>
  <si>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</si>
  <si>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</si>
  <si>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</si>
  <si>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</si>
  <si>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</si>
  <si>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</si>
  <si>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</si>
  <si>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</si>
  <si>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</si>
  <si>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</si>
  <si>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</si>
  <si>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</si>
  <si>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</si>
  <si>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</si>
  <si>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</si>
  <si>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</si>
  <si>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</si>
  <si>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</si>
  <si>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</si>
  <si>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</si>
  <si>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</si>
  <si>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</si>
  <si>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</si>
  <si>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</si>
  <si>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</si>
  <si>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</si>
  <si>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</si>
  <si>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</si>
  <si>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</si>
  <si>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</si>
  <si>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</si>
  <si>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</si>
  <si>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</si>
  <si>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</si>
  <si>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</si>
  <si>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</si>
  <si>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</si>
  <si>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</si>
  <si>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</si>
  <si>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</si>
  <si>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</si>
  <si>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</si>
  <si>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</si>
  <si>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</si>
  <si>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</si>
  <si>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</si>
  <si>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</si>
  <si>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</si>
  <si>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</si>
  <si>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</si>
  <si>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</si>
  <si>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</si>
  <si>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</si>
  <si>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</si>
  <si>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</si>
  <si>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</si>
  <si>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</si>
  <si>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</si>
  <si>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</si>
  <si>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</si>
  <si>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</si>
  <si>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</si>
  <si>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</si>
  <si>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</si>
  <si>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</si>
  <si>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</si>
  <si>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</si>
  <si>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</si>
  <si>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</si>
  <si>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</si>
  <si>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</si>
  <si>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</si>
  <si>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</si>
  <si>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</si>
  <si>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</si>
  <si>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</si>
  <si>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</si>
  <si>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</si>
  <si>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</si>
  <si>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</si>
  <si>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</si>
  <si>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</si>
  <si>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</si>
  <si>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</si>
  <si>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</si>
  <si>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</si>
  <si>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</si>
  <si>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</si>
  <si>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</si>
  <si>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</si>
  <si>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</si>
  <si>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</si>
  <si>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</si>
  <si>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</si>
  <si>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</si>
  <si>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</si>
  <si>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</si>
  <si>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</si>
  <si>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</si>
  <si>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</si>
  <si>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</si>
  <si>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</si>
  <si>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</si>
  <si>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</si>
  <si>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</si>
  <si>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</si>
  <si>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</si>
  <si>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</si>
  <si>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</si>
  <si>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</si>
  <si>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</si>
  <si>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</si>
  <si>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</si>
  <si>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</si>
  <si>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</si>
  <si>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</si>
  <si>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</si>
  <si>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</si>
  <si>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</si>
  <si>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</si>
  <si>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</si>
  <si>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</si>
  <si>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</si>
  <si>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</si>
  <si>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</si>
  <si>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</si>
  <si>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</si>
  <si>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</si>
  <si>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</si>
  <si>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</si>
  <si>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</si>
  <si>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</si>
  <si>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</si>
  <si>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</si>
  <si>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</si>
  <si>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</si>
  <si>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</si>
  <si>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</si>
  <si>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</si>
  <si>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</si>
  <si>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</si>
  <si>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</si>
  <si>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</si>
  <si>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</si>
  <si>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</si>
  <si>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</si>
  <si>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</si>
  <si>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</si>
  <si>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</si>
  <si>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</si>
  <si>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</si>
  <si>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</si>
  <si>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</si>
  <si>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</si>
  <si>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</si>
  <si>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</si>
  <si>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</si>
  <si>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</si>
  <si>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</si>
  <si>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</si>
  <si>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</si>
  <si>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</si>
  <si>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</si>
  <si>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</si>
  <si>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</si>
  <si>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</si>
  <si>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</si>
  <si>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</si>
  <si>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</si>
  <si>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</si>
  <si>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</si>
  <si>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</si>
  <si>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</si>
  <si>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</si>
  <si>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</si>
  <si>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</si>
  <si>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</si>
  <si>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</si>
  <si>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</si>
  <si>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</si>
  <si>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</si>
  <si>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</si>
  <si>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</si>
  <si>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</si>
  <si>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</si>
  <si>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</si>
  <si>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</si>
  <si>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</si>
  <si>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</si>
  <si>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</si>
  <si>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</si>
  <si>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</si>
  <si>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</si>
  <si>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</si>
  <si>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</si>
  <si>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</si>
  <si>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</si>
  <si>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</si>
  <si>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</si>
  <si>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</si>
  <si>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</si>
  <si>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</si>
  <si>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</si>
  <si>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</si>
  <si>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</si>
  <si>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</si>
  <si>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</si>
  <si>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</si>
  <si>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</si>
  <si>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</si>
  <si>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</si>
  <si>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</si>
  <si>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</si>
  <si>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</si>
  <si>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</si>
  <si>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</si>
  <si>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</si>
  <si>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</si>
  <si>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</si>
  <si>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</si>
  <si>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</si>
  <si>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</si>
  <si>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</si>
  <si>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</si>
  <si>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</si>
  <si>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</si>
  <si>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</si>
  <si>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</si>
  <si>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</si>
  <si>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</si>
  <si>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</si>
  <si>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</si>
  <si>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</si>
  <si>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</si>
  <si>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</si>
  <si>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</si>
  <si>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</si>
  <si>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</si>
  <si>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</si>
  <si>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</si>
  <si>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</si>
  <si>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</si>
  <si>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</si>
  <si>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</si>
  <si>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</si>
  <si>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</si>
  <si>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</si>
  <si>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</si>
  <si>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</si>
  <si>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</si>
  <si>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</si>
  <si>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</si>
  <si>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</si>
  <si>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</si>
  <si>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</si>
  <si>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</si>
  <si>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</si>
  <si>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</si>
  <si>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</si>
  <si>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</si>
  <si>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</si>
  <si>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</si>
  <si>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</si>
  <si>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</si>
  <si>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</si>
  <si>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</si>
  <si>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</si>
  <si>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</si>
  <si>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</si>
  <si>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</si>
  <si>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</si>
  <si>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</si>
  <si>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</si>
  <si>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</si>
  <si>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</si>
  <si>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</si>
  <si>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</si>
  <si>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</si>
  <si>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</si>
  <si>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</si>
  <si>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</si>
  <si>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</si>
  <si>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</si>
  <si>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</si>
  <si>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</si>
  <si>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</si>
  <si>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</si>
  <si>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</si>
  <si>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</si>
  <si>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</si>
  <si>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</si>
  <si>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</si>
  <si>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</si>
  <si>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</si>
  <si>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</si>
  <si>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</si>
  <si>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</si>
  <si>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</si>
  <si>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</si>
  <si>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</si>
  <si>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</si>
  <si>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</si>
  <si>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</si>
  <si>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</si>
  <si>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</si>
  <si>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</si>
  <si>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</si>
  <si>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</si>
  <si>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</si>
  <si>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</si>
  <si>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</si>
  <si>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</si>
  <si>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</si>
  <si>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</si>
  <si>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</si>
  <si>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</si>
  <si>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</si>
  <si>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</si>
  <si>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</si>
  <si>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</si>
  <si>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</si>
  <si>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</si>
  <si>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</si>
  <si>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</si>
  <si>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</si>
  <si>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</si>
  <si>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</si>
  <si>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</si>
  <si>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</si>
  <si>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</si>
  <si>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</si>
  <si>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</si>
  <si>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</si>
  <si>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</si>
  <si>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</si>
  <si>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</si>
  <si>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</si>
  <si>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</si>
  <si>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</si>
  <si>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</si>
  <si>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</si>
  <si>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</si>
  <si>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</si>
  <si>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</si>
  <si>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</si>
  <si>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</si>
  <si>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</si>
  <si>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</si>
  <si>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</si>
  <si>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</si>
  <si>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</si>
  <si>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</si>
  <si>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</si>
  <si>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</si>
  <si>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</si>
  <si>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</si>
  <si>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</si>
  <si>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</si>
  <si>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</si>
  <si>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</si>
  <si>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</si>
  <si>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</si>
  <si>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</si>
  <si>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</si>
  <si>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</si>
  <si>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</si>
  <si>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</si>
  <si>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</si>
  <si>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</si>
  <si>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</si>
  <si>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</si>
  <si>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</si>
  <si>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</si>
  <si>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</si>
  <si>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</si>
  <si>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</si>
  <si>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</si>
  <si>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</si>
  <si>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</si>
  <si>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</si>
  <si>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</si>
  <si>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</si>
  <si>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</si>
  <si>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</si>
  <si>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</si>
  <si>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</si>
  <si>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</si>
  <si>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</si>
  <si>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</si>
  <si>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</si>
  <si>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</si>
  <si>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</si>
  <si>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</si>
  <si>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</si>
  <si>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</si>
  <si>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</si>
  <si>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</si>
  <si>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</si>
  <si>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</si>
  <si>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</si>
  <si>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</si>
  <si>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</si>
  <si>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</si>
  <si>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</si>
  <si>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</si>
  <si>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</si>
  <si>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</si>
  <si>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</si>
  <si>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</si>
  <si>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</si>
  <si>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</si>
  <si>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</si>
  <si>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</si>
  <si>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</si>
  <si>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</si>
  <si>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</si>
  <si>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</si>
  <si>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</si>
  <si>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</si>
  <si>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</si>
  <si>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</si>
  <si>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</si>
  <si>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</si>
  <si>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</si>
  <si>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</si>
  <si>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</si>
  <si>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</si>
  <si>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</si>
  <si>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</si>
  <si>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</si>
  <si>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</si>
  <si>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</si>
  <si>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</si>
  <si>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</si>
  <si>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</si>
  <si>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</si>
  <si>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</si>
  <si>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</si>
  <si>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</si>
  <si>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</si>
  <si>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</si>
  <si>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</si>
  <si>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</si>
  <si>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</si>
  <si>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</si>
  <si>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</si>
  <si>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</si>
  <si>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</si>
  <si>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</si>
  <si>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</si>
  <si>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</si>
  <si>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</si>
  <si>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</si>
  <si>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</si>
  <si>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</si>
  <si>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</si>
  <si>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</si>
  <si>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</si>
  <si>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</si>
  <si>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</si>
  <si>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</si>
  <si>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</si>
  <si>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</si>
  <si>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</si>
  <si>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</si>
  <si>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</si>
  <si>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</si>
  <si>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</si>
  <si>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</si>
  <si>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</si>
  <si>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</si>
  <si>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</si>
  <si>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</si>
  <si>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</si>
  <si>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</si>
  <si>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</si>
  <si>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</si>
  <si>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</si>
  <si>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</si>
  <si>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</si>
  <si>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</si>
  <si>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</si>
  <si>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</si>
  <si>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</si>
  <si>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</si>
  <si>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</si>
  <si>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</si>
  <si>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</si>
  <si>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</si>
  <si>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</si>
  <si>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</si>
  <si>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</si>
  <si>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</si>
  <si>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</si>
  <si>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</si>
  <si>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</si>
  <si>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</si>
  <si>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</si>
  <si>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</si>
  <si>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</si>
  <si>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</si>
  <si>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</si>
  <si>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</si>
  <si>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</si>
  <si>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</si>
  <si>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</si>
  <si>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</si>
  <si>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</si>
  <si>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</si>
  <si>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</si>
  <si>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</si>
  <si>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</si>
  <si>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</si>
  <si>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</si>
  <si>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</si>
  <si>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</si>
  <si>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</si>
  <si>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</si>
  <si>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</si>
  <si>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</si>
  <si>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</si>
  <si>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</si>
  <si>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</si>
  <si>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</si>
  <si>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</si>
  <si>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</si>
  <si>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</si>
  <si>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</si>
  <si>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</si>
  <si>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</si>
  <si>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</si>
  <si>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</si>
  <si>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</si>
  <si>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</si>
  <si>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</si>
  <si>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</si>
  <si>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</si>
  <si>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</si>
  <si>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</si>
  <si>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</si>
  <si>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</si>
  <si>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</si>
  <si>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</si>
  <si>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</si>
  <si>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</si>
  <si>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</si>
  <si>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</si>
  <si>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</si>
  <si>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</si>
  <si>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</si>
  <si>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</si>
  <si>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</si>
  <si>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</si>
  <si>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</si>
  <si>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</si>
  <si>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</si>
  <si>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</si>
  <si>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</si>
  <si>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</si>
  <si>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</si>
  <si>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</si>
  <si>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</si>
  <si>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</si>
  <si>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</si>
  <si>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</si>
  <si>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</si>
  <si>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</si>
  <si>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</si>
  <si>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</si>
  <si>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</si>
  <si>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</si>
  <si>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</si>
  <si>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</si>
  <si>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</si>
  <si>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</si>
  <si>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</si>
  <si>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</si>
  <si>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</si>
  <si>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</si>
  <si>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</si>
  <si>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</si>
  <si>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</si>
  <si>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</si>
  <si>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</si>
  <si>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</si>
  <si>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</si>
  <si>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</si>
  <si>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</si>
  <si>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</si>
  <si>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</si>
  <si>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</si>
  <si>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</si>
  <si>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</si>
  <si>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</si>
  <si>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</si>
  <si>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</si>
  <si>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</si>
  <si>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</si>
  <si>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</si>
  <si>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</si>
  <si>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</si>
  <si>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</si>
  <si>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</si>
  <si>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</si>
  <si>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</si>
  <si>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</si>
  <si>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</si>
  <si>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</si>
  <si>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</si>
  <si>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</si>
  <si>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</si>
  <si>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</si>
  <si>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</si>
  <si>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</si>
  <si>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</si>
  <si>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</si>
  <si>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</si>
  <si>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</si>
  <si>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</si>
  <si>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</si>
  <si>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</si>
  <si>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</si>
  <si>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</si>
  <si>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</si>
  <si>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</si>
  <si>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</si>
  <si>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</si>
  <si>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</si>
  <si>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</si>
  <si>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</si>
  <si>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</si>
  <si>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</si>
  <si>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</si>
  <si>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</si>
  <si>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</si>
  <si>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</si>
  <si>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</si>
  <si>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</si>
  <si>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</si>
  <si>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</si>
  <si>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</si>
  <si>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</si>
  <si>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</si>
  <si>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</si>
  <si>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</si>
  <si>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</si>
  <si>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</si>
  <si>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</si>
  <si>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</si>
  <si>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</si>
  <si>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</si>
  <si>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</si>
  <si>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</si>
  <si>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</si>
  <si>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</si>
  <si>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</si>
  <si>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</si>
  <si>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</si>
  <si>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</si>
  <si>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</si>
  <si>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</si>
  <si>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</si>
  <si>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</si>
  <si>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</si>
  <si>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</si>
  <si>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</si>
  <si>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</si>
  <si>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</si>
  <si>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</si>
  <si>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</si>
  <si>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</si>
  <si>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</si>
  <si>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划拨</t>
  </si>
  <si>
    <t>地上</t>
  </si>
  <si>
    <t>是</t>
  </si>
  <si>
    <t>成新度</t>
  </si>
  <si>
    <t>估价对象容积率</t>
  </si>
  <si>
    <t>与级别开发程度不一致</t>
  </si>
  <si>
    <t>通上水</t>
  </si>
  <si>
    <t>通下水</t>
  </si>
  <si>
    <t>通电</t>
  </si>
  <si>
    <t>通讯</t>
  </si>
  <si>
    <t>通路</t>
  </si>
  <si>
    <t>平整</t>
  </si>
  <si>
    <t>按公示增长率计算</t>
  </si>
  <si>
    <t>中心城区</t>
  </si>
  <si>
    <t>较好</t>
  </si>
  <si>
    <t>一般</t>
  </si>
  <si>
    <t>较差</t>
  </si>
  <si>
    <t>好</t>
  </si>
  <si>
    <t>仓储</t>
    <phoneticPr fontId="7" type="noConversion"/>
  </si>
  <si>
    <t>已包含在土地取得成本中</t>
  </si>
  <si>
    <t>未包含在土地购买价格中</t>
  </si>
  <si>
    <t>序号</t>
  </si>
  <si>
    <t>项目</t>
  </si>
  <si>
    <t>测算值</t>
  </si>
  <si>
    <r>
      <rPr>
        <sz val="10"/>
        <color rgb="FF000000"/>
        <rFont val="宋体"/>
        <family val="3"/>
        <charset val="134"/>
      </rPr>
      <t>说明</t>
    </r>
  </si>
  <si>
    <t>折旧及摊销成本（万元）</t>
  </si>
  <si>
    <t>运营费用（万元）</t>
  </si>
  <si>
    <t>2=2.1+2.2+2.3</t>
  </si>
  <si>
    <t>维修费（万元）</t>
  </si>
  <si>
    <t>保险费（万元）</t>
  </si>
  <si>
    <t>物业费（万元）</t>
  </si>
  <si>
    <r>
      <rPr>
        <sz val="10"/>
        <color rgb="FF000000"/>
        <rFont val="宋体"/>
        <family val="3"/>
        <charset val="134"/>
      </rPr>
      <t>该项目为公租房，根据不动产权利人提供的《物业服务合同》及介绍，物业费水平为</t>
    </r>
    <r>
      <rPr>
        <sz val="10"/>
        <color rgb="FF000000"/>
        <rFont val="Arial"/>
        <family val="2"/>
      </rPr>
      <t>4</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月计算，则年物业费用为</t>
    </r>
    <r>
      <rPr>
        <sz val="10"/>
        <color rgb="FF000000"/>
        <rFont val="Arial"/>
        <family val="2"/>
      </rPr>
      <t>4×77947.76×12÷10000=374.15</t>
    </r>
    <r>
      <rPr>
        <sz val="10"/>
        <color rgb="FF000000"/>
        <rFont val="宋体"/>
        <family val="3"/>
        <charset val="134"/>
      </rPr>
      <t>万元。</t>
    </r>
    <phoneticPr fontId="273" type="noConversion"/>
  </si>
  <si>
    <t>管理成本（万元）</t>
  </si>
  <si>
    <t>3=3.1+3.2+3.3</t>
  </si>
  <si>
    <t>管理费（万元）</t>
  </si>
  <si>
    <t>利息（万元）</t>
  </si>
  <si>
    <t>利润（万元）</t>
  </si>
  <si>
    <t>年成本收益（万元）</t>
  </si>
  <si>
    <t>4=1+2+3</t>
  </si>
  <si>
    <r>
      <t>月成本收益</t>
    </r>
    <r>
      <rPr>
        <sz val="10"/>
        <color rgb="FF000000"/>
        <rFont val="Arial"/>
        <family val="2"/>
      </rPr>
      <t>(</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Arial"/>
        <family val="2"/>
      </rPr>
      <t>)</t>
    </r>
  </si>
  <si>
    <t>指运营管理机构人员、办公等的正常开支费用，参考同类项目测算，按年租金成本收益的 5%测算，即XX×12×77947.76×5%÷10000=233.84万元。</t>
    <phoneticPr fontId="273" type="noConversion"/>
  </si>
  <si>
    <t>基数为折旧摊销成本、没有其他费用和利息</t>
    <phoneticPr fontId="273" type="noConversion"/>
  </si>
  <si>
    <t>项目总建面</t>
    <phoneticPr fontId="134" type="noConversion"/>
  </si>
  <si>
    <r>
      <rPr>
        <sz val="10"/>
        <rFont val="宋体"/>
        <family val="3"/>
        <charset val="134"/>
      </rPr>
      <t>总建造成本为</t>
    </r>
    <r>
      <rPr>
        <sz val="10"/>
        <rFont val="Arial"/>
        <family val="2"/>
      </rPr>
      <t>10975.75</t>
    </r>
    <r>
      <rPr>
        <sz val="10"/>
        <rFont val="宋体"/>
        <family val="3"/>
        <charset val="134"/>
      </rPr>
      <t>万元。该项目为钢混结构，非生产用房经济耐用年限为</t>
    </r>
    <r>
      <rPr>
        <sz val="10"/>
        <rFont val="Arial"/>
        <family val="2"/>
      </rPr>
      <t xml:space="preserve">50 </t>
    </r>
    <r>
      <rPr>
        <sz val="10"/>
        <rFont val="宋体"/>
        <family val="3"/>
        <charset val="134"/>
      </rPr>
      <t>年，</t>
    </r>
    <r>
      <rPr>
        <sz val="10"/>
        <rFont val="Arial"/>
        <family val="2"/>
      </rPr>
      <t>2016</t>
    </r>
    <r>
      <rPr>
        <sz val="10"/>
        <rFont val="宋体"/>
        <family val="3"/>
        <charset val="134"/>
      </rPr>
      <t>年建成，根据项目剩余经济耐用年限，将购置成本按直线法折算至每年。</t>
    </r>
    <phoneticPr fontId="273" type="noConversion"/>
  </si>
  <si>
    <r>
      <t>5=4÷</t>
    </r>
    <r>
      <rPr>
        <sz val="10"/>
        <color rgb="FF000000"/>
        <rFont val="宋体"/>
        <family val="3"/>
        <charset val="134"/>
      </rPr>
      <t>建筑面积</t>
    </r>
    <r>
      <rPr>
        <sz val="10"/>
        <color rgb="FF000000"/>
        <rFont val="Arial"/>
        <family val="2"/>
      </rPr>
      <t>÷12</t>
    </r>
    <r>
      <rPr>
        <sz val="10"/>
        <color rgb="FF000000"/>
        <rFont val="宋体"/>
        <family val="3"/>
        <charset val="134"/>
      </rPr>
      <t>个月</t>
    </r>
    <phoneticPr fontId="134" type="noConversion"/>
  </si>
  <si>
    <t>建安</t>
    <phoneticPr fontId="134" type="noConversion"/>
  </si>
  <si>
    <r>
      <rPr>
        <sz val="10"/>
        <color rgb="FF000000"/>
        <rFont val="宋体"/>
        <family val="3"/>
        <charset val="134"/>
      </rPr>
      <t>主要包括室内部分及附属设施设备、公用部位</t>
    </r>
    <r>
      <rPr>
        <sz val="10"/>
        <color rgb="FF000000"/>
        <rFont val="Arial"/>
        <family val="2"/>
      </rPr>
      <t xml:space="preserve"> </t>
    </r>
    <r>
      <rPr>
        <sz val="10"/>
        <color rgb="FF000000"/>
        <rFont val="宋体"/>
        <family val="3"/>
        <charset val="134"/>
      </rPr>
      <t>和共用设施设备及相关场地的维修运行费用，</t>
    </r>
    <r>
      <rPr>
        <sz val="10"/>
        <color rgb="FF000000"/>
        <rFont val="Arial"/>
        <family val="2"/>
      </rPr>
      <t xml:space="preserve"> </t>
    </r>
    <r>
      <rPr>
        <sz val="10"/>
        <color rgb="FF000000"/>
        <rFont val="宋体"/>
        <family val="3"/>
        <charset val="134"/>
      </rPr>
      <t>维修费为</t>
    </r>
    <r>
      <rPr>
        <sz val="10"/>
        <color rgb="FF000000"/>
        <rFont val="Arial"/>
        <family val="2"/>
      </rPr>
      <t>0.5</t>
    </r>
    <r>
      <rPr>
        <sz val="10"/>
        <color rgb="FF000000"/>
        <rFont val="宋体"/>
        <family val="3"/>
        <charset val="134"/>
      </rPr>
      <t>元</t>
    </r>
    <r>
      <rPr>
        <sz val="10"/>
        <color rgb="FF000000"/>
        <rFont val="Arial"/>
        <family val="2"/>
      </rPr>
      <t>/</t>
    </r>
    <r>
      <rPr>
        <sz val="10"/>
        <color rgb="FF000000"/>
        <rFont val="宋体"/>
        <family val="3"/>
        <charset val="134"/>
      </rPr>
      <t>平方米</t>
    </r>
    <r>
      <rPr>
        <sz val="10"/>
        <color rgb="FF000000"/>
        <rFont val="Arial"/>
        <family val="2"/>
      </rPr>
      <t>·</t>
    </r>
    <r>
      <rPr>
        <sz val="10"/>
        <color rgb="FF000000"/>
        <rFont val="宋体"/>
        <family val="3"/>
        <charset val="134"/>
      </rPr>
      <t>月</t>
    </r>
    <r>
      <rPr>
        <sz val="10"/>
        <color rgb="FF000000"/>
        <rFont val="宋体"/>
        <family val="3"/>
        <charset val="134"/>
      </rPr>
      <t>。</t>
    </r>
    <phoneticPr fontId="273" type="noConversion"/>
  </si>
  <si>
    <r>
      <rPr>
        <sz val="10"/>
        <color rgb="FF000000"/>
        <rFont val="宋体"/>
        <family val="3"/>
        <charset val="134"/>
      </rPr>
      <t>指房屋产权人为使自己的房产避免意外损失而向保险公司支付的费用</t>
    </r>
    <r>
      <rPr>
        <sz val="10"/>
        <color rgb="FF000000"/>
        <rFont val="宋体"/>
        <family val="3"/>
        <charset val="134"/>
      </rPr>
      <t>。</t>
    </r>
    <phoneticPr fontId="273" type="noConversion"/>
  </si>
  <si>
    <t>确认实际是否存在贷款，无贷不计息</t>
    <phoneticPr fontId="134" type="noConversion"/>
  </si>
  <si>
    <t>无贷不计息</t>
    <phoneticPr fontId="134" type="noConversion"/>
  </si>
  <si>
    <t>位置</t>
    <phoneticPr fontId="134" type="noConversion"/>
  </si>
  <si>
    <t>土地用途</t>
    <phoneticPr fontId="134" type="noConversion"/>
  </si>
  <si>
    <t>土地类型</t>
    <phoneticPr fontId="134" type="noConversion"/>
  </si>
  <si>
    <t>面积</t>
    <phoneticPr fontId="134" type="noConversion"/>
  </si>
  <si>
    <t>租金</t>
    <phoneticPr fontId="134" type="noConversion"/>
  </si>
  <si>
    <t>备注</t>
    <phoneticPr fontId="134" type="noConversion"/>
  </si>
  <si>
    <t>丙二类</t>
    <phoneticPr fontId="134" type="noConversion"/>
  </si>
  <si>
    <t>后沙峪</t>
    <phoneticPr fontId="134" type="noConversion"/>
  </si>
  <si>
    <t>仓库</t>
    <phoneticPr fontId="134" type="noConversion"/>
  </si>
  <si>
    <t>2000-40000</t>
    <phoneticPr fontId="134" type="noConversion"/>
  </si>
  <si>
    <t>仓库、工业</t>
    <phoneticPr fontId="134" type="noConversion"/>
  </si>
  <si>
    <t>国有</t>
    <phoneticPr fontId="134" type="noConversion"/>
  </si>
  <si>
    <t>https://bj.58.com/fangchan/82742185103965x.shtml?utm_source=market&amp;prd=x0NAXiR1wlSETnm4cICGeqFIkmFTYpQOs%2FD1vjH0i6w%3D&amp;houseId=3991157049252867&amp;urlParamsMap=3053230614D404344D306BF57F032E991EE4926AE895E610298291E46A460E916D20F94F99757863154E927CF1EE0D5A6374BE53D48460C5E44A365FD54CEC92572044C96712FC9E60BE97CD9AF43FE5AE8AB0BFEE5C8FB276DC035C06AD30B13E4AF83B85BA7CEC84FD180BE7AECA1430DE6EF9CD5772F27439677B6BF73F6897541D511C5216D1B1B3AF6A4CA70F27DF1FBF186D12CF7937D276796A678591719B487E47196AD6834191D086998F7C&amp;gpos=5&amp;legourl=%2F%2Flegoclick.58.com%2Fjump%3Ftarget%3DszqBpB3draOWUvYfuh78uvPCmy3frjcLPjcQrjNQnjnOPWR3sMPCIAd_TyEVrjnkn1KBPWnVP1DkniYYnj0LsH--uWbVuAPhryNOryEknHPbTHNYn1DknW03P1bOn19dTED1rHbQnHNLnjEOnWNzrjmLTHnQPjmkTHnQPHTkTHD_nHmKnikvrjDkTHDLPWDzrj93rHN3rH0KPT7AEdqEEdqHyNwjgSyr98pcfdqniRPNgYGmTHDKnEDKsHDKsEDQrH0OnHDdrjc3rH9YrHNYrj9zTHmK0A7zmyd1n1NvrWc_0A7zmyd1nWT1rWD_Uy-6UbGGrWDznjTkg1bOrHbOrHbKnED1PyuBn1NkradBuj-hsHEYP1mVmyPBnadbPj9QmWmOmvuhn1bKnHbLrHDQPH9zrHT3rH9QPWNLrTDQrH0OnHDdrjcOnjmkPHn3n1m3TEDKTEDKsEDKTE7jpLIKy7IMigFfuAuDHhRAEY6YEN7M5HYKnHTvsWDzna3QnHm8nWTzTHTKnTDKnikQP97exEDQnjT1PTDQnjTYnj0vTHuhuHTvujuBsH7huyDVPAnQPBdBn1-hsHu-rHR-nWmvnjIWPTDKnTDKTHTKnikvrjDksjm3rjcKnE78IyQ_TyRWuhc3nAmQmHu6ujT3PvE&amp;referinfo=false&amp;spm=&amp;positionType=legojingxuanhouse&amp;lgtid_shangyetie=6fe06d6b-1fea-4c16-b39f-6e95e26607c4&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18</t>
    <phoneticPr fontId="134" type="noConversion"/>
  </si>
  <si>
    <t>丙二类</t>
    <phoneticPr fontId="134" type="noConversion"/>
  </si>
  <si>
    <t>https://bj.58.com/fangchan/84919213339485x.shtml?utm_source=market&amp;prd=x0NAXiR1wlSETnm4cICGemeAtlHq4cAwBVmqYmz0tG0%3D&amp;houseId=4269816663399432&amp;urlParamsMap=3053230614D404344D306BF57F032E991EE4926AE895E610298291E46A460E916D20F94F99757863B1AEE64029817A265E349128539ED5439E8119BC4E11FD85AD3DCFA25B4F1888996B16AE5017B581249BB70E338D2582740FAF213745C14191F4F0186690D402D7DD417F64AE99E077F00718F16EB7FF541E677040DA19533E6A319CE1FE75A6F05AB0F54B1C721AF372766926CBA4C9CE3A44320FC47E44719B487E47196AD658C38A57B04963B0&amp;gpos=4&amp;legotopurl=%2F%2Flegoclick.58.com%2Fjump%3Ftarget%3DszqBpB3draOWUvYfuh78uvPCmy3frjEOnHbznHn1n1bYrjR3sMPCIAd_TyEVnj9Quj91mhcVnWubnBYYPjcksyckrH9Vmv7huyndPWNQnWFhTHDkn1cvPHn3PWcLnjTQrEDKPjcvrH9QPWmvn1nOrHE1n9DkTHDknTDQsjDvTHD_PW9QnTDQP1mQnW93rjnYPHc3THEKPH9VUA-1IZGbsXyR68i3h8y0_rilGkDQTHDKTiYQTiYKnHbLPWDLrHELP1TOnWn1rH0QnkDvTgK60h7V01ndPWCzsZK60h7V01ckn1CQsA-1Rh-krWDKnEDOPhm1ujRbniYzmhcQsHELuHmVmWPBriYzn1FhnAu-mWNknyDKnHbLPWDLrHELP1ckrH03rjEQPkDQrH0vnH0OPj0LnH9kPjEkPH0vTEDKTEDKsEDKTE7jpLIKy7IMigFfuAuDHhRAEY6YEN7M5HYKnHTvsWDzna3QnHm8nWTzTHTKnTDKnikQP97exEDQnjTKnHTknWbknTD3myN3rH6bmiY3uWb1sHE1uyNVrjEduaYQrHnOPyP6mhEOn1cKTHTKTEDkTHD_PW9QnakQrHE3n9DQTyOdUAkKuWK6P17-PHu6mvnQuhnQPT&amp;referinfo=false&amp;spm=&amp;positionType=legotophouse&amp;lgtid_shangyetie=8ae898da-8f93-43ee-845d-19395cabd932&amp;cocoTestType=coco_area_expand_test&amp;legoCocoTestType=coco_area_expand_test&amp;filterJson=eyJRVVlVIjpbeyJrZXkiOiIiLCJsYWJlbCI6IumhuuS5iSIsInZhbCI6InNodW55aSJ9XX0&amp;jx_abtest=ZWljX3N5ZGNfcGNfcmVjb21tZW5kX3Rlc3QscHRyX2ZhbmdfYnVkZ2V0X2JvdHRvbXwxLGNvY29fYXJlYV9leHBhbmRfdGVzdCx1c2VyX3BoYXNlX2w&amp;list_type=main&amp;PGTID=0d305770-0000-1269-5dd8-c19bd73ad94c&amp;ClickID=10</t>
    <phoneticPr fontId="134" type="noConversion"/>
  </si>
  <si>
    <t>层高</t>
    <phoneticPr fontId="134" type="noConversion"/>
  </si>
  <si>
    <t>南法信</t>
    <phoneticPr fontId="134" type="noConversion"/>
  </si>
  <si>
    <r>
      <t>1000</t>
    </r>
    <r>
      <rPr>
        <sz val="11"/>
        <color theme="1"/>
        <rFont val="宋体"/>
        <family val="3"/>
        <charset val="134"/>
        <scheme val="minor"/>
      </rPr>
      <t>-3000</t>
    </r>
    <phoneticPr fontId="134" type="noConversion"/>
  </si>
  <si>
    <t>【7图】丙二消防丨高标库丨可分租丨可生产丨高配置,北京顺义杨镇厂房/仓库/土地/车位出租-北京58同城</t>
  </si>
  <si>
    <t>杨镇</t>
    <phoneticPr fontId="134" type="noConversion"/>
  </si>
  <si>
    <t>国有</t>
    <phoneticPr fontId="134" type="noConversion"/>
  </si>
  <si>
    <r>
      <t>1</t>
    </r>
    <r>
      <rPr>
        <sz val="11"/>
        <color theme="1"/>
        <rFont val="宋体"/>
        <family val="3"/>
        <charset val="134"/>
        <scheme val="minor"/>
      </rPr>
      <t>000-60000</t>
    </r>
    <phoneticPr fontId="134" type="noConversion"/>
  </si>
  <si>
    <t>马坡</t>
    <phoneticPr fontId="134" type="noConversion"/>
  </si>
  <si>
    <r>
      <t>2</t>
    </r>
    <r>
      <rPr>
        <sz val="11"/>
        <color theme="1"/>
        <rFont val="宋体"/>
        <family val="3"/>
        <charset val="134"/>
        <scheme val="minor"/>
      </rPr>
      <t>000-20000</t>
    </r>
    <phoneticPr fontId="134" type="noConversion"/>
  </si>
  <si>
    <t>【9图】标准高台库2000平米起租丨价格低手续全丨可分租,北京顺义马坡厂房/仓库/土地/车位出租-北京58同城</t>
  </si>
  <si>
    <t>工业</t>
    <phoneticPr fontId="134" type="noConversion"/>
  </si>
  <si>
    <t>南彩镇</t>
    <phoneticPr fontId="134" type="noConversion"/>
  </si>
  <si>
    <r>
      <t>1</t>
    </r>
    <r>
      <rPr>
        <sz val="11"/>
        <color theme="1"/>
        <rFont val="宋体"/>
        <family val="3"/>
        <charset val="134"/>
        <scheme val="minor"/>
      </rPr>
      <t>000-13000</t>
    </r>
    <phoneticPr fontId="134" type="noConversion"/>
  </si>
  <si>
    <t>【8图】顺义营13000平高台库房出租 丙2设施可分租,北京顺义南彩厂房/仓库/土地/车位出租-北京58同城</t>
  </si>
  <si>
    <t>仓库</t>
    <phoneticPr fontId="134" type="noConversion"/>
  </si>
  <si>
    <t>比较法</t>
    <phoneticPr fontId="134" type="noConversion"/>
  </si>
  <si>
    <t>成本法</t>
    <phoneticPr fontId="134" type="noConversion"/>
  </si>
  <si>
    <t>方法</t>
    <phoneticPr fontId="134" type="noConversion"/>
  </si>
  <si>
    <t>单价</t>
    <phoneticPr fontId="134" type="noConversion"/>
  </si>
  <si>
    <t>权重</t>
    <phoneticPr fontId="134" type="noConversion"/>
  </si>
  <si>
    <t>单价</t>
    <phoneticPr fontId="134" type="noConversion"/>
  </si>
  <si>
    <t>仓储</t>
    <phoneticPr fontId="31" type="noConversion"/>
  </si>
  <si>
    <t>层高</t>
    <phoneticPr fontId="31" type="noConversion"/>
  </si>
  <si>
    <t>丙二类</t>
    <phoneticPr fontId="31" type="noConversion"/>
  </si>
  <si>
    <t>多层</t>
    <phoneticPr fontId="31" type="noConversion"/>
  </si>
  <si>
    <t>七通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</si>
</sst>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sz val="9"/>
      <name val="等线"/>
      <family val="3"/>
      <charset val="134"/>
    </font>
    <font>
      <sz val="11"/>
      <color rgb="FF000000"/>
      <name val="等线"/>
      <family val="3"/>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95" fillId="0" borderId="0"/>
    <xf numFmtId="43" fontId="274" fillId="0" borderId="0" applyFont="0" applyFill="0" applyBorder="0" applyAlignment="0" applyProtection="0">
      <alignment vertical="center"/>
    </xf>
    <xf numFmtId="0" fontId="274" fillId="0" borderId="0"/>
    <xf numFmtId="0" fontId="275" fillId="0" borderId="0" applyNumberFormat="0" applyFill="0" applyBorder="0" applyAlignment="0" applyProtection="0">
      <alignment vertical="center"/>
    </xf>
  </cellStyleXfs>
  <cellXfs count="353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163" fillId="0" borderId="1" xfId="1" applyFont="1" applyBorder="1" applyAlignment="1">
      <alignment horizontal="center" vertical="center" wrapText="1"/>
    </xf>
    <xf numFmtId="0" fontId="164" fillId="0" borderId="1" xfId="1" applyFont="1" applyBorder="1" applyAlignment="1">
      <alignment horizontal="center" vertical="center" wrapText="1"/>
    </xf>
    <xf numFmtId="179" fontId="164" fillId="0" borderId="1" xfId="1" applyNumberFormat="1" applyFont="1" applyBorder="1" applyAlignment="1">
      <alignment horizontal="center" vertical="center" wrapText="1"/>
    </xf>
    <xf numFmtId="0" fontId="53" fillId="0" borderId="1" xfId="1" applyFont="1" applyBorder="1" applyAlignment="1">
      <alignment horizontal="center" vertical="center" wrapText="1"/>
    </xf>
    <xf numFmtId="0" fontId="163" fillId="7" borderId="1" xfId="1" applyFont="1" applyFill="1" applyBorder="1" applyAlignment="1">
      <alignment horizontal="center" vertical="center" wrapText="1"/>
    </xf>
    <xf numFmtId="2" fontId="164" fillId="0" borderId="1" xfId="1" applyNumberFormat="1" applyFont="1" applyBorder="1" applyAlignment="1">
      <alignment horizontal="center" vertical="center" wrapText="1"/>
    </xf>
    <xf numFmtId="176" fontId="164" fillId="0" borderId="1" xfId="1" applyNumberFormat="1" applyFont="1" applyBorder="1" applyAlignment="1">
      <alignment horizontal="center" vertical="center" wrapText="1"/>
    </xf>
    <xf numFmtId="0" fontId="95" fillId="0" borderId="0" xfId="1">
      <alignment vertical="center"/>
    </xf>
    <xf numFmtId="0" fontId="95" fillId="0" borderId="1" xfId="19" applyBorder="1"/>
    <xf numFmtId="2" fontId="95" fillId="0" borderId="0" xfId="1" applyNumberFormat="1">
      <alignment vertical="center"/>
    </xf>
    <xf numFmtId="179" fontId="95" fillId="0" borderId="0" xfId="1" applyNumberFormat="1">
      <alignment vertical="center"/>
    </xf>
    <xf numFmtId="10" fontId="272" fillId="0" borderId="0" xfId="1" applyNumberFormat="1" applyFont="1">
      <alignment vertical="center"/>
    </xf>
    <xf numFmtId="10" fontId="95" fillId="0" borderId="0" xfId="1" applyNumberFormat="1">
      <alignment vertical="center"/>
    </xf>
    <xf numFmtId="0" fontId="272" fillId="0" borderId="0" xfId="1" applyFont="1" applyAlignment="1">
      <alignment vertical="center" wrapText="1"/>
    </xf>
    <xf numFmtId="0" fontId="95" fillId="0" borderId="0" xfId="19"/>
    <xf numFmtId="9" fontId="95" fillId="0" borderId="0" xfId="1" applyNumberFormat="1">
      <alignment vertical="center"/>
    </xf>
    <xf numFmtId="0" fontId="0" fillId="0" borderId="0" xfId="0" applyAlignment="1">
      <alignment horizontal="center" vertical="center"/>
    </xf>
    <xf numFmtId="0" fontId="275" fillId="0" borderId="0" xfId="22">
      <alignment vertical="center"/>
    </xf>
    <xf numFmtId="0" fontId="95" fillId="5" borderId="0" xfId="0" applyFont="1" applyFill="1" applyAlignment="1">
      <alignment horizontal="center" vertical="center"/>
    </xf>
    <xf numFmtId="0" fontId="0" fillId="5" borderId="0" xfId="0" applyFill="1" applyAlignment="1">
      <alignment horizontal="center" vertical="center"/>
    </xf>
    <xf numFmtId="14" fontId="44" fillId="0" borderId="70" xfId="0" applyNumberFormat="1" applyFont="1" applyBorder="1" applyAlignment="1" applyProtection="1">
      <alignment horizontal="center" vertical="center" wrapText="1"/>
      <protection locked="0"/>
    </xf>
    <xf numFmtId="14" fontId="44" fillId="0" borderId="26" xfId="0" applyNumberFormat="1"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38"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0" fillId="0" borderId="0" xfId="0"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2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3">
    <cellStyle name="百分比" xfId="17" builtinId="5"/>
    <cellStyle name="百分比 2" xfId="14" xr:uid="{00000000-0005-0000-0000-000001000000}"/>
    <cellStyle name="常规" xfId="0" builtinId="0"/>
    <cellStyle name="常规 10" xfId="21" xr:uid="{00000000-0005-0000-0000-00000300000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4 2" xfId="19"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超链接" xfId="22" builtinId="8"/>
    <cellStyle name="千位分隔 2" xfId="20" xr:uid="{00000000-0005-0000-0000-000016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8</xdr:col>
      <xdr:colOff>10571</xdr:colOff>
      <xdr:row>25</xdr:row>
      <xdr:rowOff>99060</xdr:rowOff>
    </xdr:to>
    <xdr:pic>
      <xdr:nvPicPr>
        <xdr:cNvPr id="3" name="图片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a:stretch>
          <a:fillRect/>
        </a:stretch>
      </xdr:blipFill>
      <xdr:spPr>
        <a:xfrm>
          <a:off x="0" y="1280160"/>
          <a:ext cx="5870351" cy="3390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6</xdr:col>
      <xdr:colOff>293621</xdr:colOff>
      <xdr:row>11</xdr:row>
      <xdr:rowOff>148320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1" y="0"/>
          <a:ext cx="3951220" cy="2160000"/>
        </a:xfrm>
        <a:prstGeom prst="rect">
          <a:avLst/>
        </a:prstGeom>
      </xdr:spPr>
    </xdr:pic>
    <xdr:clientData/>
  </xdr:twoCellAnchor>
  <xdr:twoCellAnchor editAs="oneCell">
    <xdr:from>
      <xdr:col>0</xdr:col>
      <xdr:colOff>0</xdr:colOff>
      <xdr:row>12</xdr:row>
      <xdr:rowOff>7620</xdr:rowOff>
    </xdr:from>
    <xdr:to>
      <xdr:col>14</xdr:col>
      <xdr:colOff>220464</xdr:colOff>
      <xdr:row>31</xdr:row>
      <xdr:rowOff>132900</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2202180"/>
          <a:ext cx="8754864" cy="3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38376;&#22836;&#27807;&#20849;&#26377;&#20135;&#26435;\2019&#26032;\Documents%20and%20Settings\All%20Users\Documents\pp&#22791;&#20221;\pei\&#27979;&#31639;&#34920;\&#23545;&#20844;&#20107;&#19994;&#37096;&#8212;&#30005;&#31639;&#34920;-&#25151;&#22320;&#20135;-&#21333;&#2287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23425;\2.&#32508;&#21512;\4.&#20854;&#20182;\2021\2021-1-0560&#38376;&#22836;&#27807;&#35199;&#23665;&#21360;&#20849;&#26377;&#20135;&#26435;\F02&#19987;&#23478;&#24847;&#35265;&#20462;&#25913;\&#27979;&#31639;-&#20849;&#26377;&#20135;&#26435;-10.1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楼层测算"/>
      <sheetName val="项目基本情况"/>
      <sheetName val="案例整理"/>
      <sheetName val="比较法 (住宅) 估价对象"/>
      <sheetName val="可比案例1比较法-丽湾"/>
      <sheetName val="可比案例2比较法-惠民家园"/>
      <sheetName val="可比案例3比较法-皓月园"/>
      <sheetName val="系统读取表"/>
      <sheetName val="可比案例4"/>
      <sheetName val="建委网站及中指水平"/>
      <sheetName val="剩余年限"/>
      <sheetName val="低价格案例"/>
      <sheetName val="面积统计"/>
    </sheetNames>
    <sheetDataSet>
      <sheetData sheetId="0">
        <row r="2">
          <cell r="J2" t="str">
            <v>钢混</v>
          </cell>
          <cell r="M2" t="str">
            <v>有</v>
          </cell>
        </row>
        <row r="3">
          <cell r="J3" t="str">
            <v>混合</v>
          </cell>
          <cell r="M3" t="str">
            <v>无</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hyperlink" Target="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TargetMode="External"/><Relationship Id="rId2" Type="http://schemas.openxmlformats.org/officeDocument/2006/relationships/hyperlink" Target="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TargetMode="External"/><Relationship Id="rId1" Type="http://schemas.openxmlformats.org/officeDocument/2006/relationships/hyperlink" Target="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TargetMode="External"/><Relationship Id="rId4"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受贵公司委托，我公司对进行了预评估。</v>
      </c>
    </row>
    <row r="7" spans="1:2">
      <c r="A7" s="1119" t="s">
        <v>566</v>
      </c>
      <c r="B7" s="1120" t="str">
        <f>'预评函-1'!A7</f>
        <v>估价对象为房地产，为所有。根据《国有土地使用证》[]，估价对象（分摊）出让国有建设用地使用权面积为6666.7平方米，建筑面积为16683.08平方米。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估价对象为房地产,属开发建设的，该项目尚在开发建设中。根据《国有土地使用证》[]，估价对象（分摊）出让国有建设用地使用权面积为6666.7平方米，规划建筑面积为16683.08平方米。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2025年10月22日（评估专业人员实地查勘之日）</v>
      </c>
    </row>
    <row r="13" spans="1:2">
      <c r="A13" s="1119" t="s">
        <v>529</v>
      </c>
      <c r="B13" s="1120" t="str">
        <f>'预评函-1'!A18</f>
        <v>本次估价的“房地产价值”是指在正常市场情况下，在价值时点2025年10月22日，估价对象规划用途为，土地取得方式为划拨，假定未设立法定优先受偿款下的房地产市场价值。</v>
      </c>
    </row>
    <row r="14" spans="1:2">
      <c r="A14" s="1119" t="s">
        <v>530</v>
      </c>
      <c r="B14" s="1120"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房地产</v>
      </c>
    </row>
    <row r="42" spans="1:2">
      <c r="A42" s="1119" t="s">
        <v>590</v>
      </c>
      <c r="B42" s="1120" t="str">
        <f>'预评函-3'!B2</f>
        <v>建筑面积</v>
      </c>
    </row>
    <row r="43" spans="1:2">
      <c r="A43" s="1119" t="s">
        <v>591</v>
      </c>
      <c r="B43" s="1120">
        <f>'预评函-3'!B4</f>
        <v>16683.080000000002</v>
      </c>
    </row>
    <row r="44" spans="1:2">
      <c r="A44" s="1119" t="s">
        <v>575</v>
      </c>
      <c r="B44" s="1120" t="str">
        <f>'预评函-3'!C2</f>
        <v>(分摊)土地面积</v>
      </c>
    </row>
    <row r="45" spans="1:2">
      <c r="A45" s="1119" t="s">
        <v>547</v>
      </c>
      <c r="B45" s="1120">
        <f>'预评函-3'!C4</f>
        <v>6666.7</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B25" sqref="B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3402</v>
      </c>
      <c r="AA1" s="1438" t="s">
        <v>3401</v>
      </c>
      <c r="AB1" s="1438" t="s">
        <v>3</v>
      </c>
    </row>
    <row r="2" spans="1:28">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3408</v>
      </c>
      <c r="Z2" s="1445" t="s">
        <v>2452</v>
      </c>
      <c r="AA2" s="1445" t="s">
        <v>3409</v>
      </c>
      <c r="AB2" s="1445" t="s">
        <v>2479</v>
      </c>
    </row>
    <row r="3" spans="1:28">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3410</v>
      </c>
    </row>
    <row r="6" spans="1:28">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3339</v>
      </c>
      <c r="X7" s="1445" t="s">
        <v>2449</v>
      </c>
      <c r="Z7" s="1445" t="s">
        <v>2462</v>
      </c>
      <c r="AB7" s="1445" t="s">
        <v>2488</v>
      </c>
    </row>
    <row r="8" spans="1:28">
      <c r="A8" s="1441" t="s">
        <v>1026</v>
      </c>
      <c r="B8" s="1441" t="s">
        <v>1027</v>
      </c>
      <c r="C8" s="1442" t="s">
        <v>319</v>
      </c>
      <c r="F8" s="1443" t="s">
        <v>1028</v>
      </c>
      <c r="H8" s="1443" t="s">
        <v>2577</v>
      </c>
      <c r="I8" s="1443" t="s">
        <v>3340</v>
      </c>
      <c r="X8" s="1445" t="s">
        <v>3411</v>
      </c>
      <c r="Z8" s="1445" t="s">
        <v>2464</v>
      </c>
      <c r="AB8" s="1445" t="s">
        <v>2490</v>
      </c>
    </row>
    <row r="9" spans="1:28">
      <c r="A9" s="1441" t="s">
        <v>1029</v>
      </c>
      <c r="B9" s="1441" t="s">
        <v>1030</v>
      </c>
      <c r="C9" s="1442" t="s">
        <v>320</v>
      </c>
      <c r="F9" s="1443" t="s">
        <v>1031</v>
      </c>
      <c r="H9" s="1443"/>
      <c r="I9" s="1445" t="s">
        <v>3341</v>
      </c>
      <c r="X9" s="1445" t="s">
        <v>3412</v>
      </c>
      <c r="Z9" s="1445" t="s">
        <v>2466</v>
      </c>
      <c r="AB9" s="1445" t="s">
        <v>2492</v>
      </c>
    </row>
    <row r="10" spans="1:28">
      <c r="A10" s="1441" t="s">
        <v>1032</v>
      </c>
      <c r="B10" s="1441" t="s">
        <v>1033</v>
      </c>
      <c r="C10" s="1442" t="s">
        <v>321</v>
      </c>
      <c r="F10" s="1443" t="s">
        <v>2578</v>
      </c>
      <c r="I10" s="1445" t="s">
        <v>3342</v>
      </c>
      <c r="Z10" s="1445" t="s">
        <v>2468</v>
      </c>
      <c r="AB10" s="1445" t="s">
        <v>2494</v>
      </c>
    </row>
    <row r="11" spans="1:28">
      <c r="A11" s="1441" t="s">
        <v>1034</v>
      </c>
      <c r="B11" s="1441" t="s">
        <v>1035</v>
      </c>
      <c r="C11" s="1442" t="s">
        <v>322</v>
      </c>
      <c r="F11" s="1443" t="s">
        <v>13</v>
      </c>
      <c r="I11" s="1445" t="s">
        <v>3343</v>
      </c>
      <c r="Z11" s="1445" t="s">
        <v>2470</v>
      </c>
      <c r="AB11" s="1445" t="s">
        <v>2496</v>
      </c>
    </row>
    <row r="12" spans="1:28">
      <c r="A12" s="1441" t="s">
        <v>1036</v>
      </c>
      <c r="B12" s="1441" t="s">
        <v>1037</v>
      </c>
      <c r="C12" s="1442" t="s">
        <v>323</v>
      </c>
      <c r="I12" s="1445" t="s">
        <v>3344</v>
      </c>
      <c r="Z12" s="1445" t="s">
        <v>2472</v>
      </c>
      <c r="AB12" s="1445" t="s">
        <v>2498</v>
      </c>
    </row>
    <row r="13" spans="1:28">
      <c r="A13" s="1441" t="s">
        <v>1038</v>
      </c>
      <c r="B13" s="1441" t="s">
        <v>1039</v>
      </c>
      <c r="C13" s="1442" t="s">
        <v>324</v>
      </c>
      <c r="I13" s="1445" t="s">
        <v>3345</v>
      </c>
      <c r="Z13" s="1445" t="s">
        <v>2474</v>
      </c>
    </row>
    <row r="14" spans="1:28">
      <c r="A14" s="1441" t="s">
        <v>1040</v>
      </c>
      <c r="B14" s="1441" t="s">
        <v>1041</v>
      </c>
      <c r="C14" s="1443" t="s">
        <v>13</v>
      </c>
      <c r="I14" s="1445" t="s">
        <v>3346</v>
      </c>
      <c r="Z14" s="1445" t="s">
        <v>2476</v>
      </c>
    </row>
    <row r="15" spans="1:28">
      <c r="A15" s="1441" t="s">
        <v>1042</v>
      </c>
      <c r="B15" s="1441" t="s">
        <v>1043</v>
      </c>
      <c r="C15" s="1442"/>
      <c r="I15" s="1445" t="s">
        <v>3347</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6"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6"/>
      <c r="B54" s="1447" t="s">
        <v>385</v>
      </c>
      <c r="C54" s="1445" t="s">
        <v>583</v>
      </c>
    </row>
    <row r="55" spans="1:4">
      <c r="A55" s="3236"/>
      <c r="B55" s="1447" t="s">
        <v>386</v>
      </c>
      <c r="C55" s="1445" t="s">
        <v>584</v>
      </c>
    </row>
    <row r="56" spans="1:4">
      <c r="A56" s="3236"/>
      <c r="B56" s="1447" t="s">
        <v>387</v>
      </c>
      <c r="C56" s="1445" t="s">
        <v>588</v>
      </c>
    </row>
    <row r="57" spans="1:4">
      <c r="A57" s="3236"/>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A9" zoomScaleNormal="10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5" t="s">
        <v>2593</v>
      </c>
      <c r="J1" s="2783"/>
      <c r="K1" s="2783"/>
      <c r="L1" s="2783"/>
      <c r="M1" s="2783"/>
      <c r="N1" s="2968"/>
      <c r="O1" s="2968"/>
      <c r="P1" s="2968"/>
      <c r="Q1" s="2968"/>
      <c r="R1" s="2968"/>
    </row>
    <row r="2" spans="1:18">
      <c r="A2" s="2760"/>
      <c r="B2" s="2761"/>
      <c r="C2" s="2761"/>
      <c r="D2" s="2761"/>
      <c r="E2" s="2761"/>
      <c r="F2" s="2762"/>
      <c r="I2" s="3237" t="s">
        <v>2580</v>
      </c>
      <c r="J2" s="3237"/>
      <c r="K2" s="3237"/>
      <c r="L2" s="3237"/>
      <c r="M2" s="3237"/>
      <c r="N2" s="3237"/>
      <c r="O2" s="3237"/>
      <c r="P2" s="3237"/>
      <c r="Q2" s="3237"/>
      <c r="R2" s="3237"/>
    </row>
    <row r="3" spans="1:18">
      <c r="A3" s="2763" t="s">
        <v>2501</v>
      </c>
      <c r="B3" s="2764">
        <f>项目基本情况!D3</f>
        <v>45952</v>
      </c>
      <c r="C3" s="2766"/>
      <c r="D3" s="2766"/>
      <c r="E3" s="2766"/>
      <c r="F3" s="2762"/>
      <c r="I3" s="2778"/>
      <c r="J3" s="2778" t="s">
        <v>2584</v>
      </c>
      <c r="K3" s="2778" t="s">
        <v>2585</v>
      </c>
      <c r="L3" s="2778" t="s">
        <v>2586</v>
      </c>
      <c r="M3" s="2778" t="s">
        <v>2587</v>
      </c>
      <c r="N3" s="3136" t="s">
        <v>2588</v>
      </c>
      <c r="O3" s="3136" t="s">
        <v>2589</v>
      </c>
      <c r="P3" s="3136" t="s">
        <v>2590</v>
      </c>
      <c r="Q3" s="3136" t="s">
        <v>2591</v>
      </c>
      <c r="R3" s="3136"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1.1499999999999999</v>
      </c>
      <c r="D5" s="2768">
        <f>IF(ISERROR(ROUND(POWER(1+E5,A5-C5)*(POWER(1+E5,C5)-1)/(POWER(1+E5,A5)-1),3)),0,ROUND(POWER(1+E5,A5-C5)*(POWER(1+E5,C5)-1)/(POWER(1+E5,A5)-1),4))</f>
        <v>5.57E-2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11.16</v>
      </c>
      <c r="D6" s="2768">
        <f>IF(ISERROR(ROUND(POWER(1+E6,A6-C6)*(POWER(1+E6,C6)-1)/(POWER(1+E6,A6)-1),3)),0,ROUND(POWER(1+E6,A6-C6)*(POWER(1+E6,C6)-1)/(POWER(1+E6,A6)-1),4))</f>
        <v>0.41249999999999998</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31.18</v>
      </c>
      <c r="D7" s="2768">
        <f>IF(ISERROR(ROUND(POWER(1+E7,A7-C7)*(POWER(1+E7,C7)-1)/(POWER(1+E7,A7)-1),3)),0,ROUND(POWER(1+E7,A7-C7)*(POWER(1+E7,C7)-1)/(POWER(1+E7,A7)-1),4))</f>
        <v>0.754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3"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3">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3">
        <v>8</v>
      </c>
    </row>
    <row r="26" spans="1:14">
      <c r="A26" s="2782"/>
      <c r="B26" s="2783"/>
      <c r="C26" s="2783"/>
      <c r="D26" s="2783"/>
      <c r="E26" s="2783"/>
      <c r="F26" s="2783"/>
      <c r="G26" s="2784"/>
      <c r="I26" s="2800">
        <v>30</v>
      </c>
      <c r="J26" s="2800">
        <v>90.5</v>
      </c>
      <c r="K26" s="2800">
        <f t="shared" si="2"/>
        <v>4.2000000000000028</v>
      </c>
      <c r="L26" s="2800" t="s">
        <v>2571</v>
      </c>
      <c r="N26" s="3153">
        <v>5</v>
      </c>
    </row>
    <row r="27" spans="1:14">
      <c r="A27" s="2782" t="s">
        <v>2530</v>
      </c>
      <c r="B27" s="2783"/>
      <c r="C27" s="2783"/>
      <c r="D27" s="2783"/>
      <c r="E27" s="2783"/>
      <c r="F27" s="2783"/>
      <c r="G27" s="2784"/>
      <c r="I27" s="2800">
        <v>35</v>
      </c>
      <c r="J27" s="2800">
        <v>93.8</v>
      </c>
      <c r="K27" s="2800">
        <f t="shared" si="2"/>
        <v>3.2999999999999972</v>
      </c>
      <c r="L27" s="2800" t="s">
        <v>2572</v>
      </c>
      <c r="N27" s="3153">
        <v>3</v>
      </c>
    </row>
    <row r="28" spans="1:14">
      <c r="A28" s="2782" t="s">
        <v>2531</v>
      </c>
      <c r="B28" s="2783"/>
      <c r="C28" s="2783"/>
      <c r="D28" s="2783"/>
      <c r="E28" s="2783"/>
      <c r="F28" s="2783"/>
      <c r="G28" s="2784"/>
      <c r="I28" s="2800">
        <v>40</v>
      </c>
      <c r="J28" s="2800">
        <v>96.4</v>
      </c>
      <c r="K28" s="2800">
        <f t="shared" si="2"/>
        <v>2.6000000000000085</v>
      </c>
      <c r="L28" s="2800" t="s">
        <v>2573</v>
      </c>
      <c r="N28" s="3153">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3" t="s">
        <v>2568</v>
      </c>
    </row>
    <row r="37" spans="1:14">
      <c r="A37" s="2782" t="s">
        <v>2540</v>
      </c>
      <c r="B37" s="2783"/>
      <c r="C37" s="2783"/>
      <c r="D37" s="2783"/>
      <c r="E37" s="2783"/>
      <c r="F37" s="2783"/>
      <c r="G37" s="2784"/>
      <c r="I37" s="2800">
        <v>20</v>
      </c>
      <c r="J37" s="2800">
        <v>83.6</v>
      </c>
      <c r="K37" s="2800">
        <f t="shared" si="3"/>
        <v>7.2999999999999972</v>
      </c>
      <c r="L37" s="2800" t="s">
        <v>2566</v>
      </c>
      <c r="N37" s="3153">
        <v>10</v>
      </c>
    </row>
    <row r="38" spans="1:14">
      <c r="A38" s="2782" t="s">
        <v>2541</v>
      </c>
      <c r="B38" s="2783"/>
      <c r="C38" s="2783"/>
      <c r="D38" s="2783"/>
      <c r="E38" s="2783"/>
      <c r="F38" s="2783"/>
      <c r="G38" s="2784"/>
      <c r="I38" s="2800">
        <v>25</v>
      </c>
      <c r="J38" s="2800">
        <v>89.3</v>
      </c>
      <c r="K38" s="2800">
        <f t="shared" si="3"/>
        <v>5.7000000000000028</v>
      </c>
      <c r="L38" s="2800" t="s">
        <v>2570</v>
      </c>
      <c r="N38" s="3153">
        <v>8</v>
      </c>
    </row>
    <row r="39" spans="1:14">
      <c r="A39" s="2782"/>
      <c r="B39" s="2783"/>
      <c r="C39" s="2783"/>
      <c r="D39" s="2783"/>
      <c r="E39" s="2783"/>
      <c r="F39" s="2783"/>
      <c r="G39" s="2784"/>
      <c r="I39" s="2800">
        <v>30</v>
      </c>
      <c r="J39" s="2800">
        <v>93.8</v>
      </c>
      <c r="K39" s="2800">
        <f t="shared" si="3"/>
        <v>4.5</v>
      </c>
      <c r="L39" s="2800" t="s">
        <v>2571</v>
      </c>
      <c r="N39" s="3153">
        <v>6</v>
      </c>
    </row>
    <row r="40" spans="1:14">
      <c r="A40" s="2785" t="s">
        <v>2542</v>
      </c>
      <c r="B40" s="2786"/>
      <c r="C40" s="2786"/>
      <c r="D40" s="2786"/>
      <c r="E40" s="2786"/>
      <c r="F40" s="2786"/>
      <c r="G40" s="2787"/>
      <c r="I40" s="2800">
        <v>35</v>
      </c>
      <c r="J40" s="2800">
        <v>97.2</v>
      </c>
      <c r="K40" s="2800">
        <f t="shared" si="3"/>
        <v>3.4000000000000057</v>
      </c>
      <c r="L40" s="2800" t="s">
        <v>2572</v>
      </c>
      <c r="N40" s="3153">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3384</v>
      </c>
    </row>
    <row r="50" spans="1:4">
      <c r="A50" s="3145" t="s">
        <v>3385</v>
      </c>
      <c r="B50" s="3145" t="s">
        <v>3386</v>
      </c>
      <c r="C50" s="3145" t="s">
        <v>3387</v>
      </c>
      <c r="D50" s="3145" t="s">
        <v>3388</v>
      </c>
    </row>
    <row r="51" spans="1:4">
      <c r="A51" s="3145" t="s">
        <v>3389</v>
      </c>
      <c r="B51" s="2765">
        <f>B52+B53</f>
        <v>15000</v>
      </c>
      <c r="C51" s="3146">
        <f>D51/B51</f>
        <v>2666.6666666666665</v>
      </c>
      <c r="D51" s="2765">
        <f>D52+D53</f>
        <v>40000000</v>
      </c>
    </row>
    <row r="52" spans="1:4">
      <c r="A52" s="3147" t="s">
        <v>3390</v>
      </c>
      <c r="B52" s="3148">
        <v>10000</v>
      </c>
      <c r="C52" s="3148">
        <v>1500</v>
      </c>
      <c r="D52" s="3149">
        <f>C52*B52</f>
        <v>15000000</v>
      </c>
    </row>
    <row r="53" spans="1:4">
      <c r="A53" s="3147" t="s">
        <v>3391</v>
      </c>
      <c r="B53" s="3148">
        <v>5000</v>
      </c>
      <c r="C53" s="3148">
        <v>5000</v>
      </c>
      <c r="D53" s="3149">
        <f>C53*B53</f>
        <v>25000000</v>
      </c>
    </row>
    <row r="54" spans="1:4">
      <c r="A54" s="3145" t="s">
        <v>3392</v>
      </c>
      <c r="B54" s="2765">
        <f>B51</f>
        <v>15000</v>
      </c>
      <c r="C54" s="2771">
        <v>700</v>
      </c>
      <c r="D54" s="2765">
        <f t="shared" ref="D54:D55" si="5">C54*B54</f>
        <v>10500000</v>
      </c>
    </row>
    <row r="55" spans="1:4">
      <c r="A55" s="3145" t="s">
        <v>3393</v>
      </c>
      <c r="B55" s="2765">
        <f>B51</f>
        <v>15000</v>
      </c>
      <c r="C55" s="2771">
        <v>1500</v>
      </c>
      <c r="D55" s="2765">
        <f t="shared" si="5"/>
        <v>22500000</v>
      </c>
    </row>
    <row r="56" spans="1:4">
      <c r="A56" s="3145" t="s">
        <v>3394</v>
      </c>
      <c r="B56" s="2765">
        <f>B51</f>
        <v>15000</v>
      </c>
      <c r="C56" s="3150">
        <f>C51+C54+C55</f>
        <v>4866.6666666666661</v>
      </c>
      <c r="D56" s="2765">
        <f>D51+D54+D55</f>
        <v>73000000</v>
      </c>
    </row>
    <row r="58" spans="1:4">
      <c r="A58" s="3145" t="s">
        <v>3395</v>
      </c>
      <c r="B58" s="3151">
        <v>0.05</v>
      </c>
      <c r="C58" s="2765">
        <f>C56*(1+B58)</f>
        <v>5110</v>
      </c>
      <c r="D58" s="2765">
        <f>D56*B58</f>
        <v>3650000</v>
      </c>
    </row>
    <row r="60" spans="1:4">
      <c r="A60" s="3145" t="s">
        <v>3396</v>
      </c>
      <c r="B60" s="2771">
        <v>3500</v>
      </c>
      <c r="C60" s="2771">
        <f>C53</f>
        <v>5000</v>
      </c>
      <c r="D60" s="2765">
        <f>C60*B60</f>
        <v>17500000</v>
      </c>
    </row>
    <row r="62" spans="1:4">
      <c r="A62" s="3145" t="s">
        <v>3397</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9" sqref="L1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38" t="str">
        <f>IF(B10="北京市","北京市",C10)&amp;F10&amp;IF(结果表!G1="在建","出让国有建设用地使用权及在建建筑物",IF(结果表!G1="土地","出让国有建设用地使用权",))&amp;B9&amp;"预评估"</f>
        <v>预评估</v>
      </c>
      <c r="C1" s="3239"/>
      <c r="D1" s="3239"/>
      <c r="E1" s="3239"/>
      <c r="F1" s="3239"/>
      <c r="G1" s="3239"/>
      <c r="H1" s="3239"/>
      <c r="I1" s="324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房地产</v>
      </c>
      <c r="T2" s="1618"/>
      <c r="U2" s="1618"/>
      <c r="V2" s="1618"/>
      <c r="W2" s="1618"/>
      <c r="X2" s="1618"/>
      <c r="Y2" s="1618"/>
      <c r="Z2" s="1618"/>
      <c r="AA2" s="1618"/>
      <c r="AB2" s="1618"/>
    </row>
    <row r="3" spans="1:30">
      <c r="A3" s="294" t="s">
        <v>2170</v>
      </c>
      <c r="B3" s="2185">
        <f>D3</f>
        <v>45952</v>
      </c>
      <c r="C3" s="2186" t="s">
        <v>2171</v>
      </c>
      <c r="D3" s="2185">
        <v>45952</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c r="C8" s="2201"/>
      <c r="D8" s="3241" t="s">
        <v>2177</v>
      </c>
      <c r="E8" s="2202"/>
      <c r="F8" s="2203"/>
      <c r="G8" s="2442"/>
      <c r="H8" s="2442"/>
      <c r="I8" s="2442"/>
      <c r="J8" s="2245"/>
      <c r="K8" s="2400"/>
      <c r="L8" s="2399"/>
      <c r="M8" s="2399"/>
      <c r="N8" s="2245"/>
      <c r="O8" s="1670"/>
      <c r="P8" s="2245"/>
      <c r="Q8" s="2245"/>
      <c r="R8" s="2245"/>
    </row>
    <row r="9" spans="1:30" ht="13.5" thickBot="1">
      <c r="A9" s="2204" t="s">
        <v>2178</v>
      </c>
      <c r="B9" s="2205"/>
      <c r="C9" s="2206"/>
      <c r="D9" s="3242"/>
      <c r="E9" s="2205"/>
      <c r="F9" s="2207"/>
      <c r="G9" s="2443"/>
      <c r="H9" s="2443"/>
      <c r="I9" s="2443"/>
      <c r="J9" s="2245"/>
      <c r="K9" s="2402"/>
      <c r="L9" s="2399"/>
      <c r="M9" s="2399"/>
      <c r="N9" s="2245"/>
      <c r="O9" s="1670"/>
      <c r="P9" s="2245"/>
      <c r="Q9" s="2245"/>
      <c r="R9" s="2245"/>
    </row>
    <row r="10" spans="1:30" ht="13.5" thickTop="1">
      <c r="A10" s="2208" t="s">
        <v>2179</v>
      </c>
      <c r="B10" s="2209"/>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2" t="s">
        <v>3416</v>
      </c>
      <c r="B13" s="2218" t="s">
        <v>2190</v>
      </c>
      <c r="C13" s="803"/>
      <c r="D13" s="803"/>
      <c r="E13" s="803"/>
      <c r="F13" s="803"/>
      <c r="G13" s="803">
        <v>64194</v>
      </c>
      <c r="H13" s="803"/>
      <c r="I13" s="803"/>
      <c r="J13" s="2803"/>
      <c r="K13" s="2399"/>
      <c r="L13" s="2399"/>
      <c r="M13" s="2245"/>
      <c r="N13" s="1670"/>
      <c r="O13" s="2245"/>
      <c r="P13" s="2245"/>
      <c r="Q13" s="2245"/>
      <c r="AD13" s="1618"/>
    </row>
    <row r="14" spans="1:30">
      <c r="A14" s="1018"/>
      <c r="B14" s="2218" t="s">
        <v>2191</v>
      </c>
      <c r="C14" s="2219"/>
      <c r="D14" s="2219"/>
      <c r="E14" s="2219"/>
      <c r="F14" s="2219"/>
      <c r="G14" s="2219">
        <v>50</v>
      </c>
      <c r="H14" s="2219">
        <v>50</v>
      </c>
      <c r="I14" s="2219"/>
      <c r="J14" s="2804"/>
      <c r="K14" s="2399"/>
      <c r="L14" s="2399"/>
      <c r="M14" s="2245"/>
      <c r="N14" s="1670"/>
      <c r="O14" s="2245"/>
      <c r="P14" s="2245"/>
      <c r="Q14" s="2245"/>
      <c r="AD14" s="1618"/>
    </row>
    <row r="15" spans="1:30">
      <c r="A15" s="312"/>
      <c r="B15" s="2220" t="s">
        <v>2192</v>
      </c>
      <c r="C15" s="2221">
        <f>IF(A13="出让",IF(C13="","",ROUNDDOWN(MIN((C13-$D$3)/365,C14),2)),C14)</f>
        <v>0</v>
      </c>
      <c r="D15" s="2221">
        <f>IF(A13="出让",IF(D13="","",ROUNDDOWN(MIN((D13-$D$3)/365,D14),2)),D14)</f>
        <v>0</v>
      </c>
      <c r="E15" s="2221">
        <f>IF(A13="出让",IF(E13="","",ROUNDDOWN(MIN((E13-$D$3)/365,E14),2)),E14)</f>
        <v>0</v>
      </c>
      <c r="F15" s="2221">
        <f>IF(A13="出让",IF(F13="","",ROUNDDOWN(MIN((F13-$D$3)/365,F14),2)),F14)</f>
        <v>0</v>
      </c>
      <c r="G15" s="2221">
        <f>IF(A13="出让",IF(G13="","",ROUNDDOWN(MIN((G13-$D$3)/365,G14),2)),G14)</f>
        <v>50</v>
      </c>
      <c r="H15" s="2221">
        <f>IF(A13="出让",IF(H13="","",ROUNDDOWN(MIN((H13-$D$3)/365,H14),2)),H14)</f>
        <v>50</v>
      </c>
      <c r="I15" s="2221">
        <f>IF(A13="出让",IF(I13="","",ROUNDDOWN(MIN((I13-$D$3)/365,I14),2)),I14)</f>
        <v>0</v>
      </c>
      <c r="J15" s="2805"/>
      <c r="K15" s="1670"/>
      <c r="L15" s="1670"/>
      <c r="M15" s="2245"/>
      <c r="N15" s="1670"/>
      <c r="O15" s="2245"/>
      <c r="P15" s="2245"/>
      <c r="Q15" s="2245"/>
      <c r="AD15" s="1618"/>
    </row>
    <row r="16" spans="1:30">
      <c r="A16" s="2211" t="s">
        <v>2193</v>
      </c>
      <c r="B16" s="3248"/>
      <c r="C16" s="3249"/>
      <c r="D16" s="3250"/>
      <c r="E16" s="2222" t="s">
        <v>2194</v>
      </c>
      <c r="F16" s="3251"/>
      <c r="G16" s="3252"/>
      <c r="H16" s="3252"/>
      <c r="I16" s="3253"/>
      <c r="J16" s="2245"/>
      <c r="K16" s="2403"/>
      <c r="L16" s="1670"/>
      <c r="M16" s="1670"/>
      <c r="N16" s="2245"/>
      <c r="O16" s="1670"/>
      <c r="P16" s="2245"/>
      <c r="Q16" s="2245"/>
      <c r="R16" s="2245"/>
    </row>
    <row r="17" spans="1:28">
      <c r="A17" s="305" t="s">
        <v>2195</v>
      </c>
      <c r="B17" s="294" t="s">
        <v>2196</v>
      </c>
      <c r="C17" s="8">
        <f>'数据-汇总表'!E3</f>
        <v>16683.080000000002</v>
      </c>
      <c r="D17" s="1256" t="s">
        <v>2197</v>
      </c>
      <c r="E17" s="3254" t="s">
        <v>2198</v>
      </c>
      <c r="F17" s="3255"/>
      <c r="G17" s="3255"/>
      <c r="H17" s="3255"/>
      <c r="I17" s="3256"/>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6666.7</v>
      </c>
      <c r="D18" s="1029" t="s">
        <v>2201</v>
      </c>
      <c r="E18" s="3257" t="s">
        <v>2202</v>
      </c>
      <c r="F18" s="3258"/>
      <c r="G18" s="3258"/>
      <c r="H18" s="3258"/>
      <c r="I18" s="3259"/>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44" t="s">
        <v>2206</v>
      </c>
      <c r="C20" s="3245"/>
      <c r="D20" s="3246" t="s">
        <v>2207</v>
      </c>
      <c r="E20" s="3247"/>
      <c r="F20" s="2430" t="s">
        <v>1056</v>
      </c>
      <c r="G20" s="2442"/>
      <c r="H20" s="2442"/>
      <c r="I20" s="2442"/>
      <c r="J20" s="2245"/>
      <c r="K20" s="324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4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4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61"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61"/>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61"/>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62"/>
      <c r="B30" s="294" t="s">
        <v>2218</v>
      </c>
      <c r="C30" s="3263"/>
      <c r="D30" s="3264"/>
      <c r="E30" s="2442"/>
      <c r="F30" s="2442"/>
      <c r="G30" s="2442"/>
      <c r="H30" s="2442"/>
      <c r="I30" s="2442"/>
      <c r="J30" s="2245"/>
      <c r="K30" s="2402"/>
      <c r="L30" s="2399"/>
      <c r="M30" s="2399"/>
      <c r="N30" s="2245"/>
      <c r="O30" s="1670"/>
      <c r="P30" s="2245"/>
      <c r="Q30" s="2245"/>
      <c r="R30" s="2245"/>
      <c r="S30" s="2245"/>
      <c r="T30" s="2245"/>
      <c r="U30" s="2245"/>
      <c r="V30" s="2245"/>
    </row>
    <row r="31" spans="1:28">
      <c r="A31" s="3265"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66"/>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66"/>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60" t="s">
        <v>2228</v>
      </c>
      <c r="T34" s="315" t="str">
        <f>NUMBERSTRING(7-K34,1)&amp;"通"</f>
        <v>七通</v>
      </c>
      <c r="U34" s="2245"/>
      <c r="V34" s="2245"/>
    </row>
    <row r="35" spans="1:30">
      <c r="A35" s="2236"/>
      <c r="B35" s="3260" t="s">
        <v>2229</v>
      </c>
      <c r="C35" s="3260"/>
      <c r="D35" s="3260"/>
      <c r="E35" s="3260"/>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0"/>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c r="D37" s="2237"/>
      <c r="E37" s="2237" t="s">
        <v>304</v>
      </c>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t="s">
        <v>264</v>
      </c>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6666.7</v>
      </c>
      <c r="B3" s="11">
        <f>IF(C3="否",G5-AT5,G5)</f>
        <v>16683.080000000002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16683.080000000002</v>
      </c>
      <c r="H5" s="13">
        <f t="shared" ref="H5:AT5" si="0">SUM(H13:H656)</f>
        <v>16683.080000000002</v>
      </c>
      <c r="I5" s="13">
        <f t="shared" si="0"/>
        <v>16683.080000000002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16683.080000000002</v>
      </c>
      <c r="BA5" s="15">
        <f t="shared" si="1"/>
        <v>16683.080000000002</v>
      </c>
      <c r="BB5" s="15">
        <f t="shared" si="1"/>
        <v>16683.080000000002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6666.7</v>
      </c>
      <c r="F6" s="13" t="s">
        <v>0</v>
      </c>
      <c r="G6" s="13" t="s">
        <v>1</v>
      </c>
      <c r="H6" s="17">
        <f>SUMIF(I$12:AB$12,"总值",I6:AB6)</f>
        <v>6666.7</v>
      </c>
      <c r="I6" s="13">
        <f t="shared" ref="I6:AB6" si="2">ROUND($A$3*I5/$B$3,2)</f>
        <v>6666.7</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6666.7</v>
      </c>
      <c r="AZ6" s="13" t="s">
        <v>2</v>
      </c>
      <c r="BA6" s="13">
        <f>ROUND($AY$6*BA5/$AZ$5,2)</f>
        <v>6666.7</v>
      </c>
      <c r="BB6" s="13">
        <f>ROUND($AY$6*BB5/$AZ$5,2)</f>
        <v>6666.7</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3331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仓储</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3418</v>
      </c>
      <c r="E13" s="13">
        <f>IF($C$3="是",ROUND($A$3*G13/$B$3,2),ROUND($A$3*(G13-AT13)/$B$3,2))</f>
        <v>6666.7</v>
      </c>
      <c r="F13" s="29"/>
      <c r="G13" s="30">
        <f>H13+AC13+AT13</f>
        <v>16683.080000000002</v>
      </c>
      <c r="H13" s="17">
        <f>SUMIF(I$12:AB$12,"总值",I13:AB13)</f>
        <v>16683.080000000002</v>
      </c>
      <c r="I13" s="1514">
        <v>16683.080000000002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6666.7</v>
      </c>
      <c r="AZ13" s="13">
        <f>BA13+BL13</f>
        <v>16683.080000000002</v>
      </c>
      <c r="BA13" s="13">
        <f>SUM(BB13:BK13)</f>
        <v>16683.080000000002</v>
      </c>
      <c r="BB13" s="13">
        <f>IF($D13="是",I13-J13,0)</f>
        <v>16683.080000000002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6" t="s">
        <v>1131</v>
      </c>
      <c r="B2" s="3276"/>
      <c r="C2" s="3276"/>
      <c r="D2" s="748" t="s">
        <v>1107</v>
      </c>
      <c r="E2" s="1523" t="s">
        <v>1108</v>
      </c>
      <c r="F2" s="2439"/>
      <c r="G2" s="2432"/>
      <c r="H2" s="2433"/>
      <c r="I2" s="2146" t="s">
        <v>1132</v>
      </c>
      <c r="J2" s="2439"/>
      <c r="K2" s="2439"/>
      <c r="L2" s="2439"/>
      <c r="M2" s="2439"/>
      <c r="N2" s="2440"/>
      <c r="O2" s="2439"/>
      <c r="P2" s="2439"/>
    </row>
    <row r="3" spans="1:16" ht="15.75" thickBot="1">
      <c r="A3" s="3277" t="s">
        <v>1105</v>
      </c>
      <c r="B3" s="3277"/>
      <c r="C3" s="3277"/>
      <c r="D3" s="41">
        <f>'数据-基础表'!AY6</f>
        <v>6666.7</v>
      </c>
      <c r="E3" s="41">
        <f>'数据-基础表'!AZ5</f>
        <v>16683.080000000002</v>
      </c>
      <c r="F3" s="2439"/>
      <c r="G3" s="42"/>
      <c r="H3" s="43" t="s">
        <v>1106</v>
      </c>
      <c r="I3" s="802">
        <f>ROUND('数据-基础表'!B3/'数据-基础表'!A3,2)</f>
        <v>2.5</v>
      </c>
      <c r="J3" s="2439"/>
      <c r="K3" s="2439"/>
      <c r="L3" s="2439"/>
      <c r="M3" s="2439"/>
      <c r="N3" s="2440"/>
      <c r="O3" s="2439"/>
      <c r="P3" s="2439"/>
    </row>
    <row r="4" spans="1:16" ht="15">
      <c r="A4" s="3278"/>
      <c r="B4" s="3279"/>
      <c r="C4" s="3280"/>
      <c r="D4" s="1524" t="s">
        <v>1107</v>
      </c>
      <c r="E4" s="1525" t="s">
        <v>1108</v>
      </c>
      <c r="F4" s="2439"/>
      <c r="G4" s="2434" t="s">
        <v>1133</v>
      </c>
      <c r="H4" s="43" t="s">
        <v>1113</v>
      </c>
      <c r="I4" s="802">
        <f>ROUND(SUMIF('数据-基础表'!I9:AS9,"地上",'数据-基础表'!I5:AS5)/'数据-基础表'!A3,2)</f>
        <v>2.5</v>
      </c>
      <c r="J4" s="2439"/>
      <c r="K4" s="2439"/>
      <c r="L4" s="2439"/>
      <c r="M4" s="2439"/>
      <c r="N4" s="2440"/>
      <c r="O4" s="2439"/>
      <c r="P4" s="2439"/>
    </row>
    <row r="5" spans="1:16">
      <c r="A5" s="42" t="s">
        <v>1109</v>
      </c>
      <c r="B5" s="3281" t="s">
        <v>1110</v>
      </c>
      <c r="C5" s="3281"/>
      <c r="D5" s="43">
        <f>ROUND($D$3*E5/$E$3,2)</f>
        <v>0</v>
      </c>
      <c r="E5" s="44">
        <f>SUMIF('数据-基础表'!$11:$11,"住宅",'数据-基础表'!$5:$5)</f>
        <v>0</v>
      </c>
      <c r="F5" s="2439"/>
      <c r="G5" s="42"/>
      <c r="H5" s="43" t="s">
        <v>1106</v>
      </c>
      <c r="I5" s="802">
        <f>ROUND(E31/D31,2)</f>
        <v>2.5</v>
      </c>
      <c r="J5" s="2439"/>
      <c r="K5" s="2439"/>
      <c r="L5" s="2439"/>
      <c r="M5" s="2439"/>
      <c r="N5" s="2439"/>
      <c r="O5" s="2439"/>
      <c r="P5" s="2439"/>
    </row>
    <row r="6" spans="1:16" ht="15" thickBot="1">
      <c r="A6" s="1527"/>
      <c r="B6" s="3281" t="s">
        <v>1111</v>
      </c>
      <c r="C6" s="3281"/>
      <c r="D6" s="43">
        <f>ROUND($D$3*E6/$E$3,2)</f>
        <v>6666.7</v>
      </c>
      <c r="E6" s="44">
        <f>E3-E5</f>
        <v>16683.080000000002</v>
      </c>
      <c r="F6" s="2439"/>
      <c r="G6" s="1529" t="s">
        <v>1112</v>
      </c>
      <c r="H6" s="45" t="s">
        <v>1113</v>
      </c>
      <c r="I6" s="2435">
        <f>ROUND(F31/D31,2)</f>
        <v>2.5</v>
      </c>
      <c r="J6" s="2439"/>
      <c r="K6" s="2439"/>
      <c r="L6" s="2439"/>
      <c r="M6" s="2439"/>
      <c r="N6" s="2439"/>
      <c r="O6" s="2439"/>
      <c r="P6" s="2439"/>
    </row>
    <row r="7" spans="1:16" ht="15.75" thickBot="1">
      <c r="A7" s="3273"/>
      <c r="B7" s="3274"/>
      <c r="C7" s="3275"/>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6666.7</v>
      </c>
      <c r="E8" s="46">
        <f>SUMIF('数据-基础表'!BB10:BK10,"地上",'数据-基础表'!BB5:BK5)</f>
        <v>16683.080000000002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6666.7</v>
      </c>
      <c r="E16" s="48">
        <f>SUM(E8:E15)</f>
        <v>16683.080000000002</v>
      </c>
      <c r="F16" s="2439"/>
      <c r="G16" s="2439"/>
      <c r="H16" s="1531" t="s">
        <v>1135</v>
      </c>
      <c r="I16" s="1532"/>
      <c r="J16" s="1071"/>
      <c r="K16" s="3270" t="s">
        <v>1135</v>
      </c>
      <c r="L16" s="3271"/>
      <c r="M16" s="3271"/>
      <c r="N16" s="3271"/>
      <c r="O16" s="3271"/>
      <c r="P16" s="3272"/>
    </row>
    <row r="17" spans="1:19" ht="15">
      <c r="A17" s="1533" t="s">
        <v>1136</v>
      </c>
      <c r="B17" s="1534" t="s">
        <v>1137</v>
      </c>
      <c r="C17" s="1535" t="s">
        <v>1138</v>
      </c>
      <c r="D17" s="1536" t="s">
        <v>1126</v>
      </c>
      <c r="E17" s="1537" t="s">
        <v>1127</v>
      </c>
      <c r="F17" s="1538"/>
      <c r="G17" s="1539"/>
      <c r="H17" s="1540" t="s">
        <v>1139</v>
      </c>
      <c r="I17" s="1541" t="s">
        <v>1124</v>
      </c>
      <c r="J17" s="1071"/>
      <c r="K17" s="3267" t="s">
        <v>1140</v>
      </c>
      <c r="L17" s="3268"/>
      <c r="M17" s="3269"/>
      <c r="N17" s="3267" t="s">
        <v>1141</v>
      </c>
      <c r="O17" s="3268"/>
      <c r="P17" s="3269"/>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3434</v>
      </c>
      <c r="D19" s="43">
        <f>ROUND($D$3*E19/$E$3,2)</f>
        <v>6666.7</v>
      </c>
      <c r="E19" s="51">
        <f t="shared" ref="E19:E26" si="1">SUM(F19:G19)</f>
        <v>16683.080000000002</v>
      </c>
      <c r="F19" s="2558">
        <f>'数据-基础表'!I13</f>
        <v>16683.080000000002</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6666.7</v>
      </c>
      <c r="S19" s="51">
        <f t="shared" si="5"/>
        <v>16683.080000000002</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6666.7</v>
      </c>
      <c r="E27" s="1073">
        <f>IF(SUM(E19:E26)='数据-基础表'!BA5,SUM(E19:E26),IF(F27="地上面积有误","面积有误","地下面积有误"))</f>
        <v>16683.080000000002</v>
      </c>
      <c r="F27" s="1072">
        <f>IF(SUM(F19:F26)=E8,SUM(F19:F26),"地上面积有误")</f>
        <v>16683.080000000002</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6666.7</v>
      </c>
      <c r="S27" s="43">
        <f>IF(SUM(S19:S26)=$E$3,SUM(S19:S26),SUM(S19:S26)&amp;"误差"&amp;ROUND(SUM(S19:S26)-E3,2))</f>
        <v>16683.080000000002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6666.7</v>
      </c>
      <c r="E31" s="643">
        <f>E27+E30</f>
        <v>16683.080000000002</v>
      </c>
      <c r="F31" s="644">
        <f>F27+F30</f>
        <v>16683.080000000002</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AK6" sqref="AK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45952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仓储</v>
      </c>
      <c r="B6" s="1587" t="str">
        <f>IF(A6=0,"","经营性")</f>
        <v>经营性</v>
      </c>
      <c r="C6" s="1588" t="s">
        <v>3</v>
      </c>
      <c r="D6" s="805">
        <f>SUMIF(项目基本情况!C$12:I$12,C6,项目基本情况!C$14:I$14)</f>
        <v>50</v>
      </c>
      <c r="E6" s="804">
        <f>IF(B6="","",SUMIF(项目基本情况!C$12:I$12,C6,项目基本情况!C$13:I$13))</f>
        <v>0</v>
      </c>
      <c r="F6" s="61">
        <f>SUMIF(项目基本情况!C$12:I$12,C6,项目基本情况!C$15:I$15)</f>
        <v>50</v>
      </c>
      <c r="G6" s="62">
        <f>IF(ISERROR(ROUND(POWER(1+H6,D6-F6)*(POWER(1+H6,F6)-1)/(POWER(1+H6,D6)-1),3)),0,ROUND(POWER(1+H6,D6-F6)*(POWER(1+H6,F6)-1)/(POWER(1+H6,D6)-1),3))</f>
        <v>1</v>
      </c>
      <c r="H6" s="691">
        <v>0.05</v>
      </c>
      <c r="I6" s="691">
        <v>5.5E-2</v>
      </c>
      <c r="J6" s="63">
        <v>7.0000000000000007E-2</v>
      </c>
      <c r="K6" s="970">
        <f>SUMIF('数据-汇总表'!C$19:C$33,A6,'数据-汇总表'!E$19:E$33)</f>
        <v>16683.080000000002</v>
      </c>
      <c r="L6" s="692">
        <v>3000</v>
      </c>
      <c r="M6" s="64">
        <f t="shared" ref="M6:M14" si="0">ROUND(K6*L6/10000,0)</f>
        <v>5005</v>
      </c>
      <c r="N6" s="690">
        <f>ROUND(1-(2025-N18)/60,2)</f>
        <v>0.85</v>
      </c>
      <c r="O6" s="64" t="str">
        <f>IF($N$5="成新度","——",ROUND(M6*N6,0))</f>
        <v>——</v>
      </c>
      <c r="P6" s="65" t="str">
        <f>IF($N$5="成新度","——",M6-O6)</f>
        <v>——</v>
      </c>
      <c r="Q6" s="693">
        <v>0.1</v>
      </c>
      <c r="R6" s="66">
        <f ca="1">SUMIF('数据-汇总表'!C$19:C$33,A6,'数据-汇总表'!R$19:R$27)</f>
        <v>6666.7</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v>365</v>
      </c>
      <c r="AJ6" s="74"/>
      <c r="AK6" s="75">
        <v>2E-3</v>
      </c>
      <c r="AL6" s="76">
        <v>1E-3</v>
      </c>
      <c r="AM6" s="77">
        <v>0.01</v>
      </c>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1</v>
      </c>
      <c r="H16" s="84">
        <f>ROUND(SUMPRODUCT(H6:H13,K6:K13)/SUMPRODUCT((H6:H13&gt;0)*(K6:K13)),3)</f>
        <v>0.05</v>
      </c>
      <c r="I16" s="85"/>
      <c r="J16" s="85"/>
      <c r="K16" s="86">
        <f>SUM(K6:K15)</f>
        <v>16683.080000000002</v>
      </c>
      <c r="L16" s="87">
        <f>ROUND(M16*10000/SUM(K6:K14),0)</f>
        <v>3000</v>
      </c>
      <c r="M16" s="87">
        <f>SUM(M6:M14)</f>
        <v>5005</v>
      </c>
      <c r="N16" s="88">
        <f>ROUND(SUMPRODUCT(M6:M14,N6:N14)/M16,3)</f>
        <v>0.85</v>
      </c>
      <c r="O16" s="87">
        <f>SUM(O6:O14)</f>
        <v>0</v>
      </c>
      <c r="P16" s="87">
        <f>SUM(P6:P14)</f>
        <v>0</v>
      </c>
      <c r="Q16" s="89">
        <f>ROUND(SUMPRODUCT(Q6:Q13,K6:K13)/SUMPRODUCT((Q6:Q13&gt;0)*(K6:K13)),2)</f>
        <v>0.1</v>
      </c>
      <c r="R16" s="974">
        <f ca="1">SUM(R6:R13)</f>
        <v>6666.7</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2016</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2300</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315</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315</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3380</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3398</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3381</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3382</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3.0599999999999999E-2</v>
      </c>
      <c r="C40" s="2573"/>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3383</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82" t="s">
        <v>2286</v>
      </c>
      <c r="B1" s="3283"/>
      <c r="C1" s="3283"/>
      <c r="D1" s="3283"/>
      <c r="E1" s="3283"/>
      <c r="F1" s="3283"/>
      <c r="G1" s="3283"/>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0" sqref="B1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0</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45952</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0</v>
      </c>
      <c r="C5" s="2300">
        <f ca="1">IF(B5=D14,结果表!H102,ROUND(B5*10000/$B$1,0))</f>
        <v>0</v>
      </c>
      <c r="D5" s="2300" t="e">
        <f>ROUND(B5*10000/$B$2,0)</f>
        <v>#DIV/0!</v>
      </c>
      <c r="E5" s="2462"/>
      <c r="F5" s="2463"/>
      <c r="G5" s="2463"/>
      <c r="H5" s="2463"/>
      <c r="I5" s="2463"/>
      <c r="J5" s="2463"/>
      <c r="K5" s="2463"/>
    </row>
    <row r="6" spans="1:11" ht="16.5">
      <c r="A6" s="2300" t="s">
        <v>656</v>
      </c>
      <c r="B6" s="2300">
        <f>SUM(G14:G23)</f>
        <v>0</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t="e">
        <f>IF(E10="",0,ROUND(B1*(E10*365/G10)/10000,0))</f>
        <v>#DIV/0!</v>
      </c>
      <c r="C10" s="2300" t="s">
        <v>3353</v>
      </c>
      <c r="D10" s="2300" t="s">
        <v>3354</v>
      </c>
      <c r="E10" s="3137">
        <v>0.56000000000000005</v>
      </c>
      <c r="F10" s="3141" t="s">
        <v>3355</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c r="C14" s="2306"/>
      <c r="D14" s="2306"/>
      <c r="E14" s="2306" t="e">
        <f>ROUND(D14*10000/B14,0)</f>
        <v>#DIV/0!</v>
      </c>
      <c r="F14" s="2306" t="e">
        <f>ROUND(D14*10000/C14,0)</f>
        <v>#DIV/0!</v>
      </c>
      <c r="G14" s="2306"/>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E76" sqref="E76:H7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51" t="str">
        <f>项目基本情况!S2</f>
        <v>房地产</v>
      </c>
      <c r="B2" s="3352"/>
      <c r="C2" s="3352"/>
      <c r="D2" s="3352"/>
      <c r="E2" s="3352"/>
      <c r="F2" s="3352"/>
      <c r="G2" s="3352"/>
      <c r="H2" s="3352"/>
      <c r="I2" s="3353"/>
    </row>
    <row r="3" spans="1:12" ht="12.75">
      <c r="A3" s="3355" t="s">
        <v>1264</v>
      </c>
      <c r="B3" s="3356"/>
      <c r="C3" s="3356"/>
      <c r="D3" s="3356"/>
      <c r="E3" s="3356"/>
      <c r="F3" s="3356"/>
      <c r="G3" s="3356"/>
      <c r="H3" s="3356"/>
      <c r="I3" s="3356"/>
    </row>
    <row r="4" spans="1:12" ht="14.25">
      <c r="A4" s="1624" t="s">
        <v>1265</v>
      </c>
      <c r="B4" s="1625" t="s">
        <v>1266</v>
      </c>
      <c r="C4" s="1626"/>
      <c r="D4" s="1626"/>
      <c r="E4" s="3360" t="s">
        <v>1267</v>
      </c>
      <c r="F4" s="3361"/>
      <c r="G4" s="3361"/>
      <c r="H4" s="3361"/>
      <c r="I4" s="3362"/>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99" t="s">
        <v>1268</v>
      </c>
      <c r="B5" s="3354">
        <v>25</v>
      </c>
      <c r="C5" s="3357"/>
      <c r="D5" s="3345"/>
      <c r="E5" s="123" t="s">
        <v>1269</v>
      </c>
      <c r="F5" s="1627"/>
      <c r="G5" s="1627"/>
      <c r="H5" s="1627"/>
      <c r="I5" s="1281"/>
    </row>
    <row r="6" spans="1:12" ht="12.75">
      <c r="A6" s="3299"/>
      <c r="B6" s="3354"/>
      <c r="C6" s="3359"/>
      <c r="D6" s="3345"/>
      <c r="E6" s="123" t="s">
        <v>1270</v>
      </c>
      <c r="F6" s="1627"/>
      <c r="G6" s="1627"/>
      <c r="H6" s="1627"/>
      <c r="I6" s="1281"/>
    </row>
    <row r="7" spans="1:12" ht="12.75">
      <c r="A7" s="3299"/>
      <c r="B7" s="3354"/>
      <c r="C7" s="3358"/>
      <c r="D7" s="3345"/>
      <c r="E7" s="123" t="s">
        <v>1271</v>
      </c>
      <c r="F7" s="1627"/>
      <c r="G7" s="1627"/>
      <c r="H7" s="1627"/>
      <c r="I7" s="1281"/>
    </row>
    <row r="8" spans="1:12" ht="12.75">
      <c r="A8" s="3299" t="s">
        <v>1272</v>
      </c>
      <c r="B8" s="3354">
        <v>15</v>
      </c>
      <c r="C8" s="3357"/>
      <c r="D8" s="3345"/>
      <c r="E8" s="123" t="s">
        <v>1273</v>
      </c>
      <c r="F8" s="1627"/>
      <c r="G8" s="1627"/>
      <c r="H8" s="1627"/>
      <c r="I8" s="1281"/>
    </row>
    <row r="9" spans="1:12" ht="12.75">
      <c r="A9" s="3299"/>
      <c r="B9" s="3354"/>
      <c r="C9" s="3358"/>
      <c r="D9" s="3345"/>
      <c r="E9" s="123" t="s">
        <v>1274</v>
      </c>
      <c r="F9" s="1627"/>
      <c r="G9" s="1627"/>
      <c r="H9" s="1627"/>
      <c r="I9" s="1281"/>
    </row>
    <row r="10" spans="1:12" ht="12.75">
      <c r="A10" s="3299" t="s">
        <v>1275</v>
      </c>
      <c r="B10" s="3354">
        <v>15</v>
      </c>
      <c r="C10" s="3357"/>
      <c r="D10" s="3345"/>
      <c r="E10" s="123" t="s">
        <v>1276</v>
      </c>
      <c r="F10" s="1627"/>
      <c r="G10" s="1627"/>
      <c r="H10" s="1627"/>
      <c r="I10" s="1281"/>
    </row>
    <row r="11" spans="1:12" ht="12.75">
      <c r="A11" s="3299"/>
      <c r="B11" s="3354"/>
      <c r="C11" s="3358"/>
      <c r="D11" s="3345"/>
      <c r="E11" s="123" t="s">
        <v>1277</v>
      </c>
      <c r="F11" s="1627"/>
      <c r="G11" s="1627"/>
      <c r="H11" s="1627"/>
      <c r="I11" s="1281"/>
    </row>
    <row r="12" spans="1:12" ht="12.75">
      <c r="A12" s="3299" t="s">
        <v>1278</v>
      </c>
      <c r="B12" s="3354">
        <v>15</v>
      </c>
      <c r="C12" s="3357"/>
      <c r="D12" s="3345"/>
      <c r="E12" s="123" t="s">
        <v>1279</v>
      </c>
      <c r="F12" s="1627"/>
      <c r="G12" s="1627"/>
      <c r="H12" s="1627"/>
      <c r="I12" s="1281"/>
    </row>
    <row r="13" spans="1:12" ht="12.75">
      <c r="A13" s="3299"/>
      <c r="B13" s="3354"/>
      <c r="C13" s="3358"/>
      <c r="D13" s="3345"/>
      <c r="E13" s="123" t="s">
        <v>1280</v>
      </c>
      <c r="F13" s="1627"/>
      <c r="G13" s="1627"/>
      <c r="H13" s="1627"/>
      <c r="I13" s="1281"/>
    </row>
    <row r="14" spans="1:12" ht="12.75">
      <c r="A14" s="3299" t="s">
        <v>1281</v>
      </c>
      <c r="B14" s="3354">
        <v>30</v>
      </c>
      <c r="C14" s="3357"/>
      <c r="D14" s="3345"/>
      <c r="E14" s="123" t="s">
        <v>1282</v>
      </c>
      <c r="F14" s="1627"/>
      <c r="G14" s="1627"/>
      <c r="H14" s="1627"/>
      <c r="I14" s="1281"/>
    </row>
    <row r="15" spans="1:12" ht="12.75">
      <c r="A15" s="3299"/>
      <c r="B15" s="3354"/>
      <c r="C15" s="3359"/>
      <c r="D15" s="3345"/>
      <c r="E15" s="123" t="s">
        <v>1283</v>
      </c>
      <c r="F15" s="1627"/>
      <c r="G15" s="1627"/>
      <c r="H15" s="1627"/>
      <c r="I15" s="1281"/>
    </row>
    <row r="16" spans="1:12" ht="12.75">
      <c r="A16" s="3299"/>
      <c r="B16" s="3354"/>
      <c r="C16" s="3358"/>
      <c r="D16" s="3345"/>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76" t="s">
        <v>2131</v>
      </c>
      <c r="F18" s="3377"/>
      <c r="G18" s="3377"/>
      <c r="H18" s="3377"/>
      <c r="I18" s="3377"/>
      <c r="K18" s="294" t="s">
        <v>1289</v>
      </c>
      <c r="L18" s="294">
        <f>IF(C1="",'数据-汇总表'!E3,SUMIF(项目类型,C1,'数据-汇总表'!E17:E26)+SUMIF(项目类型,C1,'数据-汇总表'!I17:I26))</f>
        <v>16683.080000000002</v>
      </c>
      <c r="M18" s="294">
        <f>IF(C1="",'数据-汇总表'!E3,SUMIF(项目类型,C1,'数据-汇总表'!E17:E26))</f>
        <v>16683.080000000002</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6666.7</v>
      </c>
      <c r="M19" s="294">
        <f>IF(C1="",'数据-汇总表'!D3,SUMIF(项目类型,C1,'数据-汇总表'!D17:D26))</f>
        <v>6666.7</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69" t="s">
        <v>1299</v>
      </c>
      <c r="B24" s="1631" t="s">
        <v>1291</v>
      </c>
      <c r="C24" s="128">
        <f>IF(B30=0,0,D30)</f>
        <v>0</v>
      </c>
      <c r="D24" s="1637"/>
      <c r="E24" s="121"/>
      <c r="F24" s="121"/>
      <c r="G24" s="121"/>
      <c r="H24" s="121"/>
      <c r="I24" s="121"/>
    </row>
    <row r="25" spans="1:36" ht="14.25">
      <c r="A25" s="3370"/>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46" t="s">
        <v>1312</v>
      </c>
      <c r="B36" s="1652" t="s">
        <v>1313</v>
      </c>
      <c r="C36" s="137"/>
      <c r="D36" s="1653"/>
      <c r="E36" s="1567"/>
      <c r="F36" s="1654"/>
      <c r="G36" s="121"/>
      <c r="H36" s="121"/>
      <c r="I36" s="121"/>
    </row>
    <row r="37" spans="1:15" ht="15.75" thickBot="1">
      <c r="A37" s="3347"/>
      <c r="B37" s="1555" t="s">
        <v>1314</v>
      </c>
      <c r="C37" s="139"/>
      <c r="D37" s="1071"/>
      <c r="E37" s="1071"/>
      <c r="F37" s="1654"/>
      <c r="G37" s="121"/>
      <c r="H37" s="121"/>
      <c r="I37" s="121"/>
    </row>
    <row r="38" spans="1:15" ht="15.75" thickBot="1">
      <c r="A38" s="3348"/>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66" t="s">
        <v>1326</v>
      </c>
      <c r="B45" s="3367"/>
      <c r="C45" s="3368"/>
      <c r="D45" s="147" t="e">
        <f ca="1">ROUND(H101*F45,0)</f>
        <v>#REF!</v>
      </c>
      <c r="E45" s="148" t="s">
        <v>1327</v>
      </c>
      <c r="F45" s="149">
        <v>1</v>
      </c>
      <c r="G45" s="150" t="s">
        <v>1328</v>
      </c>
      <c r="H45" s="121"/>
      <c r="I45" s="121"/>
      <c r="J45" s="3286" t="s">
        <v>1329</v>
      </c>
      <c r="K45" s="3286"/>
      <c r="L45" s="3286"/>
      <c r="M45" s="3286"/>
      <c r="N45" s="3286"/>
      <c r="O45" s="3286"/>
    </row>
    <row r="46" spans="1:15" ht="14.25" customHeight="1">
      <c r="A46" s="3363" t="s">
        <v>1330</v>
      </c>
      <c r="B46" s="3364"/>
      <c r="C46" s="3364"/>
      <c r="D46" s="3364"/>
      <c r="E46" s="3364"/>
      <c r="F46" s="3364"/>
      <c r="G46" s="3365"/>
      <c r="H46" s="1668"/>
      <c r="I46" s="151"/>
      <c r="J46" s="2310">
        <v>1</v>
      </c>
      <c r="K46" s="3287" t="s">
        <v>1331</v>
      </c>
      <c r="L46" s="3287"/>
      <c r="M46" s="3288"/>
      <c r="N46" s="3288"/>
      <c r="O46" s="3288"/>
    </row>
    <row r="47" spans="1:15" ht="12" customHeight="1">
      <c r="A47" s="152" t="s">
        <v>1332</v>
      </c>
      <c r="B47" s="153"/>
      <c r="C47" s="154"/>
      <c r="D47" s="1024" t="s">
        <v>1333</v>
      </c>
      <c r="E47" s="294" t="s">
        <v>1334</v>
      </c>
      <c r="F47" s="155" t="s">
        <v>1335</v>
      </c>
      <c r="G47" s="2333" t="s">
        <v>1336</v>
      </c>
      <c r="H47" s="2334"/>
      <c r="I47" s="151"/>
      <c r="J47" s="2310">
        <v>2</v>
      </c>
      <c r="K47" s="3287" t="s">
        <v>1337</v>
      </c>
      <c r="L47" s="3287"/>
      <c r="M47" s="3289">
        <f>'数据-取费表'!B2</f>
        <v>45952</v>
      </c>
      <c r="N47" s="3289"/>
      <c r="O47" s="3289"/>
    </row>
    <row r="48" spans="1:15" ht="25.5">
      <c r="A48" s="3349" t="s">
        <v>1338</v>
      </c>
      <c r="B48" s="3350"/>
      <c r="C48" s="3350"/>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87" t="s">
        <v>1340</v>
      </c>
      <c r="L48" s="3287"/>
      <c r="M48" s="3290" t="e">
        <f ca="1">H101</f>
        <v>#REF!</v>
      </c>
      <c r="N48" s="3290"/>
      <c r="O48" s="3290"/>
    </row>
    <row r="49" spans="1:35" ht="25.5" customHeight="1">
      <c r="A49" s="2152" t="s">
        <v>1341</v>
      </c>
      <c r="B49" s="3335" t="s">
        <v>1342</v>
      </c>
      <c r="C49" s="3335"/>
      <c r="D49" s="1478">
        <v>0</v>
      </c>
      <c r="E49" s="316" t="s">
        <v>1343</v>
      </c>
      <c r="F49" s="2233" t="s">
        <v>28</v>
      </c>
      <c r="G49" s="3318"/>
      <c r="H49" s="2134" t="s">
        <v>2134</v>
      </c>
      <c r="I49" s="2135"/>
      <c r="J49" s="2310">
        <v>4</v>
      </c>
      <c r="K49" s="3287" t="str">
        <f>IF(项目基本情况!E8="房地产抵押价值","房地产抵押价值","抵押担保权已注销时的房地产抵押价值")</f>
        <v>抵押担保权已注销时的房地产抵押价值</v>
      </c>
      <c r="L49" s="3287"/>
      <c r="M49" s="3290" t="str">
        <f>IF(项目基本情况!E8="房地产抵押价值",H107,H109)</f>
        <v>——</v>
      </c>
      <c r="N49" s="3290"/>
      <c r="O49" s="3290"/>
    </row>
    <row r="50" spans="1:35" ht="25.5" customHeight="1">
      <c r="A50" s="2338"/>
      <c r="B50" s="3335" t="s">
        <v>1344</v>
      </c>
      <c r="C50" s="3335"/>
      <c r="D50" s="2189"/>
      <c r="E50" s="323"/>
      <c r="F50" s="2233"/>
      <c r="G50" s="3319"/>
      <c r="H50" s="2136" t="s">
        <v>2135</v>
      </c>
      <c r="I50" s="2135"/>
      <c r="J50" s="3286" t="s">
        <v>1345</v>
      </c>
      <c r="K50" s="3286"/>
      <c r="L50" s="3286"/>
      <c r="M50" s="3286"/>
      <c r="N50" s="3286"/>
      <c r="O50" s="3286"/>
    </row>
    <row r="51" spans="1:35" ht="20.45" customHeight="1">
      <c r="A51" s="2339"/>
      <c r="B51" s="3335" t="s">
        <v>1346</v>
      </c>
      <c r="C51" s="3335"/>
      <c r="D51" s="1024"/>
      <c r="E51" s="319"/>
      <c r="F51" s="2233"/>
      <c r="G51" s="3320"/>
      <c r="H51" s="2136" t="s">
        <v>2136</v>
      </c>
      <c r="I51" s="2135"/>
      <c r="J51" s="2311" t="s">
        <v>1347</v>
      </c>
      <c r="K51" s="3287" t="s">
        <v>1348</v>
      </c>
      <c r="L51" s="3287"/>
      <c r="M51" s="2311" t="s">
        <v>1349</v>
      </c>
      <c r="N51" s="2311" t="s">
        <v>1350</v>
      </c>
      <c r="O51" s="2311" t="s">
        <v>1351</v>
      </c>
    </row>
    <row r="52" spans="1:35" ht="24" customHeight="1">
      <c r="A52" s="2153" t="s">
        <v>1352</v>
      </c>
      <c r="B52" s="3335" t="s">
        <v>1353</v>
      </c>
      <c r="C52" s="3335"/>
      <c r="D52" s="1024" t="e">
        <f ca="1">ROUND(D45*'数据-取费表'!B41/(1+'数据-取费表'!C42),0)</f>
        <v>#REF!</v>
      </c>
      <c r="E52" s="1256" t="s">
        <v>1354</v>
      </c>
      <c r="F52" s="2340">
        <f>'数据-取费表'!B41</f>
        <v>5.5000000000000007E-2</v>
      </c>
      <c r="G52" s="2341"/>
      <c r="H52" s="2331"/>
      <c r="I52" s="1669"/>
      <c r="J52" s="2310">
        <v>1</v>
      </c>
      <c r="K52" s="3312" t="s">
        <v>1355</v>
      </c>
      <c r="L52" s="3312"/>
      <c r="M52" s="2312" t="b">
        <f>D48</f>
        <v>0</v>
      </c>
      <c r="N52" s="2310" t="str">
        <f>E48</f>
        <v>销售额×税（费）率</v>
      </c>
      <c r="O52" s="2313">
        <f>F48</f>
        <v>5.5000000000000007E-2</v>
      </c>
    </row>
    <row r="53" spans="1:35" ht="12" customHeight="1">
      <c r="A53" s="2153" t="s">
        <v>1356</v>
      </c>
      <c r="B53" s="3336" t="s">
        <v>2291</v>
      </c>
      <c r="C53" s="3337"/>
      <c r="D53" s="1024" t="e">
        <f ca="1">ROUND(D45*'数据-取费表'!B41/(1+'数据-取费表'!C42),0)</f>
        <v>#REF!</v>
      </c>
      <c r="E53" s="1256" t="s">
        <v>1354</v>
      </c>
      <c r="F53" s="2340">
        <f>'数据-取费表'!B41</f>
        <v>5.5000000000000007E-2</v>
      </c>
      <c r="G53" s="2341"/>
      <c r="H53" s="2331"/>
      <c r="I53" s="1669"/>
      <c r="J53" s="2310">
        <v>2</v>
      </c>
      <c r="K53" s="3312" t="s">
        <v>1357</v>
      </c>
      <c r="L53" s="3312"/>
      <c r="M53" s="2312" t="e">
        <f t="shared" ref="M53:O54" ca="1" si="0">D55</f>
        <v>#REF!</v>
      </c>
      <c r="N53" s="2310" t="str">
        <f t="shared" si="0"/>
        <v>销售额×税（费）率</v>
      </c>
      <c r="O53" s="2313" t="str">
        <f t="shared" si="0"/>
        <v>免征</v>
      </c>
    </row>
    <row r="54" spans="1:35" ht="12" customHeight="1">
      <c r="A54" s="2153" t="s">
        <v>1358</v>
      </c>
      <c r="B54" s="3336" t="s">
        <v>2292</v>
      </c>
      <c r="C54" s="3337"/>
      <c r="D54" s="1024" t="e">
        <f ca="1">C68</f>
        <v>#REF!</v>
      </c>
      <c r="E54" s="319" t="s">
        <v>1359</v>
      </c>
      <c r="F54" s="2340">
        <f>'数据-取费表'!B41</f>
        <v>5.5000000000000007E-2</v>
      </c>
      <c r="G54" s="2341"/>
      <c r="H54" s="2342"/>
      <c r="I54" s="1669"/>
      <c r="J54" s="2310">
        <v>3</v>
      </c>
      <c r="K54" s="3312" t="s">
        <v>1360</v>
      </c>
      <c r="L54" s="3312"/>
      <c r="M54" s="2312" t="e">
        <f t="shared" ca="1" si="0"/>
        <v>#REF!</v>
      </c>
      <c r="N54" s="2310" t="str">
        <f t="shared" si="0"/>
        <v>增值额×税（费）率</v>
      </c>
      <c r="O54" s="2314" t="str">
        <f t="shared" si="0"/>
        <v>免征</v>
      </c>
    </row>
    <row r="55" spans="1:35" ht="24" customHeight="1">
      <c r="A55" s="3372" t="s">
        <v>1361</v>
      </c>
      <c r="B55" s="3350"/>
      <c r="C55" s="3350"/>
      <c r="D55" s="12" t="e">
        <f ca="1">IF(H55="个人住宅",0,ROUND(D45*I55,0))</f>
        <v>#REF!</v>
      </c>
      <c r="E55" s="1256" t="s">
        <v>1362</v>
      </c>
      <c r="F55" s="2340" t="str">
        <f>IF(H55="正常",I55,"免征")</f>
        <v>免征</v>
      </c>
      <c r="G55" s="2341"/>
      <c r="H55" s="2337"/>
      <c r="I55" s="157">
        <f>'数据-取费表'!B49</f>
        <v>5.0000000000000001E-4</v>
      </c>
      <c r="J55" s="2310">
        <f>IF(H59="非个人房产","",4)</f>
        <v>4</v>
      </c>
      <c r="K55" s="3312" t="str">
        <f>IF(H59="非个人房产","——","个人所得税")</f>
        <v>个人所得税</v>
      </c>
      <c r="L55" s="3312"/>
      <c r="M55" s="2315" t="e">
        <f ca="1">D59</f>
        <v>#REF!</v>
      </c>
      <c r="N55" s="1883" t="str">
        <f>E59</f>
        <v>差额计税</v>
      </c>
      <c r="O55" s="2316">
        <f>F59</f>
        <v>0.01</v>
      </c>
    </row>
    <row r="56" spans="1:35" ht="24.75">
      <c r="A56" s="3372" t="s">
        <v>1363</v>
      </c>
      <c r="B56" s="3350"/>
      <c r="C56" s="3350"/>
      <c r="D56" s="12" t="e">
        <f ca="1">IF(H56="个人住宅",D57,D58)</f>
        <v>#REF!</v>
      </c>
      <c r="E56" s="1256" t="s">
        <v>1364</v>
      </c>
      <c r="F56" s="2340" t="str">
        <f>IF(H56="正常",F58,"免征")</f>
        <v>免征</v>
      </c>
      <c r="G56" s="2343" t="s">
        <v>1365</v>
      </c>
      <c r="H56" s="2344"/>
      <c r="I56" s="1670"/>
      <c r="J56" s="2310" t="str">
        <f>IF(项目基本情况!K6="上海银行",IF(J55="",4,J55+1),"")</f>
        <v/>
      </c>
      <c r="K56" s="3293" t="str">
        <f>IF(项目基本情况!K6="上海银行","其他处置费用","")</f>
        <v/>
      </c>
      <c r="L56" s="3294"/>
      <c r="M56" s="2312" t="str">
        <f>IF(项目基本情况!K6="上海银行",M69,"")</f>
        <v/>
      </c>
      <c r="N56" s="3293" t="str">
        <f>IF(项目基本情况!K6="上海银行","包含处置中涉及的律师、诉讼、拍卖、评估等费用","")</f>
        <v/>
      </c>
      <c r="O56" s="3296"/>
    </row>
    <row r="57" spans="1:35" ht="12.75">
      <c r="A57" s="2153" t="s">
        <v>1341</v>
      </c>
      <c r="B57" s="3336" t="s">
        <v>1366</v>
      </c>
      <c r="C57" s="3337"/>
      <c r="D57" s="1478">
        <v>0</v>
      </c>
      <c r="E57" s="316" t="s">
        <v>1343</v>
      </c>
      <c r="F57" s="294"/>
      <c r="G57" s="2341"/>
      <c r="H57" s="2345"/>
      <c r="I57" s="1670"/>
      <c r="J57" s="3312">
        <f>IF(AND(J55="",J56=""),4,IF(项目基本情况!K6="上海银行",结果表!J56+1,结果表!J55+1))</f>
        <v>5</v>
      </c>
      <c r="K57" s="3312" t="s">
        <v>1367</v>
      </c>
      <c r="L57" s="2317" t="s">
        <v>1368</v>
      </c>
      <c r="M57" s="2318"/>
      <c r="N57" s="2319">
        <f ca="1">SUMIF(M52:M56,"&lt;9e307")</f>
        <v>0</v>
      </c>
      <c r="O57" s="2320"/>
      <c r="P57" s="2465" t="e">
        <f ca="1">N57/M49</f>
        <v>#VALUE!</v>
      </c>
    </row>
    <row r="58" spans="1:35" ht="24.75">
      <c r="A58" s="2153" t="s">
        <v>1352</v>
      </c>
      <c r="B58" s="3336" t="s">
        <v>1369</v>
      </c>
      <c r="C58" s="3335"/>
      <c r="D58" s="12" t="e">
        <f ca="1">IF(H58="转让取得",C81,C97)</f>
        <v>#REF!</v>
      </c>
      <c r="E58" s="1256" t="s">
        <v>1364</v>
      </c>
      <c r="F58" s="294" t="s">
        <v>28</v>
      </c>
      <c r="G58" s="2341"/>
      <c r="H58" s="2344"/>
      <c r="I58" s="1670"/>
      <c r="J58" s="3312"/>
      <c r="K58" s="3312"/>
      <c r="L58" s="2317" t="s">
        <v>1370</v>
      </c>
      <c r="M58" s="2321"/>
      <c r="N58" s="2322" t="str">
        <f ca="1">NUMBERSTRING(INT(N57*10000),2)&amp;"元整"</f>
        <v>零元整</v>
      </c>
      <c r="O58" s="2323"/>
    </row>
    <row r="59" spans="1:35" ht="24.75" thickBot="1">
      <c r="A59" s="3316" t="s">
        <v>1371</v>
      </c>
      <c r="B59" s="3317"/>
      <c r="C59" s="3317"/>
      <c r="D59" s="2346">
        <f ca="1">IF(H59="非个人房产","——",IF(H59="个人住宅（满五唯一有凭证）",0,IF(H59="个人其他（无凭证）",ROUND(D45/(1+'数据-取费表'!C42)*F59,0),ROUND(C67*F59,0))))</f>
        <v>0</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4">
        <f>J57+1</f>
        <v>6</v>
      </c>
      <c r="K59" s="3312" t="s">
        <v>1372</v>
      </c>
      <c r="L59" s="2310" t="s">
        <v>1368</v>
      </c>
      <c r="M59" s="2324"/>
      <c r="N59" s="2325" t="e">
        <f ca="1">M49-N57</f>
        <v>#VALUE!</v>
      </c>
      <c r="O59" s="2326"/>
    </row>
    <row r="60" spans="1:35" ht="12" customHeight="1">
      <c r="A60" s="1671"/>
      <c r="B60" s="646"/>
      <c r="C60" s="646"/>
      <c r="D60" s="646"/>
      <c r="E60" s="1466"/>
      <c r="F60" s="1670"/>
      <c r="G60" s="1670"/>
      <c r="H60" s="151"/>
      <c r="I60" s="121"/>
      <c r="J60" s="3315"/>
      <c r="K60" s="3312"/>
      <c r="L60" s="2317" t="s">
        <v>1370</v>
      </c>
      <c r="M60" s="2321"/>
      <c r="N60" s="2322" t="e">
        <f ca="1">NUMBERSTRING(INT(N59*10000),2)&amp;"元整"</f>
        <v>#VALUE!</v>
      </c>
      <c r="O60" s="2323"/>
    </row>
    <row r="61" spans="1:35" ht="13.5" thickBot="1">
      <c r="A61" s="3371" t="s">
        <v>1373</v>
      </c>
      <c r="B61" s="3371"/>
      <c r="C61" s="3371"/>
      <c r="D61" s="3371"/>
      <c r="E61" s="3371"/>
      <c r="F61" s="1670"/>
      <c r="G61" s="1670"/>
      <c r="H61" s="151"/>
      <c r="I61" s="121"/>
      <c r="J61" s="2310">
        <f>J59+1</f>
        <v>7</v>
      </c>
      <c r="K61" s="3312" t="s">
        <v>1374</v>
      </c>
      <c r="L61" s="3312"/>
      <c r="M61" s="2327"/>
      <c r="N61" s="2328" t="e">
        <f ca="1">ROUND(N59*10000/'数据-汇总表'!E3,0)</f>
        <v>#VALUE!</v>
      </c>
      <c r="O61" s="2329"/>
    </row>
    <row r="62" spans="1:35" ht="12.75">
      <c r="A62" s="3331" t="s">
        <v>1375</v>
      </c>
      <c r="B62" s="3332"/>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95" t="s">
        <v>1379</v>
      </c>
      <c r="K63" s="1245" t="s">
        <v>1380</v>
      </c>
      <c r="L63" s="1245" t="e">
        <f>IF(M49&gt;10000,M49*0.5%,IF(AND(M49&gt;1000,M49&lt;=10000),M49*1%,IF(AND(M49&gt;100,M49&lt;=1000),M49*3%,IF(AND(M49&gt;10,M49&lt;=100),M49*5%,M49*8%))))</f>
        <v>#VALUE!</v>
      </c>
      <c r="M63" s="294" t="e">
        <f>ROUND(L63,1)</f>
        <v>#VALUE!</v>
      </c>
      <c r="N63" s="2330"/>
      <c r="Z63" s="1623"/>
      <c r="AI63" s="1561"/>
    </row>
    <row r="64" spans="1:35" ht="14.25" customHeight="1">
      <c r="A64" s="161" t="s">
        <v>325</v>
      </c>
      <c r="B64" s="162" t="s">
        <v>1381</v>
      </c>
      <c r="C64" s="2351" t="e">
        <f ca="1">D45</f>
        <v>#REF!</v>
      </c>
      <c r="D64" s="162" t="s">
        <v>26</v>
      </c>
      <c r="E64" s="164"/>
      <c r="F64" s="1670"/>
      <c r="G64" s="1670"/>
      <c r="H64" s="151"/>
      <c r="I64" s="121"/>
      <c r="J64" s="3295"/>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1" t="s">
        <v>1383</v>
      </c>
      <c r="Z64" s="1623"/>
      <c r="AI64" s="1561"/>
    </row>
    <row r="65" spans="1:35" ht="14.25" customHeight="1">
      <c r="A65" s="161" t="s">
        <v>326</v>
      </c>
      <c r="B65" s="162" t="s">
        <v>1384</v>
      </c>
      <c r="C65" s="2352"/>
      <c r="D65" s="162"/>
      <c r="E65" s="164"/>
      <c r="F65" s="1670"/>
      <c r="G65" s="1670"/>
      <c r="H65" s="151"/>
      <c r="I65" s="121"/>
      <c r="J65" s="3295"/>
      <c r="K65" s="1245" t="s">
        <v>1385</v>
      </c>
      <c r="L65" s="1245" t="e">
        <f>IF(M49&gt;1000,M49*0.1%,IF(AND(M49&gt;500,M49&lt;=1000),M49*0.5%,IF(AND(M49&gt;50,M49&lt;=500),M49*1%,IF(AND(M49&gt;1,M49&lt;=50),M49*1.5%))))</f>
        <v>#VALUE!</v>
      </c>
      <c r="M65" s="294" t="e">
        <f t="shared" si="1"/>
        <v>#VALUE!</v>
      </c>
      <c r="N65" s="2331" t="s">
        <v>1383</v>
      </c>
      <c r="Z65" s="1623"/>
      <c r="AI65" s="1561"/>
    </row>
    <row r="66" spans="1:35" ht="14.25" customHeight="1">
      <c r="A66" s="165" t="s">
        <v>327</v>
      </c>
      <c r="B66" s="166" t="s">
        <v>1386</v>
      </c>
      <c r="C66" s="2353"/>
      <c r="D66" s="166" t="s">
        <v>26</v>
      </c>
      <c r="E66" s="1251" t="s">
        <v>671</v>
      </c>
      <c r="F66" s="1670"/>
      <c r="G66" s="1670"/>
      <c r="H66" s="151"/>
      <c r="I66" s="121"/>
      <c r="J66" s="3295"/>
      <c r="K66" s="1245" t="s">
        <v>1387</v>
      </c>
      <c r="L66" s="1245" t="e">
        <f>M49*0.5%</f>
        <v>#VALUE!</v>
      </c>
      <c r="M66" s="294" t="e">
        <f>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95"/>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295"/>
      <c r="K68" s="1245" t="s">
        <v>1392</v>
      </c>
      <c r="L68" s="1245" t="e">
        <f>IF(M49&gt;10000,M49*0.5%,IF(AND(M49&gt;5000,M49&lt;=10000),M49*1%,IF(AND(M49&gt;1000,M49&lt;=5000),M49*2%,IF(AND(M49&gt;200,M49&lt;=1000),M49*3%,M49*5%))))</f>
        <v>#VALUE!</v>
      </c>
      <c r="M68" s="294" t="e">
        <f>ROUND(L68,1)</f>
        <v>#VALUE!</v>
      </c>
      <c r="N68" s="2330"/>
      <c r="Z68" s="1623"/>
      <c r="AI68" s="1561"/>
    </row>
    <row r="69" spans="1:35" ht="16.5" customHeight="1">
      <c r="A69" s="1672"/>
      <c r="B69" s="1673"/>
      <c r="C69" s="1674"/>
      <c r="D69" s="1675"/>
      <c r="E69" s="1676"/>
      <c r="F69" s="1466"/>
      <c r="G69" s="1466"/>
      <c r="H69" s="1467"/>
      <c r="I69" s="646"/>
      <c r="J69" s="3295"/>
      <c r="K69" s="1245" t="s">
        <v>1393</v>
      </c>
      <c r="L69" s="1245"/>
      <c r="M69" s="294" t="e">
        <f>ROUND(SUM(M63:M68),0)</f>
        <v>#VALUE!</v>
      </c>
      <c r="N69" s="2332" t="e">
        <f>M69/M49</f>
        <v>#VALUE!</v>
      </c>
      <c r="Z69" s="1623"/>
      <c r="AI69" s="1561"/>
    </row>
    <row r="70" spans="1:35" s="642" customFormat="1" ht="15" thickBot="1">
      <c r="A70" s="3339" t="s">
        <v>1394</v>
      </c>
      <c r="B70" s="3340"/>
      <c r="C70" s="3340"/>
      <c r="D70" s="3340"/>
      <c r="E70" s="3340"/>
      <c r="F70" s="3340"/>
      <c r="G70" s="3340"/>
      <c r="H70" s="334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1" t="s">
        <v>1375</v>
      </c>
      <c r="B71" s="333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36" t="s">
        <v>1402</v>
      </c>
      <c r="F76" s="3335"/>
      <c r="G76" s="3335"/>
      <c r="H76" s="333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328" t="s">
        <v>1406</v>
      </c>
      <c r="F78" s="3329"/>
      <c r="G78" s="3329"/>
      <c r="H78" s="333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9" t="s">
        <v>1410</v>
      </c>
      <c r="B83" s="3340"/>
      <c r="C83" s="3340"/>
      <c r="D83" s="3340"/>
      <c r="E83" s="3340"/>
      <c r="F83" s="3340"/>
      <c r="G83" s="3340"/>
      <c r="H83" s="334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1" t="s">
        <v>1375</v>
      </c>
      <c r="B84" s="333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97" t="s">
        <v>2129</v>
      </c>
      <c r="H90" s="3298"/>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28" t="s">
        <v>1419</v>
      </c>
      <c r="F91" s="3329"/>
      <c r="G91" s="3329"/>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28" t="s">
        <v>1422</v>
      </c>
      <c r="F92" s="3329"/>
      <c r="G92" s="3329"/>
      <c r="H92" s="3330"/>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328" t="s">
        <v>1406</v>
      </c>
      <c r="F93" s="3329"/>
      <c r="G93" s="3329"/>
      <c r="H93" s="333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73" t="s">
        <v>1426</v>
      </c>
      <c r="F94" s="3374"/>
      <c r="G94" s="3374"/>
      <c r="H94" s="337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8" t="s">
        <v>1428</v>
      </c>
      <c r="B100" s="3279"/>
      <c r="C100" s="3279"/>
      <c r="D100" s="3313"/>
      <c r="E100" s="3279" t="s">
        <v>1429</v>
      </c>
      <c r="F100" s="3279"/>
      <c r="G100" s="3279"/>
      <c r="H100" s="3313"/>
      <c r="I100" s="121"/>
    </row>
    <row r="101" spans="1:35" ht="18.75" customHeight="1">
      <c r="A101" s="3321" t="s">
        <v>1430</v>
      </c>
      <c r="B101" s="3322"/>
      <c r="C101" s="2371">
        <f>C4</f>
        <v>0</v>
      </c>
      <c r="D101" s="2372">
        <f>D4</f>
        <v>0</v>
      </c>
      <c r="E101" s="3291" t="s">
        <v>1431</v>
      </c>
      <c r="F101" s="3292"/>
      <c r="G101" s="1687" t="s">
        <v>1432</v>
      </c>
      <c r="H101" s="2381" t="e">
        <f ca="1">H118</f>
        <v>#REF!</v>
      </c>
      <c r="I101" s="121"/>
    </row>
    <row r="102" spans="1:35" ht="18.75" customHeight="1">
      <c r="A102" s="3323" t="s">
        <v>1433</v>
      </c>
      <c r="B102" s="2370" t="s">
        <v>1432</v>
      </c>
      <c r="C102" s="2371" t="e">
        <f ca="1">IF(D32="楼面单价",ROUND(C19,0),C19)</f>
        <v>#REF!</v>
      </c>
      <c r="D102" s="2372" t="e">
        <f ca="1">IF(D32="楼面单价",ROUND(D19,0),D19)</f>
        <v>#REF!</v>
      </c>
      <c r="E102" s="3291"/>
      <c r="F102" s="3292"/>
      <c r="G102" s="1687" t="s">
        <v>1434</v>
      </c>
      <c r="H102" s="2341" t="e">
        <f ca="1">I118</f>
        <v>#REF!</v>
      </c>
      <c r="I102" s="121"/>
    </row>
    <row r="103" spans="1:35" ht="42.75" customHeight="1">
      <c r="A103" s="3323"/>
      <c r="B103" s="2370" t="s">
        <v>1434</v>
      </c>
      <c r="C103" s="2373" t="e">
        <f ca="1">C20</f>
        <v>#REF!</v>
      </c>
      <c r="D103" s="2374" t="e">
        <f ca="1">D20</f>
        <v>#REF!</v>
      </c>
      <c r="E103" s="3284" t="s">
        <v>1435</v>
      </c>
      <c r="F103" s="3285"/>
      <c r="G103" s="1688" t="s">
        <v>1436</v>
      </c>
      <c r="H103" s="2381">
        <f>IF(D36="正常操作",H104+H105+H106,H105+H106)</f>
        <v>0</v>
      </c>
      <c r="I103" s="121"/>
    </row>
    <row r="104" spans="1:35" ht="18.75" customHeight="1">
      <c r="A104" s="3323"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33"/>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24" t="str">
        <f>IF(项目基本情况!E8="已注销","——","3.房地产抵押价值")</f>
        <v>3.房地产抵押价值</v>
      </c>
      <c r="F107" s="3292"/>
      <c r="G107" s="1687" t="s">
        <v>1432</v>
      </c>
      <c r="H107" s="2381" t="e">
        <f ca="1">IF(E107="——","——",H101-H103)</f>
        <v>#REF!</v>
      </c>
      <c r="I107" s="121"/>
    </row>
    <row r="108" spans="1:35" ht="18.75" customHeight="1">
      <c r="A108" s="121"/>
      <c r="B108" s="121"/>
      <c r="C108" s="121"/>
      <c r="D108" s="121"/>
      <c r="E108" s="3324"/>
      <c r="F108" s="3292"/>
      <c r="G108" s="1687" t="s">
        <v>1434</v>
      </c>
      <c r="H108" s="2341">
        <f ca="1">IF(H107=H101,H102,ROUND(H107*10000/'数据-汇总表'!E3,0))</f>
        <v>0</v>
      </c>
      <c r="I108" s="121"/>
    </row>
    <row r="109" spans="1:35" ht="18.75" customHeight="1">
      <c r="A109" s="121"/>
      <c r="B109" s="121"/>
      <c r="C109" s="121"/>
      <c r="D109" s="121"/>
      <c r="E109" s="3324" t="str">
        <f>IF(项目基本情况!E8="已注销及未注销","4.抵押担保权已注销时的房地产抵押价值",IF(项目基本情况!E8="已注销","3.抵押担保权已注销时的房地产抵押价值","——"))</f>
        <v>——</v>
      </c>
      <c r="F109" s="3292"/>
      <c r="G109" s="1687" t="s">
        <v>1432</v>
      </c>
      <c r="H109" s="2384" t="str">
        <f>IF(E109="——","——",H101-H105-H106)</f>
        <v>——</v>
      </c>
      <c r="I109" s="121"/>
    </row>
    <row r="110" spans="1:35" ht="18.75" customHeight="1">
      <c r="A110" s="121"/>
      <c r="B110" s="121"/>
      <c r="C110" s="121"/>
      <c r="D110" s="121"/>
      <c r="E110" s="3324"/>
      <c r="F110" s="3292"/>
      <c r="G110" s="1687" t="s">
        <v>1434</v>
      </c>
      <c r="H110" s="2341"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311"/>
      <c r="G111" s="1687" t="s">
        <v>1432</v>
      </c>
      <c r="H111" s="2381" t="str">
        <f>IF(E111="——","——",N59)</f>
        <v>——</v>
      </c>
      <c r="I111" s="121"/>
    </row>
    <row r="112" spans="1:35" ht="18.75" customHeight="1" thickBot="1">
      <c r="A112" s="121"/>
      <c r="B112" s="121"/>
      <c r="C112" s="121"/>
      <c r="D112" s="121"/>
      <c r="E112" s="3326"/>
      <c r="F112" s="3327"/>
      <c r="G112" s="1690" t="s">
        <v>1434</v>
      </c>
      <c r="H112" s="2385" t="str">
        <f>IF(E111="——","——",N61)</f>
        <v>——</v>
      </c>
      <c r="I112" s="121"/>
    </row>
    <row r="113" spans="1:27" ht="18.75" customHeight="1">
      <c r="A113" s="121"/>
      <c r="B113" s="121"/>
      <c r="C113" s="121"/>
      <c r="D113" s="121"/>
      <c r="E113" s="3334" t="s">
        <v>1440</v>
      </c>
      <c r="F113" s="3334"/>
      <c r="G113" s="3334"/>
      <c r="H113" s="3334"/>
      <c r="I113" s="121"/>
    </row>
    <row r="114" spans="1:27" ht="3.75" customHeight="1">
      <c r="A114" s="646"/>
      <c r="B114" s="646"/>
      <c r="C114" s="646"/>
      <c r="D114" s="646"/>
      <c r="E114" s="1671"/>
      <c r="F114" s="1671"/>
      <c r="G114" s="1671"/>
      <c r="H114" s="1671"/>
      <c r="I114" s="646"/>
    </row>
    <row r="115" spans="1:27" ht="18.75" customHeight="1">
      <c r="A115" s="3342" t="s">
        <v>1442</v>
      </c>
      <c r="B115" s="3343"/>
      <c r="C115" s="3343"/>
      <c r="D115" s="3343"/>
      <c r="E115" s="3343"/>
      <c r="F115" s="3343"/>
      <c r="G115" s="3343"/>
      <c r="H115" s="3343"/>
      <c r="I115" s="3344"/>
    </row>
    <row r="116" spans="1:27" ht="27" customHeight="1">
      <c r="A116" s="3299" t="s">
        <v>1443</v>
      </c>
      <c r="B116" s="3303" t="s">
        <v>1444</v>
      </c>
      <c r="C116" s="3303" t="s">
        <v>1445</v>
      </c>
      <c r="D116" s="3309" t="s">
        <v>1446</v>
      </c>
      <c r="E116" s="3310"/>
      <c r="F116" s="3341" t="s">
        <v>1447</v>
      </c>
      <c r="G116" s="3341"/>
      <c r="H116" s="3299" t="s">
        <v>1448</v>
      </c>
      <c r="I116" s="3299"/>
    </row>
    <row r="117" spans="1:27" ht="18.75" customHeight="1">
      <c r="A117" s="3299"/>
      <c r="B117" s="3304"/>
      <c r="C117" s="3304"/>
      <c r="D117" s="2150" t="s">
        <v>1449</v>
      </c>
      <c r="E117" s="2150" t="s">
        <v>1450</v>
      </c>
      <c r="F117" s="2150" t="s">
        <v>1449</v>
      </c>
      <c r="G117" s="2150" t="s">
        <v>1451</v>
      </c>
      <c r="H117" s="2150" t="s">
        <v>1449</v>
      </c>
      <c r="I117" s="2150" t="s">
        <v>1451</v>
      </c>
    </row>
    <row r="118" spans="1:27" ht="24.75" customHeight="1">
      <c r="A118" s="2386" t="str">
        <f>项目基本情况!S2</f>
        <v>房地产</v>
      </c>
      <c r="B118" s="2150">
        <f>M18</f>
        <v>16683.080000000002</v>
      </c>
      <c r="C118" s="2150">
        <f>M19</f>
        <v>6666.7</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99" t="s">
        <v>1452</v>
      </c>
      <c r="B119" s="3299"/>
      <c r="C119" s="3299"/>
      <c r="D119" s="3305" t="e">
        <f ca="1">NUMBERSTRING(INT(D118*10000),2)&amp;"元整"</f>
        <v>#REF!</v>
      </c>
      <c r="E119" s="3306"/>
      <c r="F119" s="3305" t="e">
        <f ca="1">NUMBERSTRING(INT(F118*10000),2)&amp;"元整"</f>
        <v>#REF!</v>
      </c>
      <c r="G119" s="3306"/>
      <c r="H119" s="3305" t="e">
        <f ca="1">NUMBERSTRING(INT(H118*10000),2)&amp;"元整"</f>
        <v>#REF!</v>
      </c>
      <c r="I119" s="3306"/>
    </row>
    <row r="120" spans="1:27" ht="18.75" customHeight="1">
      <c r="A120" s="3300" t="str">
        <f>IF(项目基本情况!B9="房地产市场价值","",MID(E103,3,LEN(E103)-2))</f>
        <v>估价师知悉的法定优先受偿款</v>
      </c>
      <c r="B120" s="3301"/>
      <c r="C120" s="3302"/>
      <c r="D120" s="3300">
        <f>H103</f>
        <v>0</v>
      </c>
      <c r="E120" s="3301"/>
      <c r="F120" s="3301"/>
      <c r="G120" s="3301"/>
      <c r="H120" s="3301"/>
      <c r="I120" s="330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5" t="s">
        <v>1452</v>
      </c>
      <c r="B121" s="3307"/>
      <c r="C121" s="3306"/>
      <c r="D121" s="3305" t="str">
        <f>IF(D120=0,"零元整",NUMBERSTRING(INT(D120*10000),2)&amp;"元整")</f>
        <v>零元整</v>
      </c>
      <c r="E121" s="3307"/>
      <c r="F121" s="3307"/>
      <c r="G121" s="3307"/>
      <c r="H121" s="3307"/>
      <c r="I121" s="3306"/>
      <c r="AA121" s="684"/>
    </row>
    <row r="122" spans="1:27" ht="18.75" customHeight="1">
      <c r="A122" s="3311" t="str">
        <f>IF(项目基本情况!B9="房地产市场价值","",MID(E107,3,LEN(E107)-2))</f>
        <v>房地产抵押价值</v>
      </c>
      <c r="B122" s="3311"/>
      <c r="C122" s="3311"/>
      <c r="D122" s="3300" t="e">
        <f ca="1">H107</f>
        <v>#REF!</v>
      </c>
      <c r="E122" s="3301"/>
      <c r="F122" s="3301"/>
      <c r="G122" s="3301"/>
      <c r="H122" s="3301"/>
      <c r="I122" s="3302"/>
      <c r="AA122" s="684"/>
    </row>
    <row r="123" spans="1:27" ht="18.75" customHeight="1">
      <c r="A123" s="3299" t="s">
        <v>1452</v>
      </c>
      <c r="B123" s="3299"/>
      <c r="C123" s="3299"/>
      <c r="D123" s="3305" t="e">
        <f ca="1">NUMBERSTRING(INT(D122*10000),2)&amp;"元整"</f>
        <v>#REF!</v>
      </c>
      <c r="E123" s="3307"/>
      <c r="F123" s="3307"/>
      <c r="G123" s="3307"/>
      <c r="H123" s="3307"/>
      <c r="I123" s="3306"/>
      <c r="AA123" s="684"/>
    </row>
    <row r="124" spans="1:27" ht="18.75" customHeight="1">
      <c r="A124" s="3311" t="str">
        <f>IF(项目基本情况!B9="房地产市场价值","",MID(E109,3,LEN(E109)-2))</f>
        <v/>
      </c>
      <c r="B124" s="3311"/>
      <c r="C124" s="3311"/>
      <c r="D124" s="3300" t="str">
        <f>H109</f>
        <v>——</v>
      </c>
      <c r="E124" s="3301"/>
      <c r="F124" s="3301"/>
      <c r="G124" s="3301"/>
      <c r="H124" s="3301"/>
      <c r="I124" s="3302"/>
      <c r="AA124" s="684"/>
    </row>
    <row r="125" spans="1:27" ht="18.75" customHeight="1">
      <c r="A125" s="3299" t="s">
        <v>1452</v>
      </c>
      <c r="B125" s="3299"/>
      <c r="C125" s="3299"/>
      <c r="D125" s="3305" t="e">
        <f>NUMBERSTRING(INT(D124*10000),2)&amp;"元整"</f>
        <v>#VALUE!</v>
      </c>
      <c r="E125" s="3307"/>
      <c r="F125" s="3307"/>
      <c r="G125" s="3307"/>
      <c r="H125" s="3307"/>
      <c r="I125" s="3306"/>
      <c r="AA125" s="684"/>
    </row>
    <row r="126" spans="1:27" ht="18.75" customHeight="1">
      <c r="A126" s="3311" t="str">
        <f>IF(项目基本情况!B9="房地产市场价值","",MID(E111,3,LEN(E111)-2))</f>
        <v/>
      </c>
      <c r="B126" s="3311"/>
      <c r="C126" s="3311"/>
      <c r="D126" s="3300" t="str">
        <f>H111</f>
        <v>——</v>
      </c>
      <c r="E126" s="3301"/>
      <c r="F126" s="3301"/>
      <c r="G126" s="3301"/>
      <c r="H126" s="3301"/>
      <c r="I126" s="3302"/>
      <c r="AA126" s="684"/>
    </row>
    <row r="127" spans="1:27" ht="18.75" customHeight="1">
      <c r="A127" s="3299" t="s">
        <v>1452</v>
      </c>
      <c r="B127" s="3299"/>
      <c r="C127" s="3299"/>
      <c r="D127" s="3305" t="e">
        <f>NUMBERSTRING(INT(D126*10000),2)&amp;"元整"</f>
        <v>#VALUE!</v>
      </c>
      <c r="E127" s="3307"/>
      <c r="F127" s="3307"/>
      <c r="G127" s="3307"/>
      <c r="H127" s="3307"/>
      <c r="I127" s="3306"/>
      <c r="AA127" s="684"/>
    </row>
    <row r="128" spans="1:27" ht="21.75" customHeight="1">
      <c r="A128" s="3308" t="s">
        <v>1453</v>
      </c>
      <c r="B128" s="3308"/>
      <c r="C128" s="3308"/>
      <c r="D128" s="3308"/>
      <c r="E128" s="3308"/>
      <c r="F128" s="3308"/>
      <c r="G128" s="3308"/>
      <c r="H128" s="3308"/>
      <c r="I128" s="330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M62" sqref="M6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6652</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3987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334</v>
      </c>
      <c r="D10" s="795">
        <f ca="1">IF(B1="",'数据-汇总表'!E6,IF(INDIRECT("'数据-取费表'!c"&amp;$G$1)="住宅",INDIRECT("'数据-取费表'!s"&amp;$G$1),INDIRECT("'数据-取费表'!k"&amp;$G$1)+INDIRECT("'数据-取费表'!s"&amp;$G$1)))</f>
        <v>16683.080000000002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526</v>
      </c>
      <c r="D19" s="204">
        <f ca="1">D9+D10</f>
        <v>16683.080000000002</v>
      </c>
      <c r="E19" s="203">
        <f>'数据-取费表'!B31</f>
        <v>315</v>
      </c>
      <c r="F19" s="223"/>
      <c r="G19" s="1714"/>
    </row>
    <row r="20" spans="1:7" s="206" customFormat="1" ht="13.5" customHeight="1">
      <c r="A20" s="247" t="s">
        <v>1493</v>
      </c>
      <c r="B20" s="202" t="s">
        <v>1494</v>
      </c>
      <c r="C20" s="224">
        <f ca="1">ROUND((C5+C19)*F20,0)</f>
        <v>11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v>
      </c>
      <c r="D22" s="227">
        <f ca="1">C26</f>
        <v>5.0000000000000001E-4</v>
      </c>
      <c r="E22" s="228" t="s">
        <v>1498</v>
      </c>
      <c r="F22" s="229">
        <f ca="1">'数据-取费表'!B40</f>
        <v>3.0599999999999999E-2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24</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54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54</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665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5689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5005</v>
      </c>
      <c r="D34" s="209"/>
      <c r="E34" s="212"/>
      <c r="F34" s="249">
        <f ca="1">IF('数据-取费表'!B24=0,1,IF(B1="",'数据-取费表'!N16,INDIRECT("'数据-取费表'!n"&amp;$G$1)))</f>
        <v>1</v>
      </c>
      <c r="G34" s="211" t="s">
        <v>1526</v>
      </c>
    </row>
    <row r="35" spans="1:7" ht="13.5" customHeight="1">
      <c r="A35" s="734" t="s">
        <v>351</v>
      </c>
      <c r="B35" s="207" t="s">
        <v>1527</v>
      </c>
      <c r="C35" s="212">
        <f ca="1">ROUND(C34*F35,0)</f>
        <v>250</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334</v>
      </c>
      <c r="D37" s="209">
        <f ca="1">D19</f>
        <v>16683.080000000002</v>
      </c>
      <c r="E37" s="241">
        <f>'数据-取费表'!B35</f>
        <v>200</v>
      </c>
      <c r="F37" s="251"/>
      <c r="G37" s="253" t="s">
        <v>1532</v>
      </c>
    </row>
    <row r="38" spans="1:7" ht="13.5" customHeight="1">
      <c r="A38" s="734" t="s">
        <v>354</v>
      </c>
      <c r="B38" s="207" t="s">
        <v>1533</v>
      </c>
      <c r="C38" s="212">
        <f ca="1">ROUND(C34*F38,0)</f>
        <v>100</v>
      </c>
      <c r="D38" s="212"/>
      <c r="E38" s="212"/>
      <c r="F38" s="251">
        <f>'数据-取费表'!B36</f>
        <v>0.02</v>
      </c>
      <c r="G38" s="211" t="s">
        <v>1528</v>
      </c>
    </row>
    <row r="39" spans="1:7" s="206" customFormat="1" ht="13.5" customHeight="1">
      <c r="A39" s="247" t="s">
        <v>1534</v>
      </c>
      <c r="B39" s="202" t="s">
        <v>1535</v>
      </c>
      <c r="C39" s="224">
        <f ca="1">ROUND(C33*F20,0)</f>
        <v>114</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133</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130</v>
      </c>
      <c r="D42" s="230"/>
      <c r="E42" s="230"/>
      <c r="F42" s="231"/>
      <c r="G42" s="3378" t="s">
        <v>1544</v>
      </c>
    </row>
    <row r="43" spans="1:7" ht="13.5" customHeight="1">
      <c r="A43" s="734" t="s">
        <v>347</v>
      </c>
      <c r="B43" s="207" t="s">
        <v>1545</v>
      </c>
      <c r="C43" s="230">
        <f ca="1">ROUND(IF('数据-取费表'!B22&lt;=1,C39*F22*'数据-取费表'!B21/2,C39*(POWER((1+F22),'数据-取费表'!B21/2)-1)),0)</f>
        <v>3</v>
      </c>
      <c r="D43" s="230"/>
      <c r="E43" s="230"/>
      <c r="F43" s="231"/>
      <c r="G43" s="3379"/>
    </row>
    <row r="44" spans="1:7" ht="13.5" customHeight="1">
      <c r="A44" s="734" t="s">
        <v>348</v>
      </c>
      <c r="B44" s="207" t="s">
        <v>1546</v>
      </c>
      <c r="C44" s="230">
        <f ca="1">ROUND(IF('数据-取费表'!B22&lt;=1,C40*F22*'数据-取费表'!B21/2,C40*(POWER((1+F22),'数据-取费表'!B21/2)-1)),4)</f>
        <v>5.0000000000000001E-4</v>
      </c>
      <c r="D44" s="230"/>
      <c r="E44" s="230"/>
      <c r="F44" s="231"/>
      <c r="G44" s="3380"/>
    </row>
    <row r="45" spans="1:7" s="206" customFormat="1" ht="13.5" customHeight="1">
      <c r="A45" s="247" t="s">
        <v>1547</v>
      </c>
      <c r="B45" s="236" t="s">
        <v>1513</v>
      </c>
      <c r="C45" s="237">
        <f ca="1">C46</f>
        <v>580</v>
      </c>
      <c r="D45" s="227">
        <f ca="1">C47</f>
        <v>2E-3</v>
      </c>
      <c r="E45" s="228" t="s">
        <v>1539</v>
      </c>
      <c r="F45" s="238">
        <f ca="1">F27</f>
        <v>0.1</v>
      </c>
      <c r="G45" s="239" t="s">
        <v>1548</v>
      </c>
    </row>
    <row r="46" spans="1:7" s="206" customFormat="1" ht="13.5" customHeight="1">
      <c r="A46" s="734" t="s">
        <v>346</v>
      </c>
      <c r="B46" s="240" t="s">
        <v>1549</v>
      </c>
      <c r="C46" s="241">
        <f ca="1">ROUND((C33+C39)*F27,0)</f>
        <v>580</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7044</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5987</v>
      </c>
      <c r="D51" s="224"/>
      <c r="E51" s="224"/>
      <c r="F51" s="256"/>
      <c r="G51" s="226" t="s">
        <v>1560</v>
      </c>
    </row>
    <row r="52" spans="1:7" s="200" customFormat="1" ht="16.5" thickBot="1">
      <c r="A52" s="257" t="s">
        <v>1561</v>
      </c>
      <c r="B52" s="258"/>
      <c r="C52" s="259">
        <f ca="1">C31+C51</f>
        <v>6652</v>
      </c>
      <c r="D52" s="258"/>
      <c r="E52" s="258"/>
      <c r="F52" s="258"/>
      <c r="G52" s="260"/>
    </row>
    <row r="55" spans="1:7" ht="15">
      <c r="B55" s="262" t="s">
        <v>1562</v>
      </c>
      <c r="C55" s="263"/>
    </row>
    <row r="56" spans="1:7">
      <c r="B56" s="265" t="s">
        <v>802</v>
      </c>
      <c r="C56" s="267">
        <f ca="1">1-C57</f>
        <v>9.9999999999999978E-2</v>
      </c>
    </row>
    <row r="57" spans="1:7">
      <c r="B57" s="265" t="s">
        <v>803</v>
      </c>
      <c r="C57" s="266">
        <f ca="1">ROUND(C51/C52,3)</f>
        <v>0.9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6" t="str">
        <f>项目基本情况!B1</f>
        <v>预评估</v>
      </c>
      <c r="C37" s="3196"/>
      <c r="D37" s="3196"/>
      <c r="E37" s="3196"/>
      <c r="F37" s="3196"/>
      <c r="G37" s="3196"/>
      <c r="H37" s="3196"/>
      <c r="I37" s="3196"/>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6"/>
  <sheetViews>
    <sheetView zoomScale="110" zoomScaleNormal="110" workbookViewId="0">
      <selection activeCell="F3" sqref="F3"/>
    </sheetView>
  </sheetViews>
  <sheetFormatPr defaultColWidth="22.875" defaultRowHeight="13.5"/>
  <cols>
    <col min="1" max="1" width="8" style="3177" customWidth="1"/>
    <col min="2" max="2" width="18.5" style="3177" customWidth="1"/>
    <col min="3" max="3" width="15.5" style="3177" customWidth="1"/>
    <col min="4" max="4" width="55" style="3177" customWidth="1"/>
    <col min="5" max="5" width="22.125" style="3177" customWidth="1"/>
    <col min="6" max="6" width="16.125" style="3177" customWidth="1"/>
    <col min="7" max="7" width="11" style="3177" customWidth="1"/>
    <col min="8" max="16384" width="22.875" style="3177"/>
  </cols>
  <sheetData>
    <row r="1" spans="1:10">
      <c r="A1" s="3170" t="s">
        <v>3437</v>
      </c>
      <c r="B1" s="3170" t="s">
        <v>3438</v>
      </c>
      <c r="C1" s="3170" t="s">
        <v>3439</v>
      </c>
      <c r="D1" s="3171" t="s">
        <v>3440</v>
      </c>
      <c r="F1" s="3177" t="s">
        <v>3461</v>
      </c>
      <c r="H1" s="3178" t="s">
        <v>3458</v>
      </c>
      <c r="I1" s="3178"/>
    </row>
    <row r="2" spans="1:10" ht="37.5">
      <c r="A2" s="3171">
        <v>1</v>
      </c>
      <c r="B2" s="3170" t="s">
        <v>3441</v>
      </c>
      <c r="C2" s="3172">
        <f ca="1">ROUND(E2/G2,2)</f>
        <v>200.52</v>
      </c>
      <c r="D2" s="3173" t="s">
        <v>3459</v>
      </c>
      <c r="E2" s="3179">
        <f ca="1">(基准地价修正!C33-基准地价修正!C34+F2)*基准地价修正!D33/10000</f>
        <v>10026.118104000001</v>
      </c>
      <c r="F2" s="3180">
        <f ca="1">'成本法 (元)'!C49/E4</f>
        <v>4221.7524581791849</v>
      </c>
      <c r="G2" s="3177">
        <v>50</v>
      </c>
      <c r="H2" s="3178"/>
      <c r="I2" s="3178">
        <v>16683.080000000002</v>
      </c>
    </row>
    <row r="3" spans="1:10">
      <c r="A3" s="3171">
        <v>2</v>
      </c>
      <c r="B3" s="3170" t="s">
        <v>3442</v>
      </c>
      <c r="C3" s="3172">
        <f ca="1">C4+C5+C6</f>
        <v>20.036118104000003</v>
      </c>
      <c r="D3" s="3171" t="s">
        <v>3443</v>
      </c>
      <c r="H3" s="3178"/>
      <c r="I3" s="3178"/>
      <c r="J3" s="3177">
        <f>I1-I2</f>
        <v>-16683.080000000002</v>
      </c>
    </row>
    <row r="4" spans="1:10" ht="25.5">
      <c r="A4" s="3171">
        <v>2.1</v>
      </c>
      <c r="B4" s="3174" t="s">
        <v>3444</v>
      </c>
      <c r="C4" s="3172">
        <f>F4</f>
        <v>10.01</v>
      </c>
      <c r="D4" s="3171" t="s">
        <v>3462</v>
      </c>
      <c r="E4" s="3177">
        <f>'数据-基础表'!I13</f>
        <v>16683.080000000002</v>
      </c>
      <c r="F4" s="3177">
        <f>ROUND(E4*0.5*12/10000,2)</f>
        <v>10.01</v>
      </c>
      <c r="I4" s="3177">
        <f>I2*20000</f>
        <v>333661600.00000006</v>
      </c>
    </row>
    <row r="5" spans="1:10">
      <c r="A5" s="3171">
        <v>2.2000000000000002</v>
      </c>
      <c r="B5" s="3170" t="s">
        <v>3445</v>
      </c>
      <c r="C5" s="3175">
        <f ca="1">E2*F5</f>
        <v>10.026118104000002</v>
      </c>
      <c r="D5" s="3170" t="s">
        <v>3463</v>
      </c>
      <c r="E5" s="3179"/>
      <c r="F5" s="3181">
        <v>1E-3</v>
      </c>
    </row>
    <row r="6" spans="1:10" ht="37.5">
      <c r="A6" s="3171">
        <v>2.2999999999999998</v>
      </c>
      <c r="B6" s="3170" t="s">
        <v>3446</v>
      </c>
      <c r="C6" s="3171">
        <f>ROUND(E6*F6*12/10000,2)</f>
        <v>0</v>
      </c>
      <c r="D6" s="3171" t="s">
        <v>3447</v>
      </c>
      <c r="E6" s="3177">
        <f>E4</f>
        <v>16683.080000000002</v>
      </c>
      <c r="F6" s="3177">
        <v>0</v>
      </c>
    </row>
    <row r="7" spans="1:10">
      <c r="A7" s="3171">
        <v>3</v>
      </c>
      <c r="B7" s="3170" t="s">
        <v>3448</v>
      </c>
      <c r="C7" s="3171">
        <f ca="1">C8+C9+C10</f>
        <v>25.58</v>
      </c>
      <c r="D7" s="3171" t="s">
        <v>3449</v>
      </c>
    </row>
    <row r="8" spans="1:10">
      <c r="A8" s="3171">
        <v>3.1</v>
      </c>
      <c r="B8" s="3170" t="s">
        <v>3450</v>
      </c>
      <c r="C8" s="3171">
        <f>E8*F8</f>
        <v>3.2</v>
      </c>
      <c r="D8" s="3171"/>
      <c r="E8" s="3177">
        <v>320</v>
      </c>
      <c r="F8" s="3185">
        <v>0.01</v>
      </c>
      <c r="G8" s="3177" t="s">
        <v>3456</v>
      </c>
    </row>
    <row r="9" spans="1:10" ht="54">
      <c r="A9" s="3171">
        <v>3.2</v>
      </c>
      <c r="B9" s="3170" t="s">
        <v>3451</v>
      </c>
      <c r="C9" s="3171">
        <v>0</v>
      </c>
      <c r="D9" s="3170" t="s">
        <v>3465</v>
      </c>
      <c r="F9" s="3182">
        <v>2.9899999999999999E-2</v>
      </c>
      <c r="G9" s="3183" t="s">
        <v>3464</v>
      </c>
      <c r="H9" s="3177">
        <f ca="1">ROUND(C2*0.7*2.99%,2)</f>
        <v>4.2</v>
      </c>
    </row>
    <row r="10" spans="1:10" ht="27">
      <c r="A10" s="3171">
        <v>3.3</v>
      </c>
      <c r="B10" s="3170" t="s">
        <v>3452</v>
      </c>
      <c r="C10" s="3176">
        <f ca="1">ROUND((C2+C3+C8+C9)*0.1,2)</f>
        <v>22.38</v>
      </c>
      <c r="D10" s="3171"/>
      <c r="E10" s="3183" t="s">
        <v>3457</v>
      </c>
      <c r="F10" s="3177">
        <f ca="1">(C2+C3+C7)</f>
        <v>246.13611810399999</v>
      </c>
    </row>
    <row r="11" spans="1:10" ht="20.25" customHeight="1">
      <c r="A11" s="3171">
        <v>4</v>
      </c>
      <c r="B11" s="3170" t="s">
        <v>3453</v>
      </c>
      <c r="C11" s="3172">
        <f ca="1">C2+C3+C7</f>
        <v>246.13611810399999</v>
      </c>
      <c r="D11" s="3171" t="s">
        <v>3454</v>
      </c>
    </row>
    <row r="12" spans="1:10" ht="25.5">
      <c r="A12" s="3171">
        <v>5</v>
      </c>
      <c r="B12" s="3170" t="s">
        <v>3455</v>
      </c>
      <c r="C12" s="3175">
        <f ca="1">ROUND(C11*10000/I2/365,2)</f>
        <v>0.4</v>
      </c>
      <c r="D12" s="3171" t="s">
        <v>3460</v>
      </c>
    </row>
    <row r="16" spans="1:10">
      <c r="H16" s="3184"/>
    </row>
  </sheetData>
  <phoneticPr fontId="134" type="noConversion"/>
  <pageMargins left="0.7" right="0.7" top="0.75" bottom="0.75" header="0.3" footer="0.3"/>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E3"/>
  <sheetViews>
    <sheetView tabSelected="1" zoomScale="160" zoomScaleNormal="160" workbookViewId="0">
      <selection activeCell="D3" sqref="D3"/>
    </sheetView>
  </sheetViews>
  <sheetFormatPr defaultRowHeight="13.5"/>
  <cols>
    <col min="5" max="5" width="11.75" customWidth="1"/>
  </cols>
  <sheetData>
    <row r="1" spans="2:5">
      <c r="B1" s="1405" t="s">
        <v>3498</v>
      </c>
      <c r="C1" s="1405" t="s">
        <v>3499</v>
      </c>
      <c r="D1" s="1405" t="s">
        <v>3500</v>
      </c>
      <c r="E1" s="1405" t="s">
        <v>3501</v>
      </c>
    </row>
    <row r="2" spans="2:5">
      <c r="B2" s="1405" t="s">
        <v>3496</v>
      </c>
      <c r="C2">
        <f>'比较法-仓储'!C36</f>
        <v>0.63</v>
      </c>
      <c r="D2">
        <v>0.7</v>
      </c>
      <c r="E2" s="3381">
        <f ca="1">ROUND(C2*D2+C3*D3,2)</f>
        <v>0.56000000000000005</v>
      </c>
    </row>
    <row r="3" spans="2:5">
      <c r="B3" s="1405" t="s">
        <v>3497</v>
      </c>
      <c r="C3">
        <f ca="1">成本分析!C12</f>
        <v>0.4</v>
      </c>
      <c r="D3">
        <f>1-D2</f>
        <v>0.30000000000000004</v>
      </c>
      <c r="E3" s="3381"/>
    </row>
  </sheetData>
  <mergeCells count="1">
    <mergeCell ref="E2:E3"/>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tabColor rgb="FF92D050"/>
    <pageSetUpPr fitToPage="1"/>
  </sheetPr>
  <dimension ref="A1:AD241"/>
  <sheetViews>
    <sheetView view="pageBreakPreview" topLeftCell="A16" zoomScale="110" zoomScaleNormal="70" zoomScaleSheetLayoutView="110" workbookViewId="0">
      <selection activeCell="E15" sqref="E15"/>
    </sheetView>
  </sheetViews>
  <sheetFormatPr defaultColWidth="9" defaultRowHeight="14.25"/>
  <cols>
    <col min="1" max="1" width="10.5" style="347" customWidth="1"/>
    <col min="2" max="2" width="15.75" style="347" customWidth="1"/>
    <col min="3" max="3" width="17.625" style="347" customWidth="1"/>
    <col min="4" max="4" width="12.25" style="347" customWidth="1"/>
    <col min="5" max="5" width="16.125" style="347" customWidth="1"/>
    <col min="6" max="6" width="12.25" style="347" customWidth="1"/>
    <col min="7" max="7" width="16.125" style="347" customWidth="1"/>
    <col min="8" max="8" width="12.25" style="347" customWidth="1"/>
    <col min="9" max="9" width="16.12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t="s">
        <v>3331</v>
      </c>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IF(C2="——",C37,ROUND(B2*10000/D3,0))</f>
        <v>0.63</v>
      </c>
      <c r="C3" s="344" t="s">
        <v>1768</v>
      </c>
      <c r="D3" s="343">
        <f>SUMIF('数据-汇总表'!$C19:$C33,D1,'数据-汇总表'!$E19:$E33)</f>
        <v>16683.080000000002</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7"/>
      <c r="M4" s="2488"/>
      <c r="N4" s="2488"/>
      <c r="O4" s="2488"/>
      <c r="P4" s="3404" t="s">
        <v>1775</v>
      </c>
      <c r="Q4" s="3405"/>
      <c r="R4" s="3387" t="s">
        <v>1771</v>
      </c>
      <c r="S4" s="3388"/>
      <c r="T4" s="3387" t="s">
        <v>1772</v>
      </c>
      <c r="U4" s="3388"/>
      <c r="V4" s="3412" t="s">
        <v>1773</v>
      </c>
      <c r="W4" s="3412"/>
      <c r="X4" s="1265"/>
      <c r="Y4" s="3387" t="s">
        <v>1775</v>
      </c>
      <c r="Z4" s="3388"/>
      <c r="AA4" s="3382" t="s">
        <v>1771</v>
      </c>
      <c r="AB4" s="3383" t="s">
        <v>1772</v>
      </c>
      <c r="AC4" s="3382" t="s">
        <v>1773</v>
      </c>
    </row>
    <row r="5" spans="1:29" ht="15">
      <c r="A5" s="348"/>
      <c r="B5" s="349"/>
      <c r="C5" s="3393" t="s">
        <v>1673</v>
      </c>
      <c r="D5" s="3394"/>
      <c r="E5" s="3391" t="str">
        <f>Sheet4!A4</f>
        <v>杨镇</v>
      </c>
      <c r="F5" s="3392"/>
      <c r="G5" s="3393" t="str">
        <f>Sheet4!A5</f>
        <v>马坡</v>
      </c>
      <c r="H5" s="3394"/>
      <c r="I5" s="3393" t="str">
        <f>Sheet4!A6</f>
        <v>南彩镇</v>
      </c>
      <c r="J5" s="3394"/>
      <c r="K5" s="537"/>
      <c r="L5" s="2487"/>
      <c r="M5" s="2488"/>
      <c r="N5" s="2488"/>
      <c r="O5" s="2488"/>
      <c r="P5" s="3406"/>
      <c r="Q5" s="3407"/>
      <c r="R5" s="3389"/>
      <c r="S5" s="3390"/>
      <c r="T5" s="3389"/>
      <c r="U5" s="3390"/>
      <c r="V5" s="3412"/>
      <c r="W5" s="3412"/>
      <c r="X5" s="1265"/>
      <c r="Y5" s="3389"/>
      <c r="Z5" s="3390"/>
      <c r="AA5" s="3383"/>
      <c r="AB5" s="3383"/>
      <c r="AC5" s="3383"/>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408"/>
      <c r="Q6" s="3409"/>
      <c r="R6" s="3389"/>
      <c r="S6" s="3390"/>
      <c r="T6" s="3410"/>
      <c r="U6" s="3411"/>
      <c r="V6" s="3412"/>
      <c r="W6" s="3412"/>
      <c r="X6" s="1265"/>
      <c r="Y6" s="3410"/>
      <c r="Z6" s="3411"/>
      <c r="AA6" s="3384"/>
      <c r="AB6" s="3384"/>
      <c r="AC6" s="3384"/>
    </row>
    <row r="7" spans="1:29" s="102" customFormat="1" ht="15.75" thickBot="1">
      <c r="A7" s="352" t="s">
        <v>1679</v>
      </c>
      <c r="B7" s="353"/>
      <c r="C7" s="354">
        <f>'数据-取费表'!B2</f>
        <v>45952</v>
      </c>
      <c r="D7" s="355">
        <v>100</v>
      </c>
      <c r="E7" s="3190">
        <f>C7</f>
        <v>45952</v>
      </c>
      <c r="F7" s="357">
        <f>SUMIF(46:46,YEAR(E7)&amp;"-"&amp;MONTH(E7),47:47)</f>
        <v>100</v>
      </c>
      <c r="G7" s="3191">
        <f>C7</f>
        <v>45952</v>
      </c>
      <c r="H7" s="355">
        <f>SUMIF(46:46,YEAR(G7)&amp;"-"&amp;MONTH(G7),47:47)</f>
        <v>100</v>
      </c>
      <c r="I7" s="3190">
        <f>C7</f>
        <v>45952</v>
      </c>
      <c r="J7" s="355">
        <f>SUMIF(46:46,YEAR(I7)&amp;"-"&amp;MONTH(I7),47:47)</f>
        <v>100</v>
      </c>
      <c r="K7" s="38"/>
      <c r="L7" s="2489"/>
      <c r="M7" s="2440"/>
      <c r="N7" s="2440"/>
      <c r="O7" s="2440"/>
      <c r="P7" s="3385" t="s">
        <v>1680</v>
      </c>
      <c r="Q7" s="3413"/>
      <c r="R7" s="664" t="s">
        <v>14</v>
      </c>
      <c r="S7" s="665">
        <f t="shared" ref="S7:S14" si="0">F7</f>
        <v>100</v>
      </c>
      <c r="T7" s="664" t="s">
        <v>14</v>
      </c>
      <c r="U7" s="665">
        <f t="shared" ref="U7:U14" si="1">H7</f>
        <v>100</v>
      </c>
      <c r="V7" s="664" t="s">
        <v>14</v>
      </c>
      <c r="W7" s="665">
        <f t="shared" ref="W7:W14" si="2">J7</f>
        <v>100</v>
      </c>
      <c r="X7" s="666"/>
      <c r="Y7" s="3385" t="s">
        <v>1680</v>
      </c>
      <c r="Z7" s="3386"/>
      <c r="AA7" s="50">
        <f>D7/F7</f>
        <v>1</v>
      </c>
      <c r="AB7" s="50">
        <f>D7/H7</f>
        <v>1</v>
      </c>
      <c r="AC7" s="50">
        <f>D7/J7</f>
        <v>1</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85" t="s">
        <v>1683</v>
      </c>
      <c r="Q8" s="3386"/>
      <c r="R8" s="664" t="s">
        <v>14</v>
      </c>
      <c r="S8" s="665">
        <f t="shared" si="0"/>
        <v>100</v>
      </c>
      <c r="T8" s="664" t="s">
        <v>14</v>
      </c>
      <c r="U8" s="665">
        <f t="shared" si="1"/>
        <v>100</v>
      </c>
      <c r="V8" s="664" t="s">
        <v>14</v>
      </c>
      <c r="W8" s="665">
        <f t="shared" si="2"/>
        <v>100</v>
      </c>
      <c r="X8" s="666"/>
      <c r="Y8" s="3385" t="s">
        <v>1683</v>
      </c>
      <c r="Z8" s="3386"/>
      <c r="AA8" s="50">
        <f t="shared" ref="AA8:AA34" si="3">D8/F8</f>
        <v>1</v>
      </c>
      <c r="AB8" s="50">
        <f t="shared" ref="AB8:AB34" si="4">D8/H8</f>
        <v>1</v>
      </c>
      <c r="AC8" s="50">
        <f t="shared" ref="AC8:AC34" si="5">D8/J8</f>
        <v>1</v>
      </c>
    </row>
    <row r="9" spans="1:29" s="102" customFormat="1">
      <c r="A9" s="359" t="s">
        <v>1684</v>
      </c>
      <c r="B9" s="60" t="s">
        <v>1685</v>
      </c>
      <c r="C9" s="3192" t="s">
        <v>3502</v>
      </c>
      <c r="D9" s="59">
        <v>100</v>
      </c>
      <c r="E9" s="362" t="s">
        <v>3331</v>
      </c>
      <c r="F9" s="60">
        <f>SUMIF(51:51,E9,52:52)-SUMIF(51:51,C9,52:52)+100</f>
        <v>100</v>
      </c>
      <c r="G9" s="362" t="s">
        <v>3331</v>
      </c>
      <c r="H9" s="59">
        <f>SUMIF(51:51,G9,52:52)-SUMIF(51:51,C9,52:52)+100</f>
        <v>100</v>
      </c>
      <c r="I9" s="362" t="s">
        <v>3331</v>
      </c>
      <c r="J9" s="59">
        <f>SUMIF(51:51,I9,52:52)-SUMIF(51:51,C9,52:52)+100</f>
        <v>100</v>
      </c>
      <c r="K9" s="38"/>
      <c r="L9" s="2489"/>
      <c r="M9" s="2440"/>
      <c r="N9" s="2440"/>
      <c r="O9" s="2541"/>
      <c r="P9" s="3399" t="s">
        <v>1686</v>
      </c>
      <c r="Q9" s="530" t="str">
        <f t="shared" ref="Q9:Q14" si="6">B9</f>
        <v>用途</v>
      </c>
      <c r="R9" s="664" t="s">
        <v>14</v>
      </c>
      <c r="S9" s="665">
        <f t="shared" si="0"/>
        <v>100</v>
      </c>
      <c r="T9" s="664" t="s">
        <v>14</v>
      </c>
      <c r="U9" s="665">
        <f t="shared" si="1"/>
        <v>100</v>
      </c>
      <c r="V9" s="664" t="s">
        <v>14</v>
      </c>
      <c r="W9" s="665">
        <f t="shared" si="2"/>
        <v>100</v>
      </c>
      <c r="X9" s="666"/>
      <c r="Y9" s="3354"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9"/>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9"/>
      <c r="Q11" s="530">
        <f t="shared" si="6"/>
        <v>111</v>
      </c>
      <c r="R11" s="664" t="s">
        <v>14</v>
      </c>
      <c r="S11" s="665">
        <f t="shared" si="0"/>
        <v>100</v>
      </c>
      <c r="T11" s="664" t="s">
        <v>14</v>
      </c>
      <c r="U11" s="665">
        <f t="shared" si="1"/>
        <v>100</v>
      </c>
      <c r="V11" s="664" t="s">
        <v>14</v>
      </c>
      <c r="W11" s="665">
        <f t="shared" si="2"/>
        <v>100</v>
      </c>
      <c r="X11" s="666"/>
      <c r="Y11" s="33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71.2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96</v>
      </c>
      <c r="G14" s="383"/>
      <c r="H14" s="380">
        <f>SUMIF(61:61,G15,62:62)-SUMIF(61:61,C15,62:62)+100</f>
        <v>98</v>
      </c>
      <c r="I14" s="381"/>
      <c r="J14" s="380">
        <f>SUMIF(61:61,I15,62:62)-SUMIF(61:61,C15,62:62)+100</f>
        <v>98</v>
      </c>
      <c r="K14" s="540">
        <v>2</v>
      </c>
      <c r="L14" s="2493"/>
      <c r="M14" s="2488"/>
      <c r="N14" s="2488"/>
      <c r="O14" s="2543"/>
      <c r="P14" s="3414" t="s">
        <v>1691</v>
      </c>
      <c r="Q14" s="1263" t="str">
        <f t="shared" si="6"/>
        <v>交通便捷度</v>
      </c>
      <c r="R14" s="667" t="s">
        <v>14</v>
      </c>
      <c r="S14" s="668">
        <f t="shared" si="0"/>
        <v>96</v>
      </c>
      <c r="T14" s="667" t="s">
        <v>14</v>
      </c>
      <c r="U14" s="668">
        <f t="shared" si="1"/>
        <v>98</v>
      </c>
      <c r="V14" s="667" t="s">
        <v>14</v>
      </c>
      <c r="W14" s="668">
        <f t="shared" si="2"/>
        <v>98</v>
      </c>
      <c r="X14" s="1265"/>
      <c r="Y14" s="3414" t="s">
        <v>1691</v>
      </c>
      <c r="Z14" s="1264" t="str">
        <f t="shared" si="7"/>
        <v>交通便捷度</v>
      </c>
      <c r="AA14" s="1264">
        <f t="shared" si="3"/>
        <v>1.0416666666666667</v>
      </c>
      <c r="AB14" s="1264">
        <f t="shared" si="4"/>
        <v>1.0204081632653061</v>
      </c>
      <c r="AC14" s="1264">
        <f t="shared" si="5"/>
        <v>1.0204081632653061</v>
      </c>
    </row>
    <row r="15" spans="1:29" ht="15">
      <c r="A15" s="367"/>
      <c r="B15" s="385"/>
      <c r="C15" s="386" t="s">
        <v>3430</v>
      </c>
      <c r="D15" s="387"/>
      <c r="E15" s="386" t="s">
        <v>3432</v>
      </c>
      <c r="F15" s="388"/>
      <c r="G15" s="386" t="s">
        <v>3431</v>
      </c>
      <c r="H15" s="389"/>
      <c r="I15" s="386" t="s">
        <v>3431</v>
      </c>
      <c r="J15" s="387"/>
      <c r="K15" s="541"/>
      <c r="L15" s="2493"/>
      <c r="M15" s="2488"/>
      <c r="N15" s="2488"/>
      <c r="O15" s="2543"/>
      <c r="P15" s="3415"/>
      <c r="Q15" s="1263"/>
      <c r="R15" s="667"/>
      <c r="S15" s="668"/>
      <c r="T15" s="667"/>
      <c r="U15" s="668"/>
      <c r="V15" s="667"/>
      <c r="W15" s="668"/>
      <c r="X15" s="1265"/>
      <c r="Y15" s="3415"/>
      <c r="Z15" s="1264"/>
      <c r="AA15" s="1264">
        <v>1</v>
      </c>
      <c r="AB15" s="1264">
        <v>1</v>
      </c>
      <c r="AC15" s="1264">
        <v>1</v>
      </c>
    </row>
    <row r="16" spans="1:29" ht="28.5">
      <c r="A16" s="367"/>
      <c r="B16" s="390" t="s">
        <v>1812</v>
      </c>
      <c r="C16" s="1754" t="str">
        <f>IF(B1="工业",估价对象房地状况!G5,估价对象房地状况!C7)</f>
        <v>估价对象所在区域公共配套设施齐备情况</v>
      </c>
      <c r="D16" s="394">
        <v>100</v>
      </c>
      <c r="E16" s="396"/>
      <c r="F16" s="397">
        <f>SUMIF(63:63,E17,64:64)-SUMIF(63:63,C17,64:64)+100</f>
        <v>98</v>
      </c>
      <c r="G16" s="398"/>
      <c r="H16" s="394">
        <f>SUMIF(63:63,G17,64:64)-SUMIF(63:63,C17,64:64)+100</f>
        <v>98</v>
      </c>
      <c r="I16" s="396"/>
      <c r="J16" s="394">
        <f>SUMIF(63:63,I17,64:64)-SUMIF(63:63,C17,64:64)+100</f>
        <v>98</v>
      </c>
      <c r="K16" s="540">
        <v>2</v>
      </c>
      <c r="L16" s="2493"/>
      <c r="M16" s="2488"/>
      <c r="N16" s="2488"/>
      <c r="O16" s="2543"/>
      <c r="P16" s="3415"/>
      <c r="Q16" s="1263" t="str">
        <f>B16</f>
        <v>公共配套设施</v>
      </c>
      <c r="R16" s="667" t="s">
        <v>14</v>
      </c>
      <c r="S16" s="668">
        <f>F16</f>
        <v>98</v>
      </c>
      <c r="T16" s="667" t="s">
        <v>14</v>
      </c>
      <c r="U16" s="668">
        <f>H16</f>
        <v>98</v>
      </c>
      <c r="V16" s="667" t="s">
        <v>14</v>
      </c>
      <c r="W16" s="668">
        <f>J16</f>
        <v>98</v>
      </c>
      <c r="X16" s="1265"/>
      <c r="Y16" s="3415"/>
      <c r="Z16" s="1264" t="str">
        <f>Q16</f>
        <v>公共配套设施</v>
      </c>
      <c r="AA16" s="1264">
        <f t="shared" si="3"/>
        <v>1.0204081632653061</v>
      </c>
      <c r="AB16" s="1264">
        <f t="shared" si="4"/>
        <v>1.0204081632653061</v>
      </c>
      <c r="AC16" s="1264">
        <f t="shared" si="5"/>
        <v>1.0204081632653061</v>
      </c>
    </row>
    <row r="17" spans="1:29" ht="15">
      <c r="A17" s="367"/>
      <c r="B17" s="395"/>
      <c r="C17" s="1755" t="s">
        <v>3430</v>
      </c>
      <c r="D17" s="387"/>
      <c r="E17" s="386" t="s">
        <v>3431</v>
      </c>
      <c r="F17" s="388"/>
      <c r="G17" s="386" t="s">
        <v>3431</v>
      </c>
      <c r="H17" s="387"/>
      <c r="I17" s="386" t="s">
        <v>3431</v>
      </c>
      <c r="J17" s="387"/>
      <c r="K17" s="541"/>
      <c r="L17" s="2493"/>
      <c r="M17" s="2488"/>
      <c r="N17" s="2488"/>
      <c r="O17" s="2543"/>
      <c r="P17" s="3415"/>
      <c r="Q17" s="1263"/>
      <c r="R17" s="667"/>
      <c r="S17" s="668"/>
      <c r="T17" s="667"/>
      <c r="U17" s="668"/>
      <c r="V17" s="667"/>
      <c r="W17" s="668"/>
      <c r="X17" s="1265"/>
      <c r="Y17" s="3415"/>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v>0</v>
      </c>
      <c r="L18" s="2493"/>
      <c r="M18" s="2488"/>
      <c r="N18" s="2488"/>
      <c r="O18" s="2543"/>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67"/>
      <c r="B19" s="586"/>
      <c r="C19" s="1755" t="s">
        <v>3506</v>
      </c>
      <c r="D19" s="389"/>
      <c r="E19" s="1755" t="s">
        <v>3506</v>
      </c>
      <c r="F19" s="392"/>
      <c r="G19" s="1755" t="s">
        <v>3506</v>
      </c>
      <c r="H19" s="387"/>
      <c r="I19" s="386" t="s">
        <v>3506</v>
      </c>
      <c r="J19" s="387"/>
      <c r="K19" s="1064"/>
      <c r="L19" s="2493"/>
      <c r="M19" s="2488"/>
      <c r="N19" s="2488"/>
      <c r="O19" s="2543"/>
      <c r="P19" s="3415"/>
      <c r="Q19" s="1263"/>
      <c r="R19" s="667"/>
      <c r="S19" s="668"/>
      <c r="T19" s="667"/>
      <c r="U19" s="668"/>
      <c r="V19" s="667"/>
      <c r="W19" s="668"/>
      <c r="X19" s="1265"/>
      <c r="Y19" s="3415"/>
      <c r="Z19" s="1264"/>
      <c r="AA19" s="1264">
        <v>1</v>
      </c>
      <c r="AB19" s="1264">
        <v>1</v>
      </c>
      <c r="AC19" s="1264">
        <v>1</v>
      </c>
    </row>
    <row r="20" spans="1:29" ht="42.75">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5"/>
      <c r="Q21" s="1263"/>
      <c r="R21" s="667"/>
      <c r="S21" s="668"/>
      <c r="T21" s="667"/>
      <c r="U21" s="668"/>
      <c r="V21" s="667"/>
      <c r="W21" s="668"/>
      <c r="X21" s="1265"/>
      <c r="Y21" s="3415"/>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5"/>
      <c r="Q24" s="1263">
        <f t="shared" ref="Q24:Q34"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1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7" t="s">
        <v>1696</v>
      </c>
      <c r="Z26" s="1264" t="str">
        <f t="shared" ref="Z26:Z34" si="15">Q26</f>
        <v>公共部分装修</v>
      </c>
      <c r="AA26" s="1264">
        <f t="shared" si="3"/>
        <v>1</v>
      </c>
      <c r="AB26" s="1264">
        <f t="shared" si="4"/>
        <v>1</v>
      </c>
      <c r="AC26" s="1264">
        <f t="shared" si="5"/>
        <v>1</v>
      </c>
    </row>
    <row r="27" spans="1:29" s="408" customFormat="1" ht="15">
      <c r="A27" s="406"/>
      <c r="B27" s="364" t="s">
        <v>1839</v>
      </c>
      <c r="C27" s="411">
        <f>'数据-取费表'!N6</f>
        <v>0.85</v>
      </c>
      <c r="D27" s="119">
        <v>100</v>
      </c>
      <c r="E27" s="412">
        <v>0.8</v>
      </c>
      <c r="F27" s="400">
        <f>LOOKUP(E27,80:80,81:81)-LOOKUP(C27,80:80,81:81)+100</f>
        <v>100</v>
      </c>
      <c r="G27" s="413">
        <v>0.8</v>
      </c>
      <c r="H27" s="374">
        <f>LOOKUP(G27,80:80,81:81)-LOOKUP(C27,80:80,81:81)+100</f>
        <v>100</v>
      </c>
      <c r="I27" s="413">
        <v>0.8</v>
      </c>
      <c r="J27" s="374">
        <f>LOOKUP(I27,80:80,81:81)-LOOKUP(C27,80:80,81:81)+100</f>
        <v>100</v>
      </c>
      <c r="K27" s="538">
        <v>1</v>
      </c>
      <c r="L27" s="2492"/>
      <c r="M27" s="2494"/>
      <c r="N27" s="2494"/>
      <c r="O27" s="2544"/>
      <c r="P27" s="3417"/>
      <c r="Q27" s="531" t="str">
        <f t="shared" si="11"/>
        <v>成新率</v>
      </c>
      <c r="R27" s="669" t="s">
        <v>14</v>
      </c>
      <c r="S27" s="670">
        <f t="shared" si="12"/>
        <v>100</v>
      </c>
      <c r="T27" s="669" t="s">
        <v>14</v>
      </c>
      <c r="U27" s="670">
        <f t="shared" si="13"/>
        <v>100</v>
      </c>
      <c r="V27" s="669" t="s">
        <v>14</v>
      </c>
      <c r="W27" s="670">
        <f t="shared" si="14"/>
        <v>100</v>
      </c>
      <c r="X27" s="671"/>
      <c r="Y27" s="3417"/>
      <c r="Z27" s="672" t="str">
        <f t="shared" si="15"/>
        <v>成新率</v>
      </c>
      <c r="AA27" s="1264">
        <f t="shared" si="3"/>
        <v>1</v>
      </c>
      <c r="AB27" s="1264">
        <f t="shared" si="4"/>
        <v>1</v>
      </c>
      <c r="AC27" s="1264">
        <f t="shared" si="5"/>
        <v>1</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7"/>
      <c r="Q28" s="1263" t="str">
        <f t="shared" si="11"/>
        <v>物业等级</v>
      </c>
      <c r="R28" s="667" t="s">
        <v>14</v>
      </c>
      <c r="S28" s="668">
        <f t="shared" si="12"/>
        <v>100</v>
      </c>
      <c r="T28" s="667" t="s">
        <v>14</v>
      </c>
      <c r="U28" s="668">
        <f t="shared" si="13"/>
        <v>100</v>
      </c>
      <c r="V28" s="667" t="s">
        <v>14</v>
      </c>
      <c r="W28" s="668">
        <f t="shared" si="14"/>
        <v>100</v>
      </c>
      <c r="X28" s="1265"/>
      <c r="Y28" s="3417"/>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7"/>
      <c r="Q29" s="1263" t="str">
        <f t="shared" si="11"/>
        <v>有无电梯</v>
      </c>
      <c r="R29" s="667" t="s">
        <v>14</v>
      </c>
      <c r="S29" s="668">
        <f t="shared" si="12"/>
        <v>100</v>
      </c>
      <c r="T29" s="667" t="s">
        <v>14</v>
      </c>
      <c r="U29" s="668">
        <f t="shared" si="13"/>
        <v>100</v>
      </c>
      <c r="V29" s="667" t="s">
        <v>14</v>
      </c>
      <c r="W29" s="668">
        <f t="shared" si="14"/>
        <v>100</v>
      </c>
      <c r="X29" s="1265"/>
      <c r="Y29" s="3417"/>
      <c r="Z29" s="1264" t="str">
        <f t="shared" si="15"/>
        <v>有无电梯</v>
      </c>
      <c r="AA29" s="1264">
        <f t="shared" si="3"/>
        <v>1</v>
      </c>
      <c r="AB29" s="1264">
        <f t="shared" si="4"/>
        <v>1</v>
      </c>
      <c r="AC29" s="1264">
        <f t="shared" si="5"/>
        <v>1</v>
      </c>
    </row>
    <row r="30" spans="1:29" ht="15">
      <c r="A30" s="409"/>
      <c r="B30" s="364" t="s">
        <v>1861</v>
      </c>
      <c r="C30" s="407">
        <f>'数据-汇总表'!E6</f>
        <v>16683.080000000002</v>
      </c>
      <c r="D30" s="374">
        <v>100</v>
      </c>
      <c r="E30" s="407">
        <v>1000</v>
      </c>
      <c r="F30" s="400">
        <f>LOOKUP(E30,87:87,88:88)-LOOKUP(C30,87:87,88:88)+100</f>
        <v>102</v>
      </c>
      <c r="G30" s="407">
        <v>2000</v>
      </c>
      <c r="H30" s="374">
        <f>LOOKUP(G30,87:87,88:88)-LOOKUP(C30,87:87,88:88)+100</f>
        <v>102</v>
      </c>
      <c r="I30" s="407">
        <v>1000</v>
      </c>
      <c r="J30" s="374">
        <f>LOOKUP(I30,87:87,88:88)-LOOKUP(C30,87:87,88:88)+100</f>
        <v>102</v>
      </c>
      <c r="K30" s="539"/>
      <c r="L30" s="2493"/>
      <c r="M30" s="2488"/>
      <c r="N30" s="2488"/>
      <c r="O30" s="2543"/>
      <c r="P30" s="3417"/>
      <c r="Q30" s="1263" t="str">
        <f t="shared" si="11"/>
        <v>建筑面积</v>
      </c>
      <c r="R30" s="667" t="s">
        <v>14</v>
      </c>
      <c r="S30" s="668">
        <f t="shared" si="12"/>
        <v>102</v>
      </c>
      <c r="T30" s="667" t="s">
        <v>14</v>
      </c>
      <c r="U30" s="668">
        <f t="shared" si="13"/>
        <v>102</v>
      </c>
      <c r="V30" s="667" t="s">
        <v>14</v>
      </c>
      <c r="W30" s="668">
        <f t="shared" si="14"/>
        <v>102</v>
      </c>
      <c r="X30" s="1265"/>
      <c r="Y30" s="3417"/>
      <c r="Z30" s="1264" t="str">
        <f t="shared" si="15"/>
        <v>建筑面积</v>
      </c>
      <c r="AA30" s="1264">
        <f t="shared" si="3"/>
        <v>0.98039215686274506</v>
      </c>
      <c r="AB30" s="1264">
        <f t="shared" si="4"/>
        <v>0.98039215686274506</v>
      </c>
      <c r="AC30" s="1264">
        <f t="shared" si="5"/>
        <v>0.98039215686274506</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7"/>
      <c r="Q31" s="530" t="str">
        <f t="shared" si="11"/>
        <v>是否封闭</v>
      </c>
      <c r="R31" s="664" t="s">
        <v>14</v>
      </c>
      <c r="S31" s="665">
        <f t="shared" si="12"/>
        <v>100</v>
      </c>
      <c r="T31" s="664" t="s">
        <v>14</v>
      </c>
      <c r="U31" s="665">
        <f t="shared" si="13"/>
        <v>100</v>
      </c>
      <c r="V31" s="664" t="s">
        <v>14</v>
      </c>
      <c r="W31" s="665">
        <f t="shared" si="14"/>
        <v>100</v>
      </c>
      <c r="X31" s="666"/>
      <c r="Y31" s="3417"/>
      <c r="Z31" s="50" t="str">
        <f t="shared" si="15"/>
        <v>是否封闭</v>
      </c>
      <c r="AA31" s="50">
        <f t="shared" si="3"/>
        <v>1</v>
      </c>
      <c r="AB31" s="50">
        <f t="shared" si="4"/>
        <v>1</v>
      </c>
      <c r="AC31" s="50">
        <f t="shared" si="5"/>
        <v>1</v>
      </c>
    </row>
    <row r="32" spans="1:29" ht="15">
      <c r="A32" s="409"/>
      <c r="B32" s="3193" t="s">
        <v>3503</v>
      </c>
      <c r="C32" s="371">
        <v>4.5</v>
      </c>
      <c r="D32" s="374">
        <v>100</v>
      </c>
      <c r="E32" s="407">
        <f>Sheet4!G3</f>
        <v>10</v>
      </c>
      <c r="F32" s="400">
        <f>SUMIF(91:91,E32,92:92)-SUMIF(91:91,C32,92:92)+100</f>
        <v>110</v>
      </c>
      <c r="G32" s="407">
        <f>Sheet4!G5</f>
        <v>10</v>
      </c>
      <c r="H32" s="374">
        <f>SUMIF(91:91,G32,92:92)-SUMIF(91:91,C32,92:92)+100</f>
        <v>110</v>
      </c>
      <c r="I32" s="407">
        <f>Sheet4!G6</f>
        <v>9.5</v>
      </c>
      <c r="J32" s="374">
        <f>SUMIF(91:91,I32,92:92)-SUMIF(91:91,C32,92:92)+100</f>
        <v>110</v>
      </c>
      <c r="K32" s="539"/>
      <c r="L32" s="2493"/>
      <c r="M32" s="2488"/>
      <c r="N32" s="2488"/>
      <c r="O32" s="2543"/>
      <c r="P32" s="3417" t="s">
        <v>1696</v>
      </c>
      <c r="Q32" s="1263" t="str">
        <f t="shared" si="11"/>
        <v>层高</v>
      </c>
      <c r="R32" s="667" t="s">
        <v>14</v>
      </c>
      <c r="S32" s="668">
        <f t="shared" si="12"/>
        <v>110</v>
      </c>
      <c r="T32" s="667" t="s">
        <v>14</v>
      </c>
      <c r="U32" s="668">
        <f t="shared" si="13"/>
        <v>110</v>
      </c>
      <c r="V32" s="667" t="s">
        <v>14</v>
      </c>
      <c r="W32" s="668">
        <f t="shared" si="14"/>
        <v>110</v>
      </c>
      <c r="X32" s="1265"/>
      <c r="Y32" s="3417" t="s">
        <v>1696</v>
      </c>
      <c r="Z32" s="1264" t="str">
        <f t="shared" si="15"/>
        <v>层高</v>
      </c>
      <c r="AA32" s="1264">
        <f t="shared" si="3"/>
        <v>0.90909090909090906</v>
      </c>
      <c r="AB32" s="1264">
        <f t="shared" si="4"/>
        <v>0.90909090909090906</v>
      </c>
      <c r="AC32" s="1264">
        <f t="shared" si="5"/>
        <v>0.90909090909090906</v>
      </c>
    </row>
    <row r="33" spans="1:30" ht="15">
      <c r="A33" s="409"/>
      <c r="B33" s="447">
        <v>111</v>
      </c>
      <c r="C33" s="3194" t="s">
        <v>3504</v>
      </c>
      <c r="D33" s="374">
        <v>100</v>
      </c>
      <c r="E33" s="407" t="str">
        <f>C33</f>
        <v>丙二类</v>
      </c>
      <c r="F33" s="400">
        <f>SUMIF(93:93,E33,94:94)-SUMIF(93:93,C33,94:94)+100</f>
        <v>100</v>
      </c>
      <c r="G33" s="407" t="str">
        <f>C33</f>
        <v>丙二类</v>
      </c>
      <c r="H33" s="374">
        <f>SUMIF(93:93,G33,94:94)-SUMIF(93:93,C33,94:94)+100</f>
        <v>100</v>
      </c>
      <c r="I33" s="407" t="str">
        <f>C33</f>
        <v>丙二类</v>
      </c>
      <c r="J33" s="374">
        <f>SUMIF(93:93,I33,94:94)-SUMIF(93:93,C33,94:94)+100</f>
        <v>100</v>
      </c>
      <c r="K33" s="539"/>
      <c r="L33" s="2493"/>
      <c r="M33" s="2488"/>
      <c r="N33" s="2488"/>
      <c r="O33" s="2543"/>
      <c r="P33" s="3417"/>
      <c r="Q33" s="1263">
        <f t="shared" si="11"/>
        <v>111</v>
      </c>
      <c r="R33" s="667" t="s">
        <v>14</v>
      </c>
      <c r="S33" s="668">
        <f t="shared" si="12"/>
        <v>100</v>
      </c>
      <c r="T33" s="667" t="s">
        <v>14</v>
      </c>
      <c r="U33" s="668">
        <f t="shared" si="13"/>
        <v>100</v>
      </c>
      <c r="V33" s="667" t="s">
        <v>14</v>
      </c>
      <c r="W33" s="668">
        <f t="shared" si="14"/>
        <v>100</v>
      </c>
      <c r="X33" s="1265"/>
      <c r="Y33" s="3417"/>
      <c r="Z33" s="1264">
        <f t="shared" si="15"/>
        <v>111</v>
      </c>
      <c r="AA33" s="1264">
        <f t="shared" si="3"/>
        <v>1</v>
      </c>
      <c r="AB33" s="1264">
        <f t="shared" si="4"/>
        <v>1</v>
      </c>
      <c r="AC33" s="1264">
        <f t="shared" si="5"/>
        <v>1</v>
      </c>
    </row>
    <row r="34" spans="1:30" ht="15.75" thickBot="1">
      <c r="A34" s="415"/>
      <c r="B34" s="1749">
        <v>111</v>
      </c>
      <c r="C34" s="3195" t="s">
        <v>3505</v>
      </c>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30" ht="15">
      <c r="A35" s="416" t="s">
        <v>1708</v>
      </c>
      <c r="B35" s="417"/>
      <c r="C35" s="1081" t="s">
        <v>0</v>
      </c>
      <c r="D35" s="418"/>
      <c r="E35" s="419">
        <f>Sheet4!E4</f>
        <v>0.6</v>
      </c>
      <c r="F35" s="420"/>
      <c r="G35" s="421">
        <f>Sheet4!E5</f>
        <v>0.8</v>
      </c>
      <c r="H35" s="422"/>
      <c r="I35" s="419">
        <f>Sheet4!E6</f>
        <v>0.6</v>
      </c>
      <c r="J35" s="422"/>
      <c r="K35" s="674"/>
      <c r="L35" s="2495"/>
      <c r="M35" s="2488"/>
      <c r="N35" s="2488"/>
      <c r="O35" s="2488"/>
      <c r="P35" s="3399" t="str">
        <f>A35</f>
        <v>成交单价（元/平方米）</v>
      </c>
      <c r="Q35" s="3399"/>
      <c r="R35" s="3412">
        <f>E35</f>
        <v>0.6</v>
      </c>
      <c r="S35" s="3412"/>
      <c r="T35" s="3412">
        <f>G35</f>
        <v>0.8</v>
      </c>
      <c r="U35" s="3412"/>
      <c r="V35" s="3412">
        <f>I35</f>
        <v>0.6</v>
      </c>
      <c r="W35" s="3412"/>
      <c r="X35" s="385"/>
      <c r="Y35" s="673"/>
      <c r="Z35" s="385"/>
      <c r="AA35" s="385"/>
      <c r="AB35" s="385"/>
      <c r="AC35" s="385"/>
    </row>
    <row r="36" spans="1:30" ht="15.75" thickBot="1">
      <c r="A36" s="423" t="s">
        <v>1793</v>
      </c>
      <c r="B36" s="424"/>
      <c r="C36" s="1082">
        <f>R37</f>
        <v>0.63</v>
      </c>
      <c r="D36" s="2141" t="s">
        <v>2138</v>
      </c>
      <c r="E36" s="1083">
        <f>R36</f>
        <v>0.6</v>
      </c>
      <c r="F36" s="2142"/>
      <c r="G36" s="1082">
        <f>T36</f>
        <v>0.7</v>
      </c>
      <c r="H36" s="2142"/>
      <c r="I36" s="1083">
        <f>V36</f>
        <v>0.6</v>
      </c>
      <c r="J36" s="2142"/>
      <c r="K36" s="2144">
        <f>F36+H36+J36</f>
        <v>0</v>
      </c>
      <c r="L36" s="2495"/>
      <c r="M36" s="2488"/>
      <c r="N36" s="2488"/>
      <c r="O36" s="2488"/>
      <c r="P36" s="3399" t="str">
        <f>A36</f>
        <v>比较价值（元/平方米）</v>
      </c>
      <c r="Q36" s="3399"/>
      <c r="R36" s="3412">
        <f>IF(F1="售价",ROUND(PRODUCT(R35,AA7:AA34),0),ROUND(PRODUCT(R35,AA7:AA34),1))</f>
        <v>0.6</v>
      </c>
      <c r="S36" s="3412"/>
      <c r="T36" s="3412">
        <f>IF(F1="售价",ROUND(PRODUCT(T35,AB7:AB34),0),ROUND(PRODUCT(T35,AB7:AB34),1))</f>
        <v>0.7</v>
      </c>
      <c r="U36" s="3412"/>
      <c r="V36" s="3412">
        <f>IF(F1="售价",ROUND(PRODUCT(V35,AC7:AC34),0),ROUND(PRODUCT(V35,AC7:AC34),1))</f>
        <v>0.6</v>
      </c>
      <c r="W36" s="3412"/>
      <c r="X36" s="385"/>
      <c r="Y36" s="385"/>
      <c r="Z36" s="385"/>
      <c r="AA36" s="385"/>
      <c r="AB36" s="385"/>
      <c r="AC36" s="385"/>
    </row>
    <row r="37" spans="1:30" ht="15.75" thickBot="1">
      <c r="A37" s="427" t="s">
        <v>1794</v>
      </c>
      <c r="B37" s="428"/>
      <c r="C37" s="351">
        <f>R37</f>
        <v>0.63</v>
      </c>
      <c r="D37" s="351"/>
      <c r="E37" s="351"/>
      <c r="F37" s="351"/>
      <c r="G37" s="351"/>
      <c r="H37" s="351"/>
      <c r="I37" s="351"/>
      <c r="J37" s="351"/>
      <c r="K37" s="675"/>
      <c r="L37" s="2495"/>
      <c r="M37" s="2488"/>
      <c r="N37" s="2488"/>
      <c r="O37" s="2488"/>
      <c r="P37" s="3418" t="str">
        <f>A37</f>
        <v>估价对象XX用房的比较价值（楼面单价，元/平方米）</v>
      </c>
      <c r="Q37" s="3419"/>
      <c r="R37" s="3420">
        <f>IF(F1="售价",ROUND(IF(D36="简单平均",AVERAGE(R36:W36),R36*F36+T36*H36+V36*J36),0),ROUND(IF(D36="简单平均",AVERAGE(R36:V36),R36*F36+T36*H36+V36*J36),2))</f>
        <v>0.63</v>
      </c>
      <c r="S37" s="3420"/>
      <c r="T37" s="3420"/>
      <c r="U37" s="3420"/>
      <c r="V37" s="3420"/>
      <c r="W37" s="3420"/>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f>IF(E35&lt;E36,E36/E35-1,E35/E36-1)</f>
        <v>0</v>
      </c>
      <c r="F40" s="435" t="str">
        <f>IF(OR(E40&gt;=0.3,E40&lt;=-0.3),"超过30%","")</f>
        <v/>
      </c>
      <c r="G40" s="434">
        <f>IF(G35&lt;G36,G36/G35-1,G35/G36-1)</f>
        <v>0.14285714285714302</v>
      </c>
      <c r="H40" s="435" t="str">
        <f>IF(OR(G40&gt;=0.3,G40&lt;=-0.3),"超过30%","")</f>
        <v/>
      </c>
      <c r="I40" s="434">
        <f>IF(I35&lt;I36,I36/I35-1,I35/I36-1)</f>
        <v>0</v>
      </c>
      <c r="J40" s="435" t="str">
        <f>IF(OR(I40&gt;=0.3,I40&lt;=-0.3),"超过30%","")</f>
        <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f>IF(E36&lt;G36,G36/E36-1,E36/G36-1)</f>
        <v>0.16666666666666674</v>
      </c>
      <c r="F41" s="435" t="str">
        <f>IF(OR(E41&gt;=0.2,E41&lt;=-0.2),"超过20%","")</f>
        <v/>
      </c>
      <c r="G41" s="434">
        <f>IF(G36&lt;I36,I36/G36-1,G36/I36-1)</f>
        <v>0.16666666666666674</v>
      </c>
      <c r="H41" s="435" t="str">
        <f>IF(OR(G41&gt;=0.2,G41&lt;=-0.2),"超过20%","")</f>
        <v/>
      </c>
      <c r="I41" s="434">
        <f>IF(I36&lt;E36,E36/I36-1,I36/E36-1)</f>
        <v>0</v>
      </c>
      <c r="J41" s="435" t="str">
        <f>IF(OR(I41&gt;=0.2,I41&lt;=-0.2),"超过20%","")</f>
        <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f>IF(E35&lt;G35,G35/E35-1,E35/G35-1)</f>
        <v>0.33333333333333348</v>
      </c>
      <c r="F42" s="435" t="str">
        <f>IF(OR(E42&gt;=0.3,E42&lt;=-0.3),"超过30%","")</f>
        <v>超过30%</v>
      </c>
      <c r="G42" s="434">
        <f>IF(G35&lt;I35,I35/G35-1,G35/I35-1)</f>
        <v>0.33333333333333348</v>
      </c>
      <c r="H42" s="435" t="str">
        <f>IF(OR(G42&gt;=0.3,G42&lt;=-0.3),"超过30%","")</f>
        <v>超过30%</v>
      </c>
      <c r="I42" s="434">
        <f>IF(I35&lt;E35,E35/I35-1,I35/E35-1)</f>
        <v>0</v>
      </c>
      <c r="J42" s="435" t="str">
        <f>IF(OR(I42&gt;=0.3,I42&lt;=-0.3),"超过30%","")</f>
        <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t="str">
        <f>C9</f>
        <v>仓储</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98</v>
      </c>
      <c r="E62" s="475">
        <f>D62-$K14</f>
        <v>96</v>
      </c>
      <c r="F62" s="475">
        <f>E62-$K14</f>
        <v>94</v>
      </c>
      <c r="G62" s="475">
        <f>F62-$K14</f>
        <v>92</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98</v>
      </c>
      <c r="E64" s="475">
        <f>D64-$K16</f>
        <v>96</v>
      </c>
      <c r="F64" s="475">
        <f>E64-$K16</f>
        <v>94</v>
      </c>
      <c r="G64" s="475">
        <f>F64-$K16</f>
        <v>92</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101</v>
      </c>
      <c r="E81" s="475">
        <f t="shared" si="18"/>
        <v>102</v>
      </c>
      <c r="F81" s="475">
        <f t="shared" si="18"/>
        <v>103</v>
      </c>
      <c r="G81" s="475">
        <f t="shared" si="18"/>
        <v>104</v>
      </c>
      <c r="H81" s="475">
        <f t="shared" si="18"/>
        <v>105</v>
      </c>
      <c r="I81" s="475">
        <f t="shared" si="18"/>
        <v>106</v>
      </c>
      <c r="J81" s="475">
        <f t="shared" si="18"/>
        <v>107</v>
      </c>
      <c r="K81" s="475">
        <f t="shared" si="18"/>
        <v>108</v>
      </c>
      <c r="L81" s="475">
        <f t="shared" si="18"/>
        <v>109</v>
      </c>
      <c r="M81" s="475">
        <f t="shared" si="18"/>
        <v>110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29.25" thickTop="1">
      <c r="A86" s="409"/>
      <c r="B86" s="477" t="s">
        <v>1865</v>
      </c>
      <c r="C86" s="509" t="str">
        <f t="shared" ref="C86:L86" si="21">C87&amp;"(含)"&amp;"-"&amp;D87</f>
        <v>0(含)-10000</v>
      </c>
      <c r="D86" s="509" t="str">
        <f t="shared" si="21"/>
        <v>10000(含)-20000</v>
      </c>
      <c r="E86" s="509" t="str">
        <f t="shared" si="21"/>
        <v>20000(含)-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v>0</v>
      </c>
      <c r="D87" s="6">
        <v>10000</v>
      </c>
      <c r="E87" s="6">
        <v>20000</v>
      </c>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v>100</v>
      </c>
      <c r="D88" s="467">
        <v>98</v>
      </c>
      <c r="E88" s="467">
        <v>96</v>
      </c>
      <c r="F88" s="467">
        <v>97</v>
      </c>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t="str">
        <f>B32</f>
        <v>层高</v>
      </c>
      <c r="C91" s="480">
        <f>C32</f>
        <v>4.5</v>
      </c>
      <c r="D91" s="480">
        <f>E32</f>
        <v>10</v>
      </c>
      <c r="E91" s="480"/>
      <c r="F91" s="480">
        <f>I32</f>
        <v>9.5</v>
      </c>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v>100</v>
      </c>
      <c r="D92" s="467">
        <v>110</v>
      </c>
      <c r="E92" s="467"/>
      <c r="F92" s="467">
        <f>D92</f>
        <v>110</v>
      </c>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131" priority="13" stopIfTrue="1">
      <formula>$F$40="超过30%"</formula>
    </cfRule>
  </conditionalFormatting>
  <conditionalFormatting sqref="E41">
    <cfRule type="expression" dxfId="130" priority="11" stopIfTrue="1">
      <formula>$F$41="超过20%"</formula>
    </cfRule>
  </conditionalFormatting>
  <conditionalFormatting sqref="E42">
    <cfRule type="expression" dxfId="129" priority="10" stopIfTrue="1">
      <formula>$F$42="超过30%"</formula>
    </cfRule>
  </conditionalFormatting>
  <conditionalFormatting sqref="F7:F34 H7:H34 J7:J34">
    <cfRule type="cellIs" dxfId="128" priority="1" operator="notEqual">
      <formula>100</formula>
    </cfRule>
  </conditionalFormatting>
  <conditionalFormatting sqref="F36">
    <cfRule type="expression" dxfId="127" priority="4">
      <formula>$D$36="简单平均"</formula>
    </cfRule>
  </conditionalFormatting>
  <conditionalFormatting sqref="F40:F42 H40:H42 J40:J42">
    <cfRule type="containsText" dxfId="126" priority="14" stopIfTrue="1" operator="containsText" text="超过">
      <formula>NOT(ISERROR(SEARCH("超过",F40)))</formula>
    </cfRule>
  </conditionalFormatting>
  <conditionalFormatting sqref="G40">
    <cfRule type="expression" dxfId="125" priority="9" stopIfTrue="1">
      <formula>$H$52+$H$40="超过30%"</formula>
    </cfRule>
  </conditionalFormatting>
  <conditionalFormatting sqref="G41">
    <cfRule type="expression" dxfId="124" priority="8" stopIfTrue="1">
      <formula>$H$53+$H$41="超过20%"</formula>
    </cfRule>
  </conditionalFormatting>
  <conditionalFormatting sqref="G42">
    <cfRule type="expression" dxfId="123" priority="12" stopIfTrue="1">
      <formula>$H$54+$H$42="超过30%"</formula>
    </cfRule>
  </conditionalFormatting>
  <conditionalFormatting sqref="H36">
    <cfRule type="expression" dxfId="122" priority="3">
      <formula>$D$36="简单平均"</formula>
    </cfRule>
  </conditionalFormatting>
  <conditionalFormatting sqref="I40">
    <cfRule type="expression" dxfId="121" priority="7" stopIfTrue="1">
      <formula>$J$40="超过30%"</formula>
    </cfRule>
  </conditionalFormatting>
  <conditionalFormatting sqref="I41">
    <cfRule type="expression" dxfId="120" priority="6" stopIfTrue="1">
      <formula>$J$41="超过20%"</formula>
    </cfRule>
  </conditionalFormatting>
  <conditionalFormatting sqref="I42">
    <cfRule type="expression" dxfId="119" priority="5" stopIfTrue="1">
      <formula>$J$42="超过30%"</formula>
    </cfRule>
  </conditionalFormatting>
  <conditionalFormatting sqref="J36">
    <cfRule type="expression" dxfId="118" priority="2">
      <formula>$D$36="简单平均"</formula>
    </cfRule>
  </conditionalFormatting>
  <dataValidations count="18">
    <dataValidation type="list" allowBlank="1" showInputMessage="1" showErrorMessage="1" sqref="G15 E15 C15 I15" xr:uid="{00000000-0002-0000-1500-000000000000}">
      <formula1>交通便捷度</formula1>
    </dataValidation>
    <dataValidation type="list" allowBlank="1" showInputMessage="1" showErrorMessage="1" sqref="G17 C17 E17 I17" xr:uid="{00000000-0002-0000-1500-000001000000}">
      <formula1>公共配套设施</formula1>
    </dataValidation>
    <dataValidation type="list" allowBlank="1" showInputMessage="1" showErrorMessage="1" sqref="D1" xr:uid="{00000000-0002-0000-1500-000002000000}">
      <formula1>项目类型</formula1>
    </dataValidation>
    <dataValidation type="list" allowBlank="1" showInputMessage="1" showErrorMessage="1" sqref="C8 E8 G8 I8" xr:uid="{00000000-0002-0000-1500-000003000000}">
      <formula1>仓储交易情况</formula1>
    </dataValidation>
    <dataValidation type="list" allowBlank="1" showInputMessage="1" showErrorMessage="1" sqref="E9 G9 I9" xr:uid="{00000000-0002-0000-1500-000004000000}">
      <formula1>仓储用途</formula1>
    </dataValidation>
    <dataValidation type="list" allowBlank="1" showInputMessage="1" showErrorMessage="1" sqref="C21 E21 G21 I21" xr:uid="{00000000-0002-0000-1500-000005000000}">
      <formula1>环境</formula1>
    </dataValidation>
    <dataValidation type="list" allowBlank="1" showInputMessage="1" showErrorMessage="1" sqref="C22 E22 G22 I22" xr:uid="{00000000-0002-0000-1500-000006000000}">
      <formula1>仓储楼层</formula1>
    </dataValidation>
    <dataValidation type="list" allowBlank="1" showInputMessage="1" showErrorMessage="1" sqref="C26 E26 G26 I26" xr:uid="{00000000-0002-0000-1500-000007000000}">
      <formula1>仓储公共部分装修</formula1>
    </dataValidation>
    <dataValidation type="list" allowBlank="1" showInputMessage="1" showErrorMessage="1" sqref="C29 E29 G29 I29" xr:uid="{00000000-0002-0000-1500-000008000000}">
      <formula1>有无电梯</formula1>
    </dataValidation>
    <dataValidation type="list" allowBlank="1" showInputMessage="1" showErrorMessage="1" sqref="C31 E31 G31 I31" xr:uid="{00000000-0002-0000-1500-000009000000}">
      <formula1>是否封闭</formula1>
    </dataValidation>
    <dataValidation type="list" allowBlank="1" showInputMessage="1" showErrorMessage="1" sqref="B1" xr:uid="{00000000-0002-0000-1500-00000A000000}">
      <formula1>地类判定</formula1>
    </dataValidation>
    <dataValidation type="list" allowBlank="1" showInputMessage="1" showErrorMessage="1" sqref="C28 E28 G28 I28" xr:uid="{00000000-0002-0000-1500-00000B000000}">
      <formula1>仓储物业等级</formula1>
    </dataValidation>
    <dataValidation type="list" allowBlank="1" showInputMessage="1" showErrorMessage="1" sqref="C19 E19 G19 I19" xr:uid="{00000000-0002-0000-1500-00000C000000}">
      <formula1>基础设施水平</formula1>
    </dataValidation>
    <dataValidation type="list" allowBlank="1" showInputMessage="1" showErrorMessage="1" sqref="F1" xr:uid="{00000000-0002-0000-1500-00000D000000}">
      <formula1>"售价,租金"</formula1>
    </dataValidation>
    <dataValidation type="list" allowBlank="1" showInputMessage="1" showErrorMessage="1" sqref="C2" xr:uid="{00000000-0002-0000-1500-00000E000000}">
      <formula1>"需扣减承租人权益,——"</formula1>
    </dataValidation>
    <dataValidation type="list" allowBlank="1" showInputMessage="1" showErrorMessage="1" sqref="F2" xr:uid="{00000000-0002-0000-1500-00000F000000}">
      <formula1>估价方法</formula1>
    </dataValidation>
    <dataValidation type="list" allowBlank="1" showInputMessage="1" showErrorMessage="1" sqref="D36" xr:uid="{00000000-0002-0000-1500-000010000000}">
      <formula1>"简单平均,加权平均"</formula1>
    </dataValidation>
    <dataValidation type="list" allowBlank="1" showInputMessage="1" showErrorMessage="1" sqref="E1" xr:uid="{00000000-0002-0000-1500-000011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I6"/>
  <sheetViews>
    <sheetView workbookViewId="0">
      <selection activeCell="F33" sqref="F33"/>
    </sheetView>
  </sheetViews>
  <sheetFormatPr defaultRowHeight="13.5"/>
  <cols>
    <col min="1" max="1" width="10.25" style="3186" customWidth="1"/>
    <col min="2" max="2" width="14.125" style="3186" customWidth="1"/>
    <col min="3" max="3" width="13.875" style="3186" customWidth="1"/>
    <col min="4" max="4" width="11.625" style="3186" customWidth="1"/>
    <col min="5" max="7" width="8.875" style="3186"/>
  </cols>
  <sheetData>
    <row r="1" spans="1:9">
      <c r="A1" s="1448" t="s">
        <v>3466</v>
      </c>
      <c r="B1" s="1448" t="s">
        <v>3467</v>
      </c>
      <c r="C1" s="1448" t="s">
        <v>3468</v>
      </c>
      <c r="D1" s="1448" t="s">
        <v>3469</v>
      </c>
      <c r="E1" s="1448" t="s">
        <v>3470</v>
      </c>
      <c r="F1" s="1448" t="s">
        <v>3471</v>
      </c>
      <c r="G1" s="1448" t="s">
        <v>3481</v>
      </c>
    </row>
    <row r="2" spans="1:9">
      <c r="A2" s="1448" t="s">
        <v>3473</v>
      </c>
      <c r="B2" s="1448" t="s">
        <v>3476</v>
      </c>
      <c r="C2" s="1448" t="s">
        <v>3477</v>
      </c>
      <c r="D2" s="1448" t="s">
        <v>3475</v>
      </c>
      <c r="E2" s="3186">
        <v>0.5</v>
      </c>
      <c r="F2" s="1448" t="s">
        <v>3472</v>
      </c>
      <c r="G2" s="3186">
        <v>9</v>
      </c>
      <c r="H2" s="1448" t="s">
        <v>3478</v>
      </c>
    </row>
    <row r="3" spans="1:9">
      <c r="A3" s="1448" t="s">
        <v>3482</v>
      </c>
      <c r="B3" s="1448" t="s">
        <v>3474</v>
      </c>
      <c r="C3" s="1448" t="s">
        <v>3477</v>
      </c>
      <c r="D3" s="1448" t="s">
        <v>3483</v>
      </c>
      <c r="E3" s="3186">
        <v>1</v>
      </c>
      <c r="F3" s="1448" t="s">
        <v>3479</v>
      </c>
      <c r="G3" s="3186">
        <v>10</v>
      </c>
      <c r="H3" s="1405" t="s">
        <v>3480</v>
      </c>
    </row>
    <row r="4" spans="1:9">
      <c r="A4" s="3188" t="s">
        <v>3485</v>
      </c>
      <c r="B4" s="3188" t="s">
        <v>3474</v>
      </c>
      <c r="C4" s="3188" t="s">
        <v>3486</v>
      </c>
      <c r="D4" s="3188" t="s">
        <v>3487</v>
      </c>
      <c r="E4" s="3189">
        <v>0.6</v>
      </c>
      <c r="F4" s="3188" t="s">
        <v>3479</v>
      </c>
      <c r="G4" s="3189">
        <v>10</v>
      </c>
      <c r="I4" s="3187" t="s">
        <v>3484</v>
      </c>
    </row>
    <row r="5" spans="1:9">
      <c r="A5" s="3188" t="s">
        <v>3488</v>
      </c>
      <c r="B5" s="3188" t="s">
        <v>3491</v>
      </c>
      <c r="C5" s="3188" t="s">
        <v>3477</v>
      </c>
      <c r="D5" s="3188" t="s">
        <v>3489</v>
      </c>
      <c r="E5" s="3189">
        <v>0.8</v>
      </c>
      <c r="F5" s="3188" t="s">
        <v>3479</v>
      </c>
      <c r="G5" s="3189">
        <v>10</v>
      </c>
      <c r="I5" s="3187" t="s">
        <v>3490</v>
      </c>
    </row>
    <row r="6" spans="1:9">
      <c r="A6" s="3188" t="s">
        <v>3492</v>
      </c>
      <c r="B6" s="3188" t="s">
        <v>3495</v>
      </c>
      <c r="C6" s="3189"/>
      <c r="D6" s="3188" t="s">
        <v>3493</v>
      </c>
      <c r="E6" s="3189">
        <v>0.6</v>
      </c>
      <c r="F6" s="3188" t="s">
        <v>3479</v>
      </c>
      <c r="G6" s="3189">
        <v>9.5</v>
      </c>
      <c r="I6" s="3187" t="s">
        <v>3494</v>
      </c>
    </row>
  </sheetData>
  <phoneticPr fontId="134" type="noConversion"/>
  <hyperlinks>
    <hyperlink ref="I4" r:id="rId1" display="https://bj.58.com/fangchan/82882233359322x.shtml?utm_source=market&amp;prd=x0NAXiR1wlSETnm4cICGemM0XmbyITMWudxFT0qICO4%3D&amp;houseId=4009083225926657&amp;urlParamsMap=3053230614D404344D306BF57F032E991EE4926AE895E610298291E46A460E916D20F94F99757863154E927CF1EE0D5A6374BE53D48460C5E44A365FD54CEC92572044C96712FC9E60BE97CD9AF43FE5AE8AB0BFEE5C8FB276DC035C06AD30B13E4AF83B85BA7CEC84FD180BE7AECA1411D15C51C9C9C512B236326BAD1B364DF815D37ACC509498151AD67A364C66DEED512756F0EAC5B32CCB1CDBA8DC2750719B487E47196AD6834191D086998F7C&amp;gpos=8&amp;legourl=%2F%2Flegoclick.58.com%2Fjump%3Ftarget%3DszqBpB3draOWUvYfuh78uvPCmy3frjc3rjczn1n1PHb1nWF3sMPCIAd_TyEVrjnkn1KBPWnVP1DkniYYnj0LsH--uWbVuAPhryNOryEknHPbTHNYn1DknW03P1bOn19dTEDYnjTOnj91nWcdrHcvPWNLTHcvrHNkTHcLnjTkTHD_nHmKnikvrjDkTHDLPWDzrj93rHN3rH9KPk7AEdqEEdqHyNwjgSyr98pcfdqniRPNgYGmTHDKnEDKsHDKsEDQrH9knHb1P10zrjcvn103nWEkTHmK0A7zmyd1n1NvrWc_0A7zmyd1nWT1rWD_Uy-6UbGGrWDznjTkg1bOrHbOrHbKnEDLnhwBn1nzPBYzPWT1sHEOrjNVrHuWPzYzmHuWmh7brjK6uWDKnHb3njDOn10LnWb1PHE1rjn1PkDQrH9knHb1P10zrHTvnjmdrHcQTEDKTEDKsEDKTE7jpLIKy7IMigFfuAuDHhRAEY6YEN7M5HYKnHTvsWDzna3QnHm8nWTzTHTKnTDKnikQP97exEDQnjT1PTDQnjTYnj0vTHTzujbzP1RWsHT3rjTVPj01mzY3PH0dsyNduj7BnADOuj7brTDKnTDKTHTKnikvrjDksjDQPjNzTHDKUMR_UTDdnHFWP1RBnh7-uyE1nvNQ&amp;referinfo=false&amp;spm=&amp;positionType=legojingxuanhouse&amp;lgtid_shangyetie=02d9275c-0880-473c-8575-e5d1b0a9d1d8&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17" xr:uid="{00000000-0004-0000-1600-000000000000}"/>
    <hyperlink ref="I5" r:id="rId2" display="https://bj.58.com/fangchan/84665503830491x.shtml?utm_source=market&amp;prd=x0NAXiR1wlSETnm4cICGegycuR3ddWBKTL2bRF7l4vI%3D&amp;houseId=4237341846248460&amp;urlParamsMap=3053230614D404344D306BF57F032E991EE4926AE895E610298291E46A460E916D20F94F99757863154E927CF1EE0D5A6374BE53D48460C5E44A365FD54CEC92572044C96712FC9E60BE97CD9AF43FE5AE8AB0BFEE5C8FB276DC035C06AD30B13E4AF83B85BA7CEC84FD180BE7AECA1488704F8AE26803842D8D490BDB977FFF2A8C9EC464F72CE65BB206C50AA38878F391D4C8BA65B46B30B72C4D7AD4D9C4719B487E47196AD69B04314B59FED8EE&amp;gpos=12&amp;legourl=%2F%2Flegoclick.58.com%2Fjump%3Ftarget%3DszqBpB3draOWUvYfuh78uvPCmy3frjEvPWNdnjn3n1TYrH73sMPCIAd_TyEVrjnkn1KBPWnVP1DkniYYnj0LsH--uWbVuAPhryNOryEknHPbTHNYn1DknW03P1bOn19dTEDYnWnLn1EQrjEvnWE3PjmkTHnQPjmkTHnQPHTkTHD_nHmKnikvrjDkTHDLPWDzrj93rHN3rH9KnHDKwbPxNDPxNd-DEd4-WCshBsqxHD-HR7q2yTDQTHDKTiYQTiYKnHbLP1bQrHbkPWmLPjE3n1cknEDvTgK60h7V01ndPWCzsZK60h7V01ckn1CQsAdGmyO2pHCQnWTkn7tOrHbOrHbOTHDKnhR-nhmvrjmVrjnzmzYYmyD3syFWm10VujFWnAELnHcQmHDdTHDOP10OnHbOnjmLrjndPHDYrjbKnHbLP1bQrHbkPW0dPjTOn1TdPkDKTEDKTiYKTEDKEvVLER6guY-zUvwhwDO-wbPcID7Ku1YqTHDkPB3QnWT8nHDvsWckn9DkTHTKTHD_nHmKXLYKnHTkn1EKnHTkPjTLP97bm1PBrHDQradbuH03sHEYuj9VmHDOuiYYnjnQnHTLPvEkmyNKTHTKTEDkTHD_PW9QnakLPjnzTHDKUMR_UT7BmWnkmhE3uWP-nvu6rj91&amp;referinfo=false&amp;spm=&amp;positionType=legojingxuanhouse&amp;lgtid_shangyetie=dc3b9118-de78-44d8-a19e-40311077d0ae&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28" xr:uid="{00000000-0004-0000-1600-000001000000}"/>
    <hyperlink ref="I6" r:id="rId3" display="https://bj.58.com/fangchan/84113144285021x.shtml?utm_source=market&amp;prd=x0NAXiR1wlSETnm4cICGet8RGWJZfmfIrmbhJq%2BCOeE%3D&amp;houseId=4166639824429062&amp;urlParamsMap=3053230614D404344D306BF57F032E991EE4926AE895E610298291E46A460E916D20F94F997578634BAC27F9ADA09A2A9A0CD81EE09A392F15DE89E1A91067E88DE5B6211330E738CF331ACC444FA606E7B06E448E8CD50593296859E17D4F73719B487E47196AD69A2953CBCBDD1565&amp;gpos=26&amp;positionType=promationinfo&amp;cocoTestType=coco_area_expand_test&amp;legoCocoTestType=coco_area_expand_test&amp;filterJson=eyJNSUFOSkkiOlt7ImtleSI6Im1pYW5KaSIsImxhYmVsIjoiMTIwMDBtwrLku6XkuIoiLCJ2YWwiOiIxMjAwMF85OTk5OTk5In1dLCJRVVlVIjpbeyJrZXkiOiIiLCJsYWJlbCI6IumhuuS5iSIsInZhbCI6InNodW55aSJ9XX0&amp;jx_abtest=ZWljX3N5ZGNfcGNfcmVjb21tZW5kX3Rlc3QscHRyX2ZhbmdfYnVkZ2V0X2JvdHRvbXwxLGNvY29fYXJlYV9leHBhbmRfdGVzdCx1c2VyX3BoYXNlX2w&amp;list_type=main&amp;PGTID=0d305770-0000-160e-904d-168044078458&amp;ClickID=43" xr:uid="{00000000-0004-0000-1600-000002000000}"/>
  </hyperlinks>
  <pageMargins left="0.7" right="0.7" top="0.75" bottom="0.75" header="0.3" footer="0.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topLeftCell="A10" zoomScale="110" zoomScaleNormal="70" zoomScaleSheetLayoutView="110" workbookViewId="0">
      <selection activeCell="B36" sqref="B3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3331</v>
      </c>
      <c r="C1" s="1717" t="s">
        <v>1563</v>
      </c>
      <c r="D1" s="190"/>
      <c r="E1" s="190"/>
      <c r="F1" s="190"/>
      <c r="G1" s="1062">
        <f>MATCH(B1,'数据-取费表'!A6:A16,0)+5</f>
        <v>6</v>
      </c>
      <c r="H1" s="998" t="str">
        <f>IF(ISERROR(FIND("住宅",B1)),"非住宅","住宅")</f>
        <v>非住宅</v>
      </c>
    </row>
    <row r="2" spans="1:8" s="192" customFormat="1" ht="18" customHeight="1">
      <c r="A2" s="193" t="s">
        <v>1462</v>
      </c>
      <c r="B2" s="3123">
        <f ca="1">ROUND(IF(D2="——",C52/10000,C52/10000-E2),4)</f>
        <v>10975.749299999999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6579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39491211.240000002</v>
      </c>
      <c r="D5" s="203" t="s">
        <v>1469</v>
      </c>
      <c r="E5" s="204" t="s">
        <v>1470</v>
      </c>
      <c r="F5" s="204" t="s">
        <v>1471</v>
      </c>
      <c r="G5" s="205"/>
    </row>
    <row r="6" spans="1:8" s="206" customFormat="1" ht="13.5" customHeight="1">
      <c r="A6" s="732" t="s">
        <v>1472</v>
      </c>
      <c r="B6" s="207" t="s">
        <v>1473</v>
      </c>
      <c r="C6" s="208">
        <f>基准地价修正!C33*基准地价修正!D33</f>
        <v>35084517.240000002</v>
      </c>
      <c r="D6" s="209"/>
      <c r="E6" s="210"/>
      <c r="F6" s="210"/>
      <c r="G6" s="211"/>
    </row>
    <row r="7" spans="1:8" s="206" customFormat="1" ht="13.5" customHeight="1">
      <c r="A7" s="732" t="s">
        <v>1474</v>
      </c>
      <c r="B7" s="207" t="s">
        <v>1475</v>
      </c>
      <c r="C7" s="212">
        <f>ROUND(C6*F7,0)</f>
        <v>1070078</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3336616</v>
      </c>
      <c r="D8" s="214"/>
      <c r="E8" s="212"/>
      <c r="F8" s="213"/>
      <c r="G8" s="1714" t="s">
        <v>3436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3336616</v>
      </c>
      <c r="D10" s="795">
        <f ca="1">IF(B1="",'数据-汇总表'!E6,IF(INDIRECT("'数据-取费表'!c"&amp;$G$1)="住宅",INDIRECT("'数据-取费表'!s"&amp;$G$1),INDIRECT("'数据-取费表'!k"&amp;$G$1)+INDIRECT("'数据-取费表'!s"&amp;$G$1)))</f>
        <v>16683.080000000002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16683.080000000002</v>
      </c>
      <c r="E19" s="203">
        <f>'数据-取费表'!B31</f>
        <v>315</v>
      </c>
      <c r="F19" s="223"/>
      <c r="G19" s="1714" t="s">
        <v>3435</v>
      </c>
    </row>
    <row r="20" spans="1:7" s="206" customFormat="1" ht="13.5" customHeight="1">
      <c r="A20" s="247" t="s">
        <v>1574</v>
      </c>
      <c r="B20" s="202" t="s">
        <v>1575</v>
      </c>
      <c r="C20" s="224">
        <f ca="1">ROUND((C5+C19)*F20,0)</f>
        <v>789824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1844501</v>
      </c>
      <c r="D22" s="227">
        <f ca="1">C26</f>
        <v>5.0000000000000001E-4</v>
      </c>
      <c r="E22" s="228" t="s">
        <v>1579</v>
      </c>
      <c r="F22" s="229">
        <f ca="1">'数据-取费表'!B40</f>
        <v>3.0599999999999999E-2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1826443</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18058</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4028104</v>
      </c>
      <c r="D27" s="227">
        <f ca="1">C29</f>
        <v>2E-3</v>
      </c>
      <c r="E27" s="228" t="s">
        <v>1514</v>
      </c>
      <c r="F27" s="238">
        <f ca="1">IF(B1="",'数据-取费表'!Q16,INDIRECT("'数据-取费表'!q"&amp;$G$1))</f>
        <v>0.1</v>
      </c>
      <c r="G27" s="239" t="s">
        <v>1515</v>
      </c>
    </row>
    <row r="28" spans="1:7" s="206" customFormat="1" ht="13.5" customHeight="1">
      <c r="A28" s="734" t="s">
        <v>346</v>
      </c>
      <c r="B28" s="240" t="s">
        <v>1516</v>
      </c>
      <c r="C28" s="241">
        <f ca="1">ROUND((C5+C19+C20)*F27,0)</f>
        <v>4028104</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49890434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56889303</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50049240</v>
      </c>
      <c r="D34" s="209"/>
      <c r="E34" s="212"/>
      <c r="F34" s="249"/>
      <c r="G34" s="211"/>
    </row>
    <row r="35" spans="1:7" ht="13.5" customHeight="1">
      <c r="A35" s="734" t="s">
        <v>351</v>
      </c>
      <c r="B35" s="207" t="s">
        <v>1527</v>
      </c>
      <c r="C35" s="212">
        <f ca="1">ROUND(C34*F35,0)</f>
        <v>2502462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3336616</v>
      </c>
      <c r="D37" s="209">
        <f ca="1">D19</f>
        <v>16683.080000000002</v>
      </c>
      <c r="E37" s="241">
        <f>'数据-取费表'!B35</f>
        <v>200</v>
      </c>
      <c r="F37" s="251"/>
      <c r="G37" s="253"/>
    </row>
    <row r="38" spans="1:7" ht="13.5" customHeight="1">
      <c r="A38" s="734" t="s">
        <v>354</v>
      </c>
      <c r="B38" s="207" t="s">
        <v>1533</v>
      </c>
      <c r="C38" s="212">
        <f ca="1">ROUND(C34*F38,0)</f>
        <v>1000985</v>
      </c>
      <c r="D38" s="212"/>
      <c r="E38" s="212"/>
      <c r="F38" s="251">
        <f>'数据-取费表'!B36</f>
        <v>0.02</v>
      </c>
      <c r="G38" s="211" t="s">
        <v>1528</v>
      </c>
    </row>
    <row r="39" spans="1:7" s="206" customFormat="1" ht="13.5" customHeight="1">
      <c r="A39" s="247" t="s">
        <v>1534</v>
      </c>
      <c r="B39" s="202" t="s">
        <v>1535</v>
      </c>
      <c r="C39" s="224">
        <f ca="1">ROUND(C33*F20,0)</f>
        <v>1137786</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1326692</v>
      </c>
      <c r="D41" s="227">
        <f ca="1">C44</f>
        <v>5.0000000000000001E-4</v>
      </c>
      <c r="E41" s="228" t="s">
        <v>1539</v>
      </c>
      <c r="F41" s="229">
        <f ca="1">F22</f>
        <v>3.0599999999999999E-2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1300678</v>
      </c>
      <c r="D42" s="230"/>
      <c r="E42" s="230"/>
      <c r="F42" s="231"/>
      <c r="G42" s="3378" t="s">
        <v>1591</v>
      </c>
    </row>
    <row r="43" spans="1:7" ht="13.5" customHeight="1">
      <c r="A43" s="734" t="s">
        <v>347</v>
      </c>
      <c r="B43" s="207" t="s">
        <v>1545</v>
      </c>
      <c r="C43" s="230">
        <f ca="1">ROUND(IF('数据-取费表'!B22&lt;=1,C39*F22*'数据-取费表'!B20/2,C39*(POWER((1+F22),'数据-取费表'!B20/2)-1)),0)</f>
        <v>26014</v>
      </c>
      <c r="D43" s="230"/>
      <c r="E43" s="230"/>
      <c r="F43" s="231"/>
      <c r="G43" s="3379"/>
    </row>
    <row r="44" spans="1:7" ht="13.5" customHeight="1">
      <c r="A44" s="734" t="s">
        <v>348</v>
      </c>
      <c r="B44" s="207" t="s">
        <v>1546</v>
      </c>
      <c r="C44" s="230">
        <f ca="1">ROUND(IF('数据-取费表'!B22&lt;=1,C40*F22*'数据-取费表'!B20/2,C40*(POWER((1+F22),'数据-取费表'!B20/2)-1)),4)</f>
        <v>5.0000000000000001E-4</v>
      </c>
      <c r="D44" s="230"/>
      <c r="E44" s="230"/>
      <c r="F44" s="231"/>
      <c r="G44" s="3380"/>
    </row>
    <row r="45" spans="1:7" s="206" customFormat="1" ht="13.5" customHeight="1">
      <c r="A45" s="247" t="s">
        <v>1547</v>
      </c>
      <c r="B45" s="236" t="s">
        <v>1513</v>
      </c>
      <c r="C45" s="237">
        <f ca="1">C46</f>
        <v>5802709</v>
      </c>
      <c r="D45" s="227">
        <f ca="1">C47</f>
        <v>2E-3</v>
      </c>
      <c r="E45" s="228" t="s">
        <v>1539</v>
      </c>
      <c r="F45" s="238">
        <f ca="1">F27</f>
        <v>0.1</v>
      </c>
      <c r="G45" s="239" t="s">
        <v>1548</v>
      </c>
    </row>
    <row r="46" spans="1:7" s="206" customFormat="1" ht="13.5" customHeight="1">
      <c r="A46" s="734" t="s">
        <v>346</v>
      </c>
      <c r="B46" s="240" t="s">
        <v>1549</v>
      </c>
      <c r="C46" s="241">
        <f ca="1">ROUND((C33+C39)*F27,0)</f>
        <v>5802709</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70431834</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59867059</v>
      </c>
      <c r="D51" s="224"/>
      <c r="E51" s="224"/>
      <c r="F51" s="256"/>
      <c r="G51" s="226" t="s">
        <v>1560</v>
      </c>
    </row>
    <row r="52" spans="1:7" s="200" customFormat="1" ht="16.5" thickBot="1">
      <c r="A52" s="257" t="s">
        <v>1561</v>
      </c>
      <c r="B52" s="258"/>
      <c r="C52" s="259">
        <f ca="1">C31+C51</f>
        <v>109757493</v>
      </c>
      <c r="D52" s="258"/>
      <c r="E52" s="258"/>
      <c r="F52" s="258"/>
      <c r="G52" s="260"/>
    </row>
    <row r="55" spans="1:7" ht="15">
      <c r="B55" s="262" t="s">
        <v>1562</v>
      </c>
      <c r="C55" s="263"/>
    </row>
    <row r="56" spans="1:7">
      <c r="B56" s="265" t="s">
        <v>802</v>
      </c>
      <c r="C56" s="267">
        <f ca="1">1-C57</f>
        <v>0.45499999999999996</v>
      </c>
    </row>
    <row r="57" spans="1:7">
      <c r="B57" s="265" t="s">
        <v>803</v>
      </c>
      <c r="C57" s="266">
        <f ca="1">ROUND(C51/C52,3)</f>
        <v>0.54500000000000004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122"/>
  <sheetViews>
    <sheetView view="pageBreakPreview" zoomScaleNormal="80" zoomScaleSheetLayoutView="100" workbookViewId="0">
      <selection activeCell="C34" sqref="C34"/>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16683.080000000002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3508</v>
      </c>
      <c r="C2" s="1846" t="s">
        <v>1935</v>
      </c>
      <c r="D2" s="162" t="s">
        <v>1936</v>
      </c>
      <c r="E2" s="3121" t="s">
        <v>3</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4223</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2103</v>
      </c>
      <c r="C3" s="1846" t="s">
        <v>1941</v>
      </c>
      <c r="D3" s="162" t="s">
        <v>1942</v>
      </c>
      <c r="E3" s="3119" t="s">
        <v>2483</v>
      </c>
      <c r="F3" s="1848" t="s">
        <v>3420</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3329</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28"/>
      <c r="B4" s="3429"/>
      <c r="C4" s="3429"/>
      <c r="D4" s="3430"/>
      <c r="E4" s="3430"/>
      <c r="F4" s="3430"/>
      <c r="G4" s="3430"/>
      <c r="H4" s="3430"/>
      <c r="I4" s="3430"/>
      <c r="J4" s="343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2813</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1655</v>
      </c>
      <c r="D5" s="1252">
        <f>ROUND(C6*C17+C20,0)</f>
        <v>1655</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2481</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1730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2385</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1730</v>
      </c>
      <c r="N7" s="813">
        <f>SUMPRODUCT((因素修正幅度!B190:B233=I2)*(因素修正幅度!C3:G3=E2)*(因素修正幅度!C190:G233))</f>
        <v>0.13</v>
      </c>
      <c r="O7" s="1056"/>
      <c r="P7" s="1056"/>
      <c r="Q7" s="1056"/>
      <c r="R7" s="1129">
        <v>6</v>
      </c>
      <c r="S7" s="3118"/>
      <c r="T7" s="3064">
        <f t="shared" si="0"/>
        <v>0</v>
      </c>
      <c r="U7" s="1130"/>
      <c r="V7" s="3064">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25" t="s">
        <v>1960</v>
      </c>
      <c r="X8" s="342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27"/>
      <c r="X9" s="3065" t="s">
        <v>3266</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27"/>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3245</v>
      </c>
      <c r="B17" s="3028" t="s">
        <v>3246</v>
      </c>
      <c r="C17" s="3037">
        <f>ROUND(IF(OR(E2="工业",E2="公共服务"),1,IF(AND(E18=0,E19=0),1,IF(AND(E18=J24,E19=G19),0.8,IF(E19=0,1+E17*(-0.2),1+E17*G17*(-0.2))))),4)</f>
        <v>1</v>
      </c>
      <c r="D17" s="3029" t="s">
        <v>3247</v>
      </c>
      <c r="E17" s="3037">
        <f>ROUND(G18/I18,2)</f>
        <v>0</v>
      </c>
      <c r="F17" s="3029" t="s">
        <v>3250</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3248</v>
      </c>
      <c r="E18" s="2357"/>
      <c r="F18" s="3031" t="s">
        <v>3251</v>
      </c>
      <c r="G18" s="3035">
        <f>ROUND(1-(1/(POWER(1+G24,E18))),4)</f>
        <v>0</v>
      </c>
      <c r="H18" s="3031" t="s">
        <v>3253</v>
      </c>
      <c r="I18" s="3035">
        <f>ROUND(1-(1/(POWER(1+G24,J24))),4)</f>
        <v>0.91279999999999994</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3249</v>
      </c>
      <c r="E19" s="3044"/>
      <c r="F19" s="3045" t="s">
        <v>3252</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32" t="s">
        <v>3254</v>
      </c>
      <c r="B20" s="159" t="s">
        <v>1994</v>
      </c>
      <c r="C20" s="3032">
        <f>ROUND(IF(F21="与级别开发程度一致",0,(G21-E21)/C21),0)</f>
        <v>-75</v>
      </c>
      <c r="D20" s="3047" t="s">
        <v>1998</v>
      </c>
      <c r="E20" s="3048"/>
      <c r="F20" s="3438" t="s">
        <v>1995</v>
      </c>
      <c r="G20" s="3439"/>
      <c r="H20" s="3033" t="s">
        <v>3422</v>
      </c>
      <c r="I20" s="3033" t="s">
        <v>3423</v>
      </c>
      <c r="J20" s="3034" t="s">
        <v>3424</v>
      </c>
      <c r="K20" s="1889" t="s">
        <v>3425</v>
      </c>
      <c r="L20" s="1889" t="s">
        <v>3426</v>
      </c>
      <c r="M20" s="1889" t="s">
        <v>3427</v>
      </c>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33"/>
      <c r="B21" s="2002" t="s">
        <v>1997</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3421</v>
      </c>
      <c r="G21" s="1995">
        <f>SUM(H21:O21)</f>
        <v>225</v>
      </c>
      <c r="H21" s="2003">
        <f>SUMPRODUCT((七通一平=H20)*(修正!B1:M1=G2)*(修正!B8:M16))</f>
        <v>25</v>
      </c>
      <c r="I21" s="2003">
        <f>SUMPRODUCT((七通一平=I20)*(修正!B1:M1=G2)*(修正!B8:M16))</f>
        <v>40</v>
      </c>
      <c r="J21" s="2004">
        <f>SUMPRODUCT((七通一平=J20)*(修正!B1:M1=G2)*(修正!B8:M16))</f>
        <v>60</v>
      </c>
      <c r="K21" s="2003">
        <f>SUMPRODUCT((七通一平=K20)*(修正!B1:M1=G2)*(修正!B8:M16))</f>
        <v>15</v>
      </c>
      <c r="L21" s="2003">
        <f>SUMPRODUCT((七通一平=L20)*(修正!B1:M1=G2)*(修正!B8:M16))</f>
        <v>70</v>
      </c>
      <c r="M21" s="2003">
        <f>SUMPRODUCT((七通一平=M20)*(修正!B1:M1=G2)*(修正!B8:M16))</f>
        <v>15</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SUMIF(修正!C20:C53,E3,修正!E20:E53)</f>
        <v>1.5</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1.0894999999999999</v>
      </c>
      <c r="D23" s="1896" t="s">
        <v>2002</v>
      </c>
      <c r="E23" s="717">
        <v>44197</v>
      </c>
      <c r="F23" s="1896" t="s">
        <v>2003</v>
      </c>
      <c r="G23" s="718">
        <f>'数据-取费表'!B2</f>
        <v>45952</v>
      </c>
      <c r="H23" s="3049" t="s">
        <v>3428</v>
      </c>
      <c r="I23" s="3050" t="str">
        <f>IF(H23="季度增幅（自定义）",SUMIF(N25:N28,E2,O25:O28),"")</f>
        <v/>
      </c>
      <c r="J23" s="3142" t="s">
        <v>3429</v>
      </c>
      <c r="K23" s="1061"/>
      <c r="L23" s="1897" t="s">
        <v>2004</v>
      </c>
      <c r="M23" s="1241">
        <f>ROUND(SUMIF(地价!B2:G2,E2,地价!B16:G16),0)</f>
        <v>318</v>
      </c>
      <c r="N23" s="1898" t="s">
        <v>2005</v>
      </c>
      <c r="O23" s="719">
        <f>ROUNDDOWN(DATEDIF(E23,G23,"M")/3,0)</f>
        <v>19</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1</v>
      </c>
      <c r="D24" s="1902" t="s">
        <v>2007</v>
      </c>
      <c r="E24" s="1248">
        <f>存贷款利率!E28/100</f>
        <v>4.3499999999999997E-2</v>
      </c>
      <c r="F24" s="1902" t="s">
        <v>1999</v>
      </c>
      <c r="G24" s="724">
        <f>SUMIF(M30:Q30,E2,M33:Q33)</f>
        <v>0.05</v>
      </c>
      <c r="H24" s="1902" t="s">
        <v>2008</v>
      </c>
      <c r="I24" s="725">
        <f>SUMIF('数据-取费表'!C6:C15,E2,'数据-取费表'!F6:F15)/COUNTIF('数据-取费表'!C6:C15,E2)</f>
        <v>50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3332</v>
      </c>
      <c r="C25" s="461">
        <f>IF(B25="容积率修正",IF(G3&lt;10,D26,J26),C27)</f>
        <v>0.74780000000000002</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3255</v>
      </c>
      <c r="D26" s="1263">
        <f>IF(E26=G26,F26,IF(G3&lt;10,ROUND(F26+(H26-F26)*(G3-E26)/(G26-E26),4),"——"))</f>
        <v>0.74780000000000002</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0.74780000000000002</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0.74780000000000002</v>
      </c>
      <c r="I26" s="1912" t="s">
        <v>3256</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1.0397000000000001</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3508</v>
      </c>
      <c r="D30" s="1925"/>
      <c r="E30" s="1842"/>
      <c r="F30" s="1926"/>
      <c r="G30" s="1842"/>
      <c r="H30" s="1842"/>
      <c r="I30" s="1842"/>
      <c r="J30" s="1927"/>
      <c r="K30" s="1056"/>
      <c r="L30" s="3056" t="s">
        <v>1936</v>
      </c>
      <c r="M30" s="3057" t="s">
        <v>1990</v>
      </c>
      <c r="N30" s="3057" t="s">
        <v>1991</v>
      </c>
      <c r="O30" s="3057" t="s">
        <v>1992</v>
      </c>
      <c r="P30" s="3057" t="s">
        <v>1993</v>
      </c>
      <c r="Q30" s="3060"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2103</v>
      </c>
      <c r="D33" s="1940">
        <f>'数据-基础表'!I13</f>
        <v>16683.080000000002</v>
      </c>
      <c r="E33" s="727">
        <f>ROUND(C33*D33/10000,0)</f>
        <v>3508</v>
      </c>
      <c r="F33" s="3051" t="s">
        <v>3258</v>
      </c>
      <c r="G33" s="1941"/>
      <c r="H33" s="1941"/>
      <c r="I33" s="1941"/>
      <c r="J33" s="1942"/>
      <c r="K33" s="1056"/>
      <c r="L33" s="3054" t="s">
        <v>3261</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315</v>
      </c>
      <c r="D34" s="1945"/>
      <c r="E34" s="727">
        <f>ROUND(IF(B25="楼层修正",SUM(V2:V16)*M40,C34*D34/10000),0)</f>
        <v>0</v>
      </c>
      <c r="F34" s="1946" t="s">
        <v>2032</v>
      </c>
      <c r="G34" s="1947"/>
      <c r="H34" s="1947"/>
      <c r="I34" s="1947"/>
      <c r="J34" s="1948"/>
      <c r="K34" s="1056"/>
      <c r="L34" s="3054" t="s">
        <v>3262</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3263</v>
      </c>
      <c r="L36" s="3143">
        <f ca="1">'数据-取费表'!B40</f>
        <v>3.0599999999999999E-2</v>
      </c>
      <c r="M36" s="2366">
        <f ca="1">ROUND($L$36*(1+M31),3)</f>
        <v>3.7999999999999999E-2</v>
      </c>
      <c r="N36" s="2366">
        <f ca="1">ROUND($L$36*(1+N31),3)</f>
        <v>3.6999999999999998E-2</v>
      </c>
      <c r="O36" s="2366">
        <f ca="1">ROUND($L$36*(1+O31),3)</f>
        <v>3.5000000000000003E-2</v>
      </c>
      <c r="P36" s="2366">
        <f ca="1">ROUND($L$36*(1+P31),3)</f>
        <v>3.4000000000000002E-2</v>
      </c>
      <c r="Q36" s="2366">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36"/>
      <c r="B37" s="1955" t="s">
        <v>2036</v>
      </c>
      <c r="C37" s="167">
        <f>ROUND(D5*C22*C23*C24*C28*F37,0)</f>
        <v>1687</v>
      </c>
      <c r="D37" s="1940"/>
      <c r="E37" s="163">
        <f>ROUND(C37*D37/10000,0)</f>
        <v>0</v>
      </c>
      <c r="F37" s="163">
        <f>SUMIF(修正!A59:A70,G2,修正!B59:B70)</f>
        <v>0.6</v>
      </c>
      <c r="G37" s="163">
        <f>ROUND(IF(E2="工业",C37*$M$42,C37*$M$41),0)</f>
        <v>253</v>
      </c>
      <c r="H37" s="163">
        <f>D37</f>
        <v>0</v>
      </c>
      <c r="I37" s="163">
        <f>ROUND(G37*H37/10000,0)</f>
        <v>0</v>
      </c>
      <c r="J37" s="2755"/>
      <c r="K37" s="3062" t="s">
        <v>3264</v>
      </c>
      <c r="L37" s="1964">
        <f ca="1">L36+K38</f>
        <v>3.56E-2</v>
      </c>
      <c r="M37" s="2366">
        <f ca="1">ROUND($L$37*(1+M31),3)</f>
        <v>4.4999999999999998E-2</v>
      </c>
      <c r="N37" s="2366">
        <f t="shared" ref="N37:Q37" ca="1" si="3">ROUND($L$37*(1+N31),3)</f>
        <v>4.2999999999999997E-2</v>
      </c>
      <c r="O37" s="2366">
        <f t="shared" ca="1" si="3"/>
        <v>4.1000000000000002E-2</v>
      </c>
      <c r="P37" s="2366">
        <f t="shared" ca="1" si="3"/>
        <v>3.9E-2</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37"/>
      <c r="B38" s="1884" t="s">
        <v>2037</v>
      </c>
      <c r="C38" s="167">
        <f>ROUND(D5*C22*C23*C24*C28*F38,0)</f>
        <v>844</v>
      </c>
      <c r="D38" s="1940"/>
      <c r="E38" s="163">
        <f t="shared" ref="E38:E42" si="4">ROUND(C38*D38/10000,0)</f>
        <v>0</v>
      </c>
      <c r="F38" s="163">
        <f>SUMIF(修正!A59:A70,G2,修正!C59:C70)</f>
        <v>0.3</v>
      </c>
      <c r="G38" s="163">
        <f>ROUND(IF(E2="工业",C38*$M$42,C38*$M$41),0)</f>
        <v>127</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37"/>
      <c r="B39" s="1884" t="s">
        <v>3257</v>
      </c>
      <c r="C39" s="167">
        <f>ROUND(D5*C22*C23*C24*C28*F39,0)</f>
        <v>703</v>
      </c>
      <c r="D39" s="1940"/>
      <c r="E39" s="163">
        <f t="shared" si="4"/>
        <v>0</v>
      </c>
      <c r="F39" s="163">
        <f>SUMIF(修正!A59:A70,G2,修正!D59:D70)</f>
        <v>0.25</v>
      </c>
      <c r="G39" s="163">
        <f>ROUND(IF(E2="工业",C39*$M$42,C39*$M$41),0)</f>
        <v>105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703</v>
      </c>
      <c r="D40" s="1940"/>
      <c r="E40" s="163">
        <f t="shared" si="4"/>
        <v>0</v>
      </c>
      <c r="F40" s="167">
        <f>SUMIF(修正!A59:A70,G2,修正!E59:E70)</f>
        <v>0.25</v>
      </c>
      <c r="G40" s="163">
        <f>ROUND(IF(E2="工业",C40*$M$42,C40*$M$41),0)</f>
        <v>105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3"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0.05</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hidden="1">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hidden="1">
      <c r="A52" s="3071" t="s">
        <v>3267</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hidden="1">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hidden="1">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hidden="1">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hidden="1"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hidden="1">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hidden="1">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hidden="1">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hidden="1">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hidden="1">
      <c r="A63" s="3071" t="s">
        <v>3267</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hidden="1">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hidden="1">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hidden="1">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hidden="1">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hidden="1">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hidden="1"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hidden="1">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hidden="1">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hidden="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hidden="1">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hidden="1">
      <c r="A74" s="3071" t="s">
        <v>3267</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hidden="1">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hidden="1">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hidden="1">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hidden="1">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hidden="1">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hidden="1"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1.0397000000000001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t="s">
        <v>3430</v>
      </c>
      <c r="D83" s="1002">
        <f t="shared" ref="D83:D90" si="22">SUMIF($J$82:$N$82,C83,J83:N83)</f>
        <v>1.6899999999999998E-2</v>
      </c>
      <c r="E83" s="702">
        <f>ROUND(SUM(D83:D90),4)</f>
        <v>3.9699999999999999E-2</v>
      </c>
      <c r="F83" s="1675">
        <f>IF(E2="工业",SUMIF(L1:L12,G2,N1:N12),"——")</f>
        <v>0.13</v>
      </c>
      <c r="G83" s="1000">
        <v>1.6899999999999998E-2</v>
      </c>
      <c r="H83" s="1003">
        <f t="shared" ref="H83:H90" si="23">IFERROR(ROUNDDOWN($F$83*I83/2,4),"——")</f>
        <v>1.6899999999999998E-2</v>
      </c>
      <c r="I83" s="3069">
        <v>0.26</v>
      </c>
      <c r="J83" s="1001">
        <f t="shared" ref="J83:J90" si="24">K83+$G83</f>
        <v>3.3799999999999997E-2</v>
      </c>
      <c r="K83" s="1001">
        <f t="shared" ref="K83:K90" si="25">$L83+$G83</f>
        <v>1.6899999999999998E-2</v>
      </c>
      <c r="L83" s="1001">
        <v>0</v>
      </c>
      <c r="M83" s="1001">
        <f t="shared" ref="M83:N90" si="26">L83-$G83</f>
        <v>-1.6899999999999998E-2</v>
      </c>
      <c r="N83" s="1001">
        <f t="shared" si="26"/>
        <v>-3.3799999999999997E-2</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t="s">
        <v>3431</v>
      </c>
      <c r="D84" s="1002">
        <f t="shared" si="22"/>
        <v>0</v>
      </c>
      <c r="E84" s="705"/>
      <c r="F84" s="1675"/>
      <c r="G84" s="1000">
        <v>1.95E-2</v>
      </c>
      <c r="H84" s="1003">
        <f t="shared" si="23"/>
        <v>1.95E-2</v>
      </c>
      <c r="I84" s="3069">
        <v>0.3</v>
      </c>
      <c r="J84" s="1001">
        <f t="shared" si="24"/>
        <v>3.9E-2</v>
      </c>
      <c r="K84" s="1001">
        <f t="shared" si="25"/>
        <v>1.95E-2</v>
      </c>
      <c r="L84" s="1001">
        <v>0</v>
      </c>
      <c r="M84" s="1001">
        <f t="shared" si="26"/>
        <v>-1.95E-2</v>
      </c>
      <c r="N84" s="1001">
        <f t="shared" si="26"/>
        <v>-3.9E-2</v>
      </c>
      <c r="Z84" s="1845"/>
      <c r="AA84" s="1895"/>
      <c r="AG84" s="1058"/>
      <c r="AK84" s="1895"/>
    </row>
    <row r="85" spans="1:37" ht="36">
      <c r="A85" s="3071" t="s">
        <v>3268</v>
      </c>
      <c r="B85" s="1262">
        <f>估价对象房地状况!G17</f>
        <v>0</v>
      </c>
      <c r="C85" s="1887" t="s">
        <v>3430</v>
      </c>
      <c r="D85" s="1002">
        <f t="shared" si="22"/>
        <v>6.4999999999999997E-3</v>
      </c>
      <c r="E85" s="705"/>
      <c r="F85" s="1675"/>
      <c r="G85" s="1000">
        <v>6.4999999999999997E-3</v>
      </c>
      <c r="H85" s="1003">
        <f t="shared" si="23"/>
        <v>6.4999999999999997E-3</v>
      </c>
      <c r="I85" s="3069">
        <v>0.1</v>
      </c>
      <c r="J85" s="1001">
        <f t="shared" si="24"/>
        <v>1.2999999999999999E-2</v>
      </c>
      <c r="K85" s="1001">
        <f t="shared" si="25"/>
        <v>6.4999999999999997E-3</v>
      </c>
      <c r="L85" s="1001">
        <v>0</v>
      </c>
      <c r="M85" s="1001">
        <f t="shared" si="26"/>
        <v>-6.4999999999999997E-3</v>
      </c>
      <c r="N85" s="1001">
        <f t="shared" si="26"/>
        <v>-1.2999999999999999E-2</v>
      </c>
      <c r="Z85" s="1845"/>
      <c r="AA85" s="1895"/>
      <c r="AG85" s="1058"/>
      <c r="AK85" s="1895"/>
    </row>
    <row r="86" spans="1:37" ht="14.25">
      <c r="A86" s="1970" t="s">
        <v>2067</v>
      </c>
      <c r="B86" s="1262">
        <f>估价对象房地状况!G22</f>
        <v>0</v>
      </c>
      <c r="C86" s="1887" t="s">
        <v>3432</v>
      </c>
      <c r="D86" s="1002">
        <f t="shared" si="22"/>
        <v>-3.2000000000000002E-3</v>
      </c>
      <c r="E86" s="705"/>
      <c r="F86" s="1675"/>
      <c r="G86" s="1000">
        <v>3.2000000000000002E-3</v>
      </c>
      <c r="H86" s="1003">
        <f t="shared" si="23"/>
        <v>3.2000000000000002E-3</v>
      </c>
      <c r="I86" s="3069">
        <v>0.05</v>
      </c>
      <c r="J86" s="1001">
        <f t="shared" si="24"/>
        <v>6.4000000000000003E-3</v>
      </c>
      <c r="K86" s="1001">
        <f t="shared" si="25"/>
        <v>3.2000000000000002E-3</v>
      </c>
      <c r="L86" s="1001">
        <v>0</v>
      </c>
      <c r="M86" s="1001">
        <f t="shared" si="26"/>
        <v>-3.2000000000000002E-3</v>
      </c>
      <c r="N86" s="1001">
        <f t="shared" si="26"/>
        <v>-6.4000000000000003E-3</v>
      </c>
      <c r="Z86" s="1845"/>
      <c r="AA86" s="1895"/>
      <c r="AG86" s="1058"/>
      <c r="AK86" s="1895"/>
    </row>
    <row r="87" spans="1:37" ht="25.5">
      <c r="A87" s="1970" t="s">
        <v>2059</v>
      </c>
      <c r="B87" s="1240" t="str">
        <f>估价对象房地状况!G19</f>
        <v>估价对象所在区域公共配套设施齐备情况</v>
      </c>
      <c r="C87" s="1887" t="s">
        <v>3431</v>
      </c>
      <c r="D87" s="1002">
        <f t="shared" si="22"/>
        <v>0</v>
      </c>
      <c r="E87" s="705"/>
      <c r="F87" s="1675"/>
      <c r="G87" s="1000">
        <v>3.8999999999999998E-3</v>
      </c>
      <c r="H87" s="1003">
        <f t="shared" si="23"/>
        <v>3.8999999999999998E-3</v>
      </c>
      <c r="I87" s="3069">
        <v>0.06</v>
      </c>
      <c r="J87" s="1001">
        <f t="shared" si="24"/>
        <v>7.7999999999999996E-3</v>
      </c>
      <c r="K87" s="1001">
        <f t="shared" si="25"/>
        <v>3.8999999999999998E-3</v>
      </c>
      <c r="L87" s="1001">
        <v>0</v>
      </c>
      <c r="M87" s="1001">
        <f t="shared" si="26"/>
        <v>-3.8999999999999998E-3</v>
      </c>
      <c r="N87" s="1001">
        <f t="shared" si="26"/>
        <v>-7.7999999999999996E-3</v>
      </c>
    </row>
    <row r="88" spans="1:37" ht="25.5">
      <c r="A88" s="1970" t="s">
        <v>2060</v>
      </c>
      <c r="B88" s="1240" t="str">
        <f>估价对象房地状况!G20</f>
        <v>估价对象所在区域基础设施水平</v>
      </c>
      <c r="C88" s="1887" t="s">
        <v>3433</v>
      </c>
      <c r="D88" s="1002">
        <f t="shared" si="22"/>
        <v>1.5599999999999999E-2</v>
      </c>
      <c r="E88" s="705"/>
      <c r="F88" s="1675"/>
      <c r="G88" s="1000">
        <v>7.7999999999999996E-3</v>
      </c>
      <c r="H88" s="1003">
        <f t="shared" si="23"/>
        <v>7.7999999999999996E-3</v>
      </c>
      <c r="I88" s="3069">
        <v>0.12</v>
      </c>
      <c r="J88" s="1001">
        <f t="shared" si="24"/>
        <v>1.5599999999999999E-2</v>
      </c>
      <c r="K88" s="1001">
        <f t="shared" si="25"/>
        <v>7.7999999999999996E-3</v>
      </c>
      <c r="L88" s="1001">
        <v>0</v>
      </c>
      <c r="M88" s="1001">
        <f t="shared" si="26"/>
        <v>-7.7999999999999996E-3</v>
      </c>
      <c r="N88" s="1001">
        <f t="shared" si="26"/>
        <v>-1.5599999999999999E-2</v>
      </c>
    </row>
    <row r="89" spans="1:37" ht="24">
      <c r="A89" s="1970" t="s">
        <v>2057</v>
      </c>
      <c r="B89" s="1975" t="s">
        <v>2071</v>
      </c>
      <c r="C89" s="1887" t="s">
        <v>3430</v>
      </c>
      <c r="D89" s="1002">
        <f t="shared" si="22"/>
        <v>3.8999999999999998E-3</v>
      </c>
      <c r="E89" s="705"/>
      <c r="F89" s="1675"/>
      <c r="G89" s="1000">
        <v>3.8999999999999998E-3</v>
      </c>
      <c r="H89" s="1003">
        <f t="shared" si="23"/>
        <v>3.8999999999999998E-3</v>
      </c>
      <c r="I89" s="3069">
        <v>0.06</v>
      </c>
      <c r="J89" s="1001">
        <f t="shared" si="24"/>
        <v>7.7999999999999996E-3</v>
      </c>
      <c r="K89" s="1001">
        <f t="shared" si="25"/>
        <v>3.8999999999999998E-3</v>
      </c>
      <c r="L89" s="1001">
        <v>0</v>
      </c>
      <c r="M89" s="1001">
        <f t="shared" si="26"/>
        <v>-3.8999999999999998E-3</v>
      </c>
      <c r="N89" s="1001">
        <f t="shared" si="26"/>
        <v>-7.7999999999999996E-3</v>
      </c>
    </row>
    <row r="90" spans="1:37" ht="39" thickBot="1">
      <c r="A90" s="1977" t="s">
        <v>2072</v>
      </c>
      <c r="B90" s="1982" t="str">
        <f>估价对象房地状况!G18</f>
        <v>该园区内是否有污染型企业，绿化情况，卫生条件，整体环境状况判断</v>
      </c>
      <c r="C90" s="1887" t="s">
        <v>3431</v>
      </c>
      <c r="D90" s="1002">
        <f t="shared" si="22"/>
        <v>0</v>
      </c>
      <c r="E90" s="706"/>
      <c r="F90" s="1675"/>
      <c r="G90" s="1000">
        <v>3.2000000000000002E-3</v>
      </c>
      <c r="H90" s="1003">
        <f t="shared" si="23"/>
        <v>3.2000000000000002E-3</v>
      </c>
      <c r="I90" s="3070">
        <v>0.05</v>
      </c>
      <c r="J90" s="1001">
        <f t="shared" si="24"/>
        <v>6.4000000000000003E-3</v>
      </c>
      <c r="K90" s="1001">
        <f t="shared" si="25"/>
        <v>3.2000000000000002E-3</v>
      </c>
      <c r="L90" s="1001">
        <v>0</v>
      </c>
      <c r="M90" s="1001">
        <f t="shared" si="26"/>
        <v>-3.2000000000000002E-3</v>
      </c>
      <c r="N90" s="1001">
        <f t="shared" si="26"/>
        <v>-6.4000000000000003E-3</v>
      </c>
    </row>
    <row r="91" spans="1:37" ht="15">
      <c r="A91" s="3079" t="s">
        <v>2612</v>
      </c>
      <c r="B91" s="3080">
        <f>1+E93</f>
        <v>1</v>
      </c>
      <c r="C91" s="3073"/>
      <c r="D91" s="3074"/>
      <c r="E91" s="1675"/>
      <c r="F91" s="1675"/>
      <c r="G91" s="3075"/>
      <c r="H91" s="3076"/>
      <c r="I91" s="3077"/>
      <c r="J91" s="3078"/>
      <c r="K91" s="3078"/>
      <c r="L91" s="3078"/>
      <c r="M91" s="3078"/>
      <c r="N91" s="3078"/>
    </row>
    <row r="92" spans="1:37" ht="24.75">
      <c r="A92" s="3081" t="s">
        <v>3269</v>
      </c>
      <c r="B92" s="2310"/>
      <c r="C92" s="2310" t="s">
        <v>3278</v>
      </c>
      <c r="D92" s="2310" t="s">
        <v>3279</v>
      </c>
      <c r="E92" s="3053" t="s">
        <v>3280</v>
      </c>
      <c r="F92" s="3083" t="s">
        <v>3281</v>
      </c>
      <c r="G92" s="2310" t="s">
        <v>3282</v>
      </c>
      <c r="H92" s="3090" t="s">
        <v>3285</v>
      </c>
      <c r="I92" s="2310" t="s">
        <v>3286</v>
      </c>
      <c r="J92" s="2150" t="s">
        <v>3287</v>
      </c>
      <c r="K92" s="2150" t="s">
        <v>3288</v>
      </c>
      <c r="L92" s="2150" t="s">
        <v>3289</v>
      </c>
      <c r="M92" s="2150" t="s">
        <v>3290</v>
      </c>
      <c r="N92" s="2150" t="s">
        <v>3291</v>
      </c>
    </row>
    <row r="93" spans="1:37" ht="24">
      <c r="A93" s="3071" t="s">
        <v>3270</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3271</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3267</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3272</v>
      </c>
      <c r="B96" s="3087" t="s">
        <v>3283</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3273</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3274</v>
      </c>
      <c r="B98" s="3088" t="s">
        <v>3284</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3275</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3276</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3277</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34" t="s">
        <v>3292</v>
      </c>
      <c r="B103" s="3434"/>
      <c r="C103" s="3434"/>
      <c r="D103" s="3434"/>
      <c r="E103" s="3434"/>
      <c r="F103" s="3434"/>
      <c r="G103" s="3434"/>
      <c r="H103" s="3434"/>
      <c r="I103" s="3434"/>
      <c r="J103" s="3434"/>
      <c r="K103" s="1667"/>
      <c r="L103" s="1667"/>
      <c r="M103" s="1667"/>
      <c r="N103" s="1667"/>
    </row>
    <row r="104" spans="1:14">
      <c r="A104" s="3435" t="s">
        <v>3293</v>
      </c>
      <c r="B104" s="3435" t="s">
        <v>3294</v>
      </c>
      <c r="C104" s="3091" t="s">
        <v>3295</v>
      </c>
      <c r="D104" s="3092"/>
      <c r="E104" s="3092"/>
      <c r="F104" s="3092"/>
      <c r="G104" s="3092"/>
      <c r="H104" s="3092"/>
      <c r="I104" s="3092"/>
      <c r="J104" s="3093"/>
      <c r="K104" s="3094"/>
      <c r="L104" s="3094"/>
      <c r="M104" s="3094"/>
      <c r="N104" s="3094"/>
    </row>
    <row r="105" spans="1:14">
      <c r="A105" s="3435"/>
      <c r="B105" s="3435"/>
      <c r="C105" s="3095" t="s">
        <v>3296</v>
      </c>
      <c r="D105" s="3095" t="s">
        <v>3297</v>
      </c>
      <c r="E105" s="3095" t="s">
        <v>3298</v>
      </c>
      <c r="F105" s="3095" t="s">
        <v>3299</v>
      </c>
      <c r="G105" s="3095" t="s">
        <v>3300</v>
      </c>
      <c r="H105" s="3095" t="s">
        <v>3301</v>
      </c>
      <c r="I105" s="3095" t="s">
        <v>3302</v>
      </c>
      <c r="J105" s="3095" t="s">
        <v>3303</v>
      </c>
      <c r="K105" s="3095" t="s">
        <v>3304</v>
      </c>
      <c r="L105" s="3095" t="s">
        <v>3305</v>
      </c>
      <c r="M105" s="3095" t="s">
        <v>3306</v>
      </c>
      <c r="N105" s="3095" t="s">
        <v>3307</v>
      </c>
    </row>
    <row r="106" spans="1:14">
      <c r="A106" s="3421" t="s">
        <v>3308</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22"/>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22"/>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22"/>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22"/>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22"/>
      <c r="B111" s="3095" t="s">
        <v>3266</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23"/>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24" t="s">
        <v>3309</v>
      </c>
      <c r="B113" s="3424"/>
      <c r="C113" s="3424"/>
      <c r="D113" s="3424"/>
      <c r="E113" s="3424"/>
      <c r="F113" s="3424"/>
      <c r="G113" s="3424"/>
      <c r="H113" s="3424"/>
      <c r="I113" s="3424"/>
      <c r="J113" s="3424"/>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3310</v>
      </c>
      <c r="B116" s="3115">
        <f>G3</f>
        <v>2.5</v>
      </c>
      <c r="C116" s="3100" t="s">
        <v>3311</v>
      </c>
      <c r="D116" s="3101">
        <f>SUMPRODUCT((A118:A122=F116)*(B117:M117=H116)*B118:M122)</f>
        <v>0.61619999999999997</v>
      </c>
      <c r="E116" s="162" t="s">
        <v>3312</v>
      </c>
      <c r="F116" s="3102" t="str">
        <f>E2</f>
        <v>工业</v>
      </c>
      <c r="G116" s="162" t="s">
        <v>3313</v>
      </c>
      <c r="H116" s="3102" t="str">
        <f>G2</f>
        <v>七级</v>
      </c>
      <c r="I116" s="162"/>
      <c r="J116" s="3103"/>
      <c r="K116" s="3103"/>
      <c r="L116" s="3103"/>
      <c r="M116" s="3103"/>
      <c r="N116" s="3098"/>
    </row>
    <row r="117" spans="1:14">
      <c r="A117" s="3104"/>
      <c r="B117" s="3105" t="s">
        <v>3314</v>
      </c>
      <c r="C117" s="3105" t="s">
        <v>3315</v>
      </c>
      <c r="D117" s="3105" t="s">
        <v>3316</v>
      </c>
      <c r="E117" s="3106" t="s">
        <v>3317</v>
      </c>
      <c r="F117" s="3106" t="s">
        <v>3318</v>
      </c>
      <c r="G117" s="3106" t="s">
        <v>3319</v>
      </c>
      <c r="H117" s="3107" t="s">
        <v>3320</v>
      </c>
      <c r="I117" s="3107" t="s">
        <v>3321</v>
      </c>
      <c r="J117" s="3108" t="s">
        <v>3322</v>
      </c>
      <c r="K117" s="3108" t="s">
        <v>3323</v>
      </c>
      <c r="L117" s="3108" t="s">
        <v>3324</v>
      </c>
      <c r="M117" s="3109" t="s">
        <v>3325</v>
      </c>
      <c r="N117" s="3098"/>
    </row>
    <row r="118" spans="1:14">
      <c r="A118" s="3058" t="s">
        <v>3326</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5">I118</f>
        <v>0.80359999999999998</v>
      </c>
      <c r="K118" s="3090">
        <f t="shared" si="35"/>
        <v>0.80359999999999998</v>
      </c>
      <c r="L118" s="3090">
        <f t="shared" si="35"/>
        <v>0.80359999999999998</v>
      </c>
      <c r="M118" s="3110">
        <f t="shared" si="35"/>
        <v>0.80359999999999998</v>
      </c>
      <c r="N118" s="3098"/>
    </row>
    <row r="119" spans="1:14">
      <c r="A119" s="3058" t="s">
        <v>3327</v>
      </c>
      <c r="B119" s="3090">
        <f>ROUND(0.993-0.0112*B116,4)</f>
        <v>0.96499999999999997</v>
      </c>
      <c r="C119" s="3090">
        <f>B119</f>
        <v>0.96499999999999997</v>
      </c>
      <c r="D119" s="3090">
        <f>ROUND(0.9415-0.0142*B116,4)</f>
        <v>0.90600000000000003</v>
      </c>
      <c r="E119" s="3090">
        <f t="shared" ref="E119:H120" si="36">D119</f>
        <v>0.90600000000000003</v>
      </c>
      <c r="F119" s="3090">
        <f t="shared" si="36"/>
        <v>0.90600000000000003</v>
      </c>
      <c r="G119" s="3090">
        <f t="shared" si="36"/>
        <v>0.90600000000000003</v>
      </c>
      <c r="H119" s="3090">
        <f t="shared" si="36"/>
        <v>0.90600000000000003</v>
      </c>
      <c r="I119" s="3090">
        <f>ROUND(0.838-0.0182*B116,4)</f>
        <v>0.79249999999999998</v>
      </c>
      <c r="J119" s="3090">
        <f t="shared" si="35"/>
        <v>0.79249999999999998</v>
      </c>
      <c r="K119" s="3090">
        <f t="shared" si="35"/>
        <v>0.79249999999999998</v>
      </c>
      <c r="L119" s="3090">
        <f t="shared" si="35"/>
        <v>0.79249999999999998</v>
      </c>
      <c r="M119" s="3110">
        <f t="shared" si="35"/>
        <v>0.79249999999999998</v>
      </c>
      <c r="N119" s="3098"/>
    </row>
    <row r="120" spans="1:14">
      <c r="A120" s="3058" t="s">
        <v>3328</v>
      </c>
      <c r="B120" s="3090">
        <f>ROUND(0.9448-0.0115*B116,4)</f>
        <v>0.91610000000000003</v>
      </c>
      <c r="C120" s="3090">
        <f>B120</f>
        <v>0.91610000000000003</v>
      </c>
      <c r="D120" s="3090">
        <f>ROUND(0.937-0.0145*B116,4)</f>
        <v>0.90080000000000005</v>
      </c>
      <c r="E120" s="3090">
        <f t="shared" si="36"/>
        <v>0.90080000000000005</v>
      </c>
      <c r="F120" s="3090">
        <f t="shared" si="36"/>
        <v>0.90080000000000005</v>
      </c>
      <c r="G120" s="3090">
        <f t="shared" si="36"/>
        <v>0.90080000000000005</v>
      </c>
      <c r="H120" s="3090">
        <f t="shared" si="36"/>
        <v>0.90080000000000005</v>
      </c>
      <c r="I120" s="3090">
        <f>ROUND(0.7965-0.0185*B116,4)</f>
        <v>0.75029999999999997</v>
      </c>
      <c r="J120" s="3090">
        <f t="shared" si="35"/>
        <v>0.75029999999999997</v>
      </c>
      <c r="K120" s="3090">
        <f t="shared" si="35"/>
        <v>0.75029999999999997</v>
      </c>
      <c r="L120" s="3090">
        <f t="shared" si="35"/>
        <v>0.75029999999999997</v>
      </c>
      <c r="M120" s="3110">
        <f t="shared" si="35"/>
        <v>0.75029999999999997</v>
      </c>
      <c r="N120" s="3098"/>
    </row>
    <row r="121" spans="1:14" ht="13.5" thickBot="1">
      <c r="A121" s="3111" t="s">
        <v>3329</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5"/>
        <v>0.54300000000000004</v>
      </c>
      <c r="K121" s="3112">
        <f t="shared" si="35"/>
        <v>0.54300000000000004</v>
      </c>
      <c r="L121" s="3112">
        <f t="shared" si="35"/>
        <v>0.54300000000000004</v>
      </c>
      <c r="M121" s="3113">
        <f t="shared" si="35"/>
        <v>0.54300000000000004</v>
      </c>
      <c r="N121" s="3098"/>
    </row>
    <row r="122" spans="1:14">
      <c r="A122" s="3114" t="s">
        <v>2612</v>
      </c>
      <c r="B122" s="3090">
        <f>ROUND(0.9404-0.0106*B116,4)</f>
        <v>0.91390000000000005</v>
      </c>
      <c r="C122" s="3090">
        <f>B122</f>
        <v>0.91390000000000005</v>
      </c>
      <c r="D122" s="3090">
        <f>ROUND(0.8955-0.0135*B116,4)</f>
        <v>0.86180000000000001</v>
      </c>
      <c r="E122" s="3090">
        <f t="shared" ref="E122:H122" si="37">D122</f>
        <v>0.86180000000000001</v>
      </c>
      <c r="F122" s="3090">
        <f t="shared" si="37"/>
        <v>0.86180000000000001</v>
      </c>
      <c r="G122" s="3090">
        <f t="shared" si="37"/>
        <v>0.86180000000000001</v>
      </c>
      <c r="H122" s="3090">
        <f t="shared" si="37"/>
        <v>0.86180000000000001</v>
      </c>
      <c r="I122" s="3090">
        <f>ROUND(0.7632-0.0166*B116,4)</f>
        <v>0.72170000000000001</v>
      </c>
      <c r="J122" s="3090">
        <f t="shared" si="35"/>
        <v>0.72170000000000001</v>
      </c>
      <c r="K122" s="3090">
        <f t="shared" si="35"/>
        <v>0.72170000000000001</v>
      </c>
      <c r="L122" s="3090">
        <f t="shared" si="35"/>
        <v>0.72170000000000001</v>
      </c>
      <c r="M122" s="3110">
        <f t="shared" si="35"/>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17" priority="6" stopIfTrue="1" operator="notEqual">
      <formula>"——"</formula>
    </cfRule>
  </conditionalFormatting>
  <conditionalFormatting sqref="F61">
    <cfRule type="cellIs" dxfId="116" priority="5" stopIfTrue="1" operator="notEqual">
      <formula>"——"</formula>
    </cfRule>
  </conditionalFormatting>
  <conditionalFormatting sqref="F72">
    <cfRule type="cellIs" dxfId="115" priority="4" stopIfTrue="1" operator="notEqual">
      <formula>"——"</formula>
    </cfRule>
  </conditionalFormatting>
  <conditionalFormatting sqref="F83">
    <cfRule type="cellIs" dxfId="114" priority="3" stopIfTrue="1" operator="notEqual">
      <formula>"——"</formula>
    </cfRule>
  </conditionalFormatting>
  <conditionalFormatting sqref="H50:H58 H61:H69 H72:H80 H83:H91">
    <cfRule type="cellIs" dxfId="113" priority="2" operator="notEqual">
      <formula>"——"</formula>
    </cfRule>
  </conditionalFormatting>
  <conditionalFormatting sqref="H93:H101">
    <cfRule type="cellIs" dxfId="112" priority="1" operator="notEqual">
      <formula>"——"</formula>
    </cfRule>
  </conditionalFormatting>
  <dataValidations count="11">
    <dataValidation type="list" allowBlank="1" showInputMessage="1" showErrorMessage="1" sqref="E15" xr:uid="{00000000-0002-0000-1800-000000000000}">
      <formula1>"500米范围内,500-1000米,1000米以外"</formula1>
    </dataValidation>
    <dataValidation type="list" allowBlank="1" showInputMessage="1" showErrorMessage="1" sqref="C15:D15" xr:uid="{00000000-0002-0000-1800-000001000000}">
      <formula1>"有,无"</formula1>
    </dataValidation>
    <dataValidation type="list" allowBlank="1" showInputMessage="1" showErrorMessage="1" sqref="B25" xr:uid="{00000000-0002-0000-1800-000002000000}">
      <formula1>"容积率修正,楼层修正"</formula1>
    </dataValidation>
    <dataValidation type="list" allowBlank="1" showInputMessage="1" showErrorMessage="1" sqref="F21" xr:uid="{00000000-0002-0000-1800-000003000000}">
      <formula1>"与级别开发程度一致,与级别开发程度不一致"</formula1>
    </dataValidation>
    <dataValidation type="list" allowBlank="1" showInputMessage="1" showErrorMessage="1" sqref="F3" xr:uid="{00000000-0002-0000-1800-000004000000}">
      <formula1>"宗地容积率,估价对象容积率,自定义容积率"</formula1>
    </dataValidation>
    <dataValidation type="list" allowBlank="1" showInputMessage="1" showErrorMessage="1" sqref="C8" xr:uid="{00000000-0002-0000-1800-000005000000}">
      <formula1>商业街名称</formula1>
    </dataValidation>
    <dataValidation type="list" allowBlank="1" showInputMessage="1" showErrorMessage="1" sqref="E3" xr:uid="{00000000-0002-0000-1800-000006000000}">
      <formula1>INDIRECT(E2)</formula1>
    </dataValidation>
    <dataValidation type="list" allowBlank="1" showInputMessage="1" showErrorMessage="1" sqref="C61:C69 C72:C80 C50:C58 C83:C91 C93:C101" xr:uid="{00000000-0002-0000-1800-000007000000}">
      <formula1>五等判定</formula1>
    </dataValidation>
    <dataValidation type="list" allowBlank="1" showInputMessage="1" showErrorMessage="1" sqref="H23" xr:uid="{00000000-0002-0000-1800-000008000000}">
      <formula1>"地价指数,季度增幅（自定义）,按公示增长率计算"</formula1>
    </dataValidation>
    <dataValidation type="list" allowBlank="1" showInputMessage="1" showErrorMessage="1" sqref="H20:O20" xr:uid="{00000000-0002-0000-1800-000009000000}">
      <formula1>七通一平</formula1>
    </dataValidation>
    <dataValidation type="list" allowBlank="1" showInputMessage="1" showErrorMessage="1" sqref="J23" xr:uid="{00000000-0002-0000-18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800-00000B000000}">
          <x14:formula1>
            <xm:f>定义!$X$1:$AB$1</xm:f>
          </x14:formula1>
          <xm:sqref>E2</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
  <sheetViews>
    <sheetView workbookViewId="0">
      <selection sqref="A1:D12"/>
    </sheetView>
  </sheetViews>
  <sheetFormatPr defaultRowHeight="13.5"/>
  <sheetData/>
  <phoneticPr fontId="13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
  <sheetViews>
    <sheetView workbookViewId="0">
      <selection activeCell="F38" sqref="F38"/>
    </sheetView>
  </sheetViews>
  <sheetFormatPr defaultRowHeight="13.5"/>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-364</v>
      </c>
      <c r="C2" s="268" t="s">
        <v>1595</v>
      </c>
      <c r="D2" s="268"/>
      <c r="E2" s="2568"/>
      <c r="F2" s="2568"/>
      <c r="G2" s="2568"/>
      <c r="H2" s="2568"/>
      <c r="I2" s="2568"/>
      <c r="J2" s="2568"/>
      <c r="K2" s="2568"/>
    </row>
    <row r="3" spans="1:33" ht="18" customHeight="1" thickBot="1">
      <c r="A3" s="195" t="s">
        <v>1464</v>
      </c>
      <c r="B3" s="196">
        <f ca="1">ROUND(B2*10000/IF(C1="",'数据-汇总表'!E3,INDIRECT("'数据-取费表'!K"&amp;$K$1)),0)</f>
        <v>-218</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16683.080000000002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16683.080000000002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334</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334</v>
      </c>
      <c r="D20" s="796">
        <f ca="1">IF(C1="",'数据-汇总表'!E6,IF(INDIRECT("'数据-取费表'!c"&amp;$K$1)="住宅",INDIRECT("'数据-取费表'!s"&amp;$K$1),INDIRECT("'数据-取费表'!k"&amp;$K$1)+INDIRECT("'数据-取费表'!s"&amp;$K$1)))</f>
        <v>16683.080000000002</v>
      </c>
      <c r="E20" s="21">
        <f>'数据-取费表'!B28</f>
        <v>200</v>
      </c>
      <c r="F20" s="756"/>
      <c r="G20" s="12"/>
      <c r="H20" s="761"/>
      <c r="I20" s="761"/>
      <c r="J20" s="761"/>
      <c r="K20" s="762"/>
    </row>
    <row r="21" spans="1:33" s="755" customFormat="1" ht="13.5" customHeight="1">
      <c r="A21" s="744" t="s">
        <v>357</v>
      </c>
      <c r="B21" s="765" t="s">
        <v>1628</v>
      </c>
      <c r="C21" s="766">
        <f ca="1">C16+C17+C18</f>
        <v>334</v>
      </c>
      <c r="D21" s="767"/>
      <c r="E21" s="273"/>
      <c r="F21" s="273"/>
      <c r="G21" s="123" t="s">
        <v>1629</v>
      </c>
      <c r="H21" s="759"/>
      <c r="I21" s="759"/>
      <c r="J21" s="759"/>
      <c r="K21" s="760"/>
    </row>
    <row r="22" spans="1:33" s="755" customFormat="1" ht="13.5" customHeight="1">
      <c r="A22" s="744" t="s">
        <v>1601</v>
      </c>
      <c r="B22" s="765" t="s">
        <v>1630</v>
      </c>
      <c r="C22" s="766">
        <f ca="1">ROUND(C21*F22,0)</f>
        <v>7</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3.0599999999999999E-2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34</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34</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-364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B00-000000000000}">
      <formula1>项目类型</formula1>
    </dataValidation>
    <dataValidation type="list" allowBlank="1" showInputMessage="1" showErrorMessage="1" sqref="G18" xr:uid="{00000000-0002-0000-1B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tabColor rgb="FF92D050"/>
  </sheetPr>
  <dimension ref="A1:AK83"/>
  <sheetViews>
    <sheetView view="pageBreakPreview" topLeftCell="A10" zoomScale="70" zoomScaleNormal="70" zoomScaleSheetLayoutView="70" workbookViewId="0">
      <selection activeCell="H44" sqref="H4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42" t="s">
        <v>694</v>
      </c>
      <c r="C6" s="1011">
        <f ca="1">ROUND(F6*F8*F7*(1-F9)/10000,0)</f>
        <v>0</v>
      </c>
      <c r="D6" s="147" t="s">
        <v>2109</v>
      </c>
      <c r="E6" s="294" t="s">
        <v>696</v>
      </c>
      <c r="F6" s="295">
        <f ca="1">INDIRECT("'数据-取费表'!u"&amp;$G$1)</f>
        <v>0</v>
      </c>
      <c r="G6" s="1292"/>
      <c r="H6" s="1006" t="s">
        <v>398</v>
      </c>
      <c r="I6" s="3442" t="s">
        <v>694</v>
      </c>
      <c r="J6" s="293">
        <f ca="1">ROUND(M6*M8*M7*(1-M9)/10000,0)</f>
        <v>0</v>
      </c>
      <c r="K6" s="147" t="s">
        <v>2108</v>
      </c>
      <c r="L6" s="294" t="s">
        <v>696</v>
      </c>
      <c r="M6" s="295">
        <f ca="1">INDIRECT("'数据-取费表'!z"&amp;$G$1)</f>
        <v>0</v>
      </c>
    </row>
    <row r="7" spans="1:37" ht="18" customHeight="1">
      <c r="A7" s="1010"/>
      <c r="B7" s="3443"/>
      <c r="C7" s="1012"/>
      <c r="D7" s="299"/>
      <c r="E7" s="1013" t="s">
        <v>697</v>
      </c>
      <c r="F7" s="295">
        <f ca="1">IF(INDIRECT("'数据-取费表'!ah"&amp;$G$1)="",INDIRECT("'数据-取费表'!k"&amp;$G$1),INDIRECT("'数据-取费表'!ah"&amp;$G$1))</f>
        <v>0</v>
      </c>
      <c r="G7" s="1292"/>
      <c r="H7" s="296"/>
      <c r="I7" s="3443"/>
      <c r="J7" s="298"/>
      <c r="K7" s="299"/>
      <c r="L7" s="294" t="s">
        <v>697</v>
      </c>
      <c r="M7" s="295">
        <f ca="1">F7</f>
        <v>0</v>
      </c>
    </row>
    <row r="8" spans="1:37" ht="18" customHeight="1">
      <c r="A8" s="296"/>
      <c r="B8" s="3443"/>
      <c r="C8" s="298"/>
      <c r="D8" s="299"/>
      <c r="E8" s="294" t="s">
        <v>698</v>
      </c>
      <c r="F8" s="295">
        <f ca="1">INDIRECT("'数据-取费表'!ai"&amp;$G$1)</f>
        <v>0</v>
      </c>
      <c r="G8" s="1292"/>
      <c r="H8" s="296"/>
      <c r="I8" s="3443"/>
      <c r="J8" s="298"/>
      <c r="K8" s="299"/>
      <c r="L8" s="294" t="s">
        <v>698</v>
      </c>
      <c r="M8" s="295">
        <f ca="1">INDIRECT("'数据-取费表'!ai"&amp;$G$1)</f>
        <v>0</v>
      </c>
    </row>
    <row r="9" spans="1:37" ht="18" customHeight="1">
      <c r="A9" s="296"/>
      <c r="B9" s="3444"/>
      <c r="C9" s="298"/>
      <c r="D9" s="299"/>
      <c r="E9" s="294" t="s">
        <v>699</v>
      </c>
      <c r="F9" s="304">
        <f ca="1">INDIRECT("'数据-取费表'!w"&amp;$G$1)</f>
        <v>0</v>
      </c>
      <c r="G9" s="1292"/>
      <c r="H9" s="296"/>
      <c r="I9" s="34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40" t="s">
        <v>837</v>
      </c>
      <c r="L53" s="344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C00-000000000000}">
      <formula1>"按租金收入计税,按房产原值计税"</formula1>
    </dataValidation>
    <dataValidation type="list" allowBlank="1" showInputMessage="1" showErrorMessage="1" sqref="D33 D61" xr:uid="{00000000-0002-0000-1C00-000001000000}">
      <formula1>"按租金收入计税,按房产原值计税,按票据"</formula1>
    </dataValidation>
    <dataValidation type="list" allowBlank="1" showInputMessage="1" showErrorMessage="1" sqref="C1" xr:uid="{00000000-0002-0000-1C00-000002000000}">
      <formula1>项目类型</formula1>
    </dataValidation>
    <dataValidation type="list" allowBlank="1" showInputMessage="1" showErrorMessage="1" sqref="J47" xr:uid="{00000000-0002-0000-1C00-000003000000}">
      <formula1>"钢,钢混,砖混"</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56" xr:uid="{00000000-0002-0000-1C00-000005000000}">
      <formula1>估价范围判定</formula1>
    </dataValidation>
    <dataValidation type="list" allowBlank="1" showInputMessage="1" showErrorMessage="1" sqref="L55" xr:uid="{00000000-0002-0000-1C00-000006000000}">
      <formula1>"比较法,基准地价,收益还原"</formula1>
    </dataValidation>
    <dataValidation type="list" allowBlank="1" showInputMessage="1" showErrorMessage="1" sqref="M10 F10 F53"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估价对象为房地产，为所有。根据《国有土地使用证》[]，估价对象（分摊）出让国有建设用地使用权面积为6666.7平方米，建筑面积为16683.08平方米。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估价对象为房地产,属开发建设的，该项目尚在开发建设中。根据《国有土地使用证》[]，估价对象（分摊）出让国有建设用地使用权面积为6666.7平方米，规划建筑面积为16683.08平方米。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2025年10月22日（评估专业人员实地查勘之日）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本次估价的“房地产价值”是指在正常市场情况下，在价值时点2025年10月22日，估价对象规划用途为，土地取得方式为划拨，假定未设立法定优先受偿款下的房地产市场价值。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83"/>
  <sheetViews>
    <sheetView view="pageBreakPreview" zoomScaleNormal="70" zoomScaleSheetLayoutView="100" workbookViewId="0">
      <selection activeCell="C38" sqref="C3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42" t="s">
        <v>694</v>
      </c>
      <c r="C6" s="1011">
        <f ca="1">ROUND(F6*F8*F7*(1-F9),0)</f>
        <v>0</v>
      </c>
      <c r="D6" s="147" t="s">
        <v>2106</v>
      </c>
      <c r="E6" s="294" t="s">
        <v>696</v>
      </c>
      <c r="F6" s="295">
        <f ca="1">INDIRECT("'数据-取费表'!u"&amp;$G$1)</f>
        <v>0</v>
      </c>
      <c r="G6" s="1292"/>
      <c r="H6" s="1006" t="s">
        <v>398</v>
      </c>
      <c r="I6" s="3442" t="s">
        <v>694</v>
      </c>
      <c r="J6" s="293">
        <f ca="1">ROUND(M6*M8*M7*(1-M9),0)</f>
        <v>0</v>
      </c>
      <c r="K6" s="1284" t="s">
        <v>2107</v>
      </c>
      <c r="L6" s="294" t="s">
        <v>696</v>
      </c>
      <c r="M6" s="295">
        <f ca="1">INDIRECT("'数据-取费表'!z"&amp;$G$1)</f>
        <v>0</v>
      </c>
    </row>
    <row r="7" spans="1:37" ht="18" customHeight="1">
      <c r="A7" s="1010"/>
      <c r="B7" s="3443"/>
      <c r="C7" s="1012"/>
      <c r="D7" s="299"/>
      <c r="E7" s="1013" t="s">
        <v>697</v>
      </c>
      <c r="F7" s="295">
        <f ca="1">IF(INDIRECT("'数据-取费表'!ah"&amp;$G$1)="",INDIRECT("'数据-取费表'!k"&amp;$G$1),INDIRECT("'数据-取费表'!ah"&amp;$G$1))</f>
        <v>0</v>
      </c>
      <c r="G7" s="1292"/>
      <c r="H7" s="296"/>
      <c r="I7" s="3443"/>
      <c r="J7" s="298"/>
      <c r="K7" s="299"/>
      <c r="L7" s="294" t="s">
        <v>697</v>
      </c>
      <c r="M7" s="295">
        <f ca="1">F7</f>
        <v>0</v>
      </c>
    </row>
    <row r="8" spans="1:37" ht="18" customHeight="1">
      <c r="A8" s="296"/>
      <c r="B8" s="3443"/>
      <c r="C8" s="298"/>
      <c r="D8" s="299"/>
      <c r="E8" s="294" t="s">
        <v>698</v>
      </c>
      <c r="F8" s="295">
        <f ca="1">INDIRECT("'数据-取费表'!ai"&amp;$G$1)</f>
        <v>0</v>
      </c>
      <c r="G8" s="1292"/>
      <c r="H8" s="296"/>
      <c r="I8" s="3443"/>
      <c r="J8" s="298"/>
      <c r="K8" s="299"/>
      <c r="L8" s="294" t="s">
        <v>698</v>
      </c>
      <c r="M8" s="295">
        <f ca="1">INDIRECT("'数据-取费表'!ai"&amp;$G$1)</f>
        <v>0</v>
      </c>
    </row>
    <row r="9" spans="1:37" ht="18" customHeight="1">
      <c r="A9" s="296"/>
      <c r="B9" s="3444"/>
      <c r="C9" s="298"/>
      <c r="D9" s="299"/>
      <c r="E9" s="294" t="s">
        <v>699</v>
      </c>
      <c r="F9" s="304">
        <f ca="1">INDIRECT("'数据-取费表'!w"&amp;$G$1)</f>
        <v>0</v>
      </c>
      <c r="G9" s="1292"/>
      <c r="H9" s="296"/>
      <c r="I9" s="344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3.0599999999999999E-2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3349</v>
      </c>
      <c r="B45" s="1307"/>
      <c r="C45" s="1376" t="e">
        <f ca="1">ROUND((C68-C40)/10000,4)</f>
        <v>#DIV/0!</v>
      </c>
      <c r="D45" s="3131" t="s">
        <v>3350</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40" t="s">
        <v>837</v>
      </c>
      <c r="L53" s="3441"/>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06" priority="3">
      <formula>$F$10="自定义"</formula>
    </cfRule>
  </conditionalFormatting>
  <conditionalFormatting sqref="C54">
    <cfRule type="expression" dxfId="105" priority="1">
      <formula>$F$53="自定义"</formula>
    </cfRule>
  </conditionalFormatting>
  <conditionalFormatting sqref="I55 I60">
    <cfRule type="expression" dxfId="104" priority="5">
      <formula>$J$51&gt;$L$48</formula>
    </cfRule>
  </conditionalFormatting>
  <conditionalFormatting sqref="J11">
    <cfRule type="expression" dxfId="103" priority="2">
      <formula>$M$10="自定义"</formula>
    </cfRule>
  </conditionalFormatting>
  <conditionalFormatting sqref="K55 K60">
    <cfRule type="expression" dxfId="102" priority="4">
      <formula>$L$48&gt;$J$51</formula>
    </cfRule>
  </conditionalFormatting>
  <dataValidations count="9">
    <dataValidation type="list" allowBlank="1" showInputMessage="1" showErrorMessage="1" sqref="L55" xr:uid="{00000000-0002-0000-1D00-000000000000}">
      <formula1>"比较法,基准地价,收益还原"</formula1>
    </dataValidation>
    <dataValidation type="list" allowBlank="1" showInputMessage="1" showErrorMessage="1" sqref="J56" xr:uid="{00000000-0002-0000-1D00-000001000000}">
      <formula1>估价范围判定</formula1>
    </dataValidation>
    <dataValidation type="list" allowBlank="1" showInputMessage="1" showErrorMessage="1" sqref="J48" xr:uid="{00000000-0002-0000-1D00-000002000000}">
      <formula1>"非生产用房,生产用房,受腐蚀的生产用房"</formula1>
    </dataValidation>
    <dataValidation type="list" allowBlank="1" showInputMessage="1" showErrorMessage="1" sqref="J47" xr:uid="{00000000-0002-0000-1D00-000003000000}">
      <formula1>"钢,钢混,砖混"</formula1>
    </dataValidation>
    <dataValidation type="list" allowBlank="1" showInputMessage="1" showErrorMessage="1" sqref="C1" xr:uid="{00000000-0002-0000-1D00-000004000000}">
      <formula1>项目类型</formula1>
    </dataValidation>
    <dataValidation type="list" allowBlank="1" showInputMessage="1" showErrorMessage="1" sqref="D33 D61" xr:uid="{00000000-0002-0000-1D00-000005000000}">
      <formula1>"按租金收入计税,按房产原值计税,按票据"</formula1>
    </dataValidation>
    <dataValidation type="list" allowBlank="1" showInputMessage="1" showErrorMessage="1" sqref="K19" xr:uid="{00000000-0002-0000-1D00-000006000000}">
      <formula1>"按租金收入计税,按房产原值计税"</formula1>
    </dataValidation>
    <dataValidation type="list" allowBlank="1" showInputMessage="1" showErrorMessage="1" sqref="F10 F53 M10" xr:uid="{00000000-0002-0000-1D00-000007000000}">
      <formula1>"押一,押二,押三,自定义"</formula1>
    </dataValidation>
    <dataValidation type="list" allowBlank="1" showInputMessage="1" showErrorMessage="1" sqref="D1" xr:uid="{00000000-0002-0000-1D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9" t="s">
        <v>3356</v>
      </c>
      <c r="E2" s="3140"/>
      <c r="F2" s="2598"/>
      <c r="G2" s="2599"/>
      <c r="H2" s="2600"/>
      <c r="I2" s="2601"/>
      <c r="J2" s="3445" t="s">
        <v>2317</v>
      </c>
      <c r="K2" s="3446"/>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447" t="s">
        <v>2327</v>
      </c>
      <c r="K3" s="3448"/>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447" t="s">
        <v>2329</v>
      </c>
      <c r="K4" s="3448"/>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49" t="s">
        <v>2333</v>
      </c>
      <c r="B6" s="3450"/>
      <c r="C6" s="3451"/>
      <c r="D6" s="2622"/>
      <c r="E6" s="2623"/>
      <c r="F6" s="2624"/>
      <c r="G6" s="2625"/>
      <c r="H6" s="2600"/>
      <c r="I6" s="2601"/>
      <c r="J6" s="3452">
        <v>1</v>
      </c>
      <c r="K6" s="3453"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452"/>
      <c r="K7" s="3454"/>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56" t="s">
        <v>2347</v>
      </c>
      <c r="C8" s="3457"/>
      <c r="D8" s="2641" t="s">
        <v>2348</v>
      </c>
      <c r="E8" s="2642" t="s">
        <v>2349</v>
      </c>
      <c r="F8" s="2643" t="s">
        <v>2350</v>
      </c>
      <c r="G8" s="2644"/>
      <c r="H8" s="2600"/>
      <c r="I8" s="2601"/>
      <c r="J8" s="3452"/>
      <c r="K8" s="3454"/>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56" t="s">
        <v>2353</v>
      </c>
      <c r="C9" s="3457"/>
      <c r="D9" s="2641">
        <f>ROUND(D6*E9,0)</f>
        <v>0</v>
      </c>
      <c r="E9" s="2645"/>
      <c r="F9" s="2646" t="s">
        <v>2354</v>
      </c>
      <c r="G9" s="2625"/>
      <c r="H9" s="2600"/>
      <c r="I9" s="2601"/>
      <c r="J9" s="3452"/>
      <c r="K9" s="3454"/>
      <c r="L9" s="2635" t="s">
        <v>2355</v>
      </c>
      <c r="M9" s="2636"/>
      <c r="N9" s="2612"/>
      <c r="O9" s="2637"/>
      <c r="P9" s="2637"/>
      <c r="Q9" s="2638">
        <v>365</v>
      </c>
      <c r="R9" s="2639">
        <f t="shared" si="0"/>
        <v>0</v>
      </c>
      <c r="S9" s="2593"/>
      <c r="T9" s="2593"/>
      <c r="U9" s="2593"/>
      <c r="V9" s="2601"/>
    </row>
    <row r="10" spans="1:22" s="2605" customFormat="1" ht="13.15" customHeight="1">
      <c r="A10" s="2640">
        <v>2</v>
      </c>
      <c r="B10" s="3456" t="s">
        <v>2356</v>
      </c>
      <c r="C10" s="3457"/>
      <c r="D10" s="2641">
        <f>ROUND(D6*E10,0)</f>
        <v>0</v>
      </c>
      <c r="E10" s="2645"/>
      <c r="F10" s="2646" t="s">
        <v>2357</v>
      </c>
      <c r="G10" s="2625"/>
      <c r="H10" s="2600"/>
      <c r="I10" s="2601"/>
      <c r="J10" s="3452"/>
      <c r="K10" s="3454"/>
      <c r="L10" s="2635" t="s">
        <v>2358</v>
      </c>
      <c r="M10" s="2636"/>
      <c r="N10" s="2612"/>
      <c r="O10" s="2637"/>
      <c r="P10" s="2637"/>
      <c r="Q10" s="2638">
        <v>365</v>
      </c>
      <c r="R10" s="2639">
        <f t="shared" si="0"/>
        <v>0</v>
      </c>
      <c r="S10" s="2593"/>
      <c r="T10" s="2593"/>
      <c r="U10" s="2593"/>
      <c r="V10" s="2601"/>
    </row>
    <row r="11" spans="1:22" s="2605" customFormat="1" ht="13.15" customHeight="1">
      <c r="A11" s="2640">
        <v>3</v>
      </c>
      <c r="B11" s="3456" t="s">
        <v>2359</v>
      </c>
      <c r="C11" s="3457"/>
      <c r="D11" s="2641">
        <f>D12+D14+D15+D16</f>
        <v>0</v>
      </c>
      <c r="E11" s="2647" t="e">
        <f>D11/D6</f>
        <v>#DIV/0!</v>
      </c>
      <c r="F11" s="2643"/>
      <c r="G11" s="2644"/>
      <c r="H11" s="2600"/>
      <c r="I11" s="2601"/>
      <c r="J11" s="3452"/>
      <c r="K11" s="3454"/>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58" t="s">
        <v>2362</v>
      </c>
      <c r="C12" s="3459"/>
      <c r="D12" s="2649">
        <f>ROUND(D13*1.2%*(1-30%),0)</f>
        <v>0</v>
      </c>
      <c r="E12" s="2650">
        <v>1.2E-2</v>
      </c>
      <c r="F12" s="2643" t="s">
        <v>2363</v>
      </c>
      <c r="G12" s="2644"/>
      <c r="H12" s="2600"/>
      <c r="I12" s="2601"/>
      <c r="J12" s="3452"/>
      <c r="K12" s="3454"/>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452"/>
      <c r="K13" s="3454"/>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58" t="s">
        <v>2368</v>
      </c>
      <c r="C14" s="3459"/>
      <c r="D14" s="2649">
        <f>ROUND(E14*B5/10000,0)</f>
        <v>0</v>
      </c>
      <c r="E14" s="2638"/>
      <c r="F14" s="2643" t="s">
        <v>2369</v>
      </c>
      <c r="G14" s="2644"/>
      <c r="H14" s="2600"/>
      <c r="I14" s="2601"/>
      <c r="J14" s="3452"/>
      <c r="K14" s="3455"/>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58" t="s">
        <v>2372</v>
      </c>
      <c r="C15" s="3459"/>
      <c r="D15" s="2649">
        <f>ROUND(D6*E15,0)</f>
        <v>0</v>
      </c>
      <c r="E15" s="2650">
        <v>5.5E-2</v>
      </c>
      <c r="F15" s="2643" t="s">
        <v>2373</v>
      </c>
      <c r="G15" s="2625"/>
      <c r="H15" s="2600"/>
      <c r="I15" s="2601"/>
      <c r="J15" s="3452">
        <v>2</v>
      </c>
      <c r="K15" s="3453"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58" t="s">
        <v>2381</v>
      </c>
      <c r="C16" s="3459"/>
      <c r="D16" s="2660">
        <f>D6*E16</f>
        <v>0</v>
      </c>
      <c r="E16" s="2661"/>
      <c r="F16" s="2646" t="s">
        <v>2382</v>
      </c>
      <c r="G16" s="2625"/>
      <c r="H16" s="2600"/>
      <c r="I16" s="2601"/>
      <c r="J16" s="3452"/>
      <c r="K16" s="3454"/>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60" t="s">
        <v>2384</v>
      </c>
      <c r="C17" s="3461"/>
      <c r="D17" s="2663">
        <f>ROUND(D6*E17,0)</f>
        <v>0</v>
      </c>
      <c r="E17" s="2664"/>
      <c r="F17" s="2665" t="s">
        <v>2385</v>
      </c>
      <c r="G17" s="2625"/>
      <c r="H17" s="2600"/>
      <c r="I17" s="2601"/>
      <c r="J17" s="3452"/>
      <c r="K17" s="3454"/>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452"/>
      <c r="K18" s="3454"/>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452"/>
      <c r="K19" s="3455"/>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52">
        <v>3</v>
      </c>
      <c r="K20" s="3453"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452"/>
      <c r="K21" s="3454"/>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452"/>
      <c r="K22" s="3454"/>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452"/>
      <c r="K23" s="3454"/>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452"/>
      <c r="K24" s="3455"/>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462">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463"/>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445" t="s">
        <v>2317</v>
      </c>
      <c r="K32" s="3446"/>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447" t="s">
        <v>2327</v>
      </c>
      <c r="K33" s="3448"/>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447" t="s">
        <v>2329</v>
      </c>
      <c r="K34" s="3448"/>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452">
        <v>1</v>
      </c>
      <c r="K36" s="3453"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452"/>
      <c r="K37" s="3454"/>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52"/>
      <c r="K38" s="3454"/>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452"/>
      <c r="K39" s="3454"/>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452"/>
      <c r="K40" s="3455"/>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462">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463"/>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E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1000000}">
      <formula1>"按明细,按比例"</formula1>
    </dataValidation>
    <dataValidation type="list" allowBlank="1" showInputMessage="1" showErrorMessage="1" sqref="D2" xr:uid="{00000000-0002-0000-1E00-000002000000}">
      <formula1>"——,需考虑建筑物残值"</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64" t="s">
        <v>1654</v>
      </c>
      <c r="C5" s="3465"/>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F00-000000000000}">
      <formula1>估价范围判定</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16683.080000000002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00" t="s">
        <v>1667</v>
      </c>
      <c r="D4" s="3401"/>
      <c r="E4" s="3402" t="s">
        <v>1668</v>
      </c>
      <c r="F4" s="3403"/>
      <c r="G4" s="3400" t="s">
        <v>1669</v>
      </c>
      <c r="H4" s="3401"/>
      <c r="I4" s="3400" t="s">
        <v>1670</v>
      </c>
      <c r="J4" s="3401"/>
      <c r="K4" s="1744" t="s">
        <v>1671</v>
      </c>
      <c r="L4" s="2487"/>
      <c r="M4" s="2488"/>
      <c r="N4" s="2488"/>
      <c r="O4" s="2488"/>
      <c r="P4" s="3404" t="s">
        <v>1672</v>
      </c>
      <c r="Q4" s="3405"/>
      <c r="R4" s="3387" t="s">
        <v>1668</v>
      </c>
      <c r="S4" s="3388"/>
      <c r="T4" s="3387" t="s">
        <v>1669</v>
      </c>
      <c r="U4" s="3388"/>
      <c r="V4" s="3412" t="s">
        <v>1670</v>
      </c>
      <c r="W4" s="3412"/>
      <c r="X4" s="1265"/>
      <c r="Y4" s="3387" t="s">
        <v>1672</v>
      </c>
      <c r="Z4" s="3388"/>
      <c r="AA4" s="3382" t="s">
        <v>1668</v>
      </c>
      <c r="AB4" s="3382" t="s">
        <v>1669</v>
      </c>
      <c r="AC4" s="3382" t="s">
        <v>1670</v>
      </c>
    </row>
    <row r="5" spans="1:29" ht="15">
      <c r="A5" s="348"/>
      <c r="B5" s="349"/>
      <c r="C5" s="3393" t="s">
        <v>1673</v>
      </c>
      <c r="D5" s="3394"/>
      <c r="E5" s="3391" t="s">
        <v>1674</v>
      </c>
      <c r="F5" s="3392"/>
      <c r="G5" s="3393" t="s">
        <v>1675</v>
      </c>
      <c r="H5" s="3394"/>
      <c r="I5" s="3393" t="s">
        <v>1676</v>
      </c>
      <c r="J5" s="3394"/>
      <c r="K5" s="1745"/>
      <c r="L5" s="2487"/>
      <c r="M5" s="2488"/>
      <c r="N5" s="2488"/>
      <c r="O5" s="2488"/>
      <c r="P5" s="3406"/>
      <c r="Q5" s="3407"/>
      <c r="R5" s="3389"/>
      <c r="S5" s="3390"/>
      <c r="T5" s="3389"/>
      <c r="U5" s="3390"/>
      <c r="V5" s="3412"/>
      <c r="W5" s="3412"/>
      <c r="X5" s="1265"/>
      <c r="Y5" s="3389"/>
      <c r="Z5" s="3390"/>
      <c r="AA5" s="3383"/>
      <c r="AB5" s="3383"/>
      <c r="AC5" s="3383"/>
    </row>
    <row r="6" spans="1:29" ht="15.75" thickBot="1">
      <c r="A6" s="350"/>
      <c r="B6" s="351"/>
      <c r="C6" s="3395" t="s">
        <v>1677</v>
      </c>
      <c r="D6" s="3396"/>
      <c r="E6" s="3397" t="s">
        <v>1677</v>
      </c>
      <c r="F6" s="3398"/>
      <c r="G6" s="3395" t="s">
        <v>1677</v>
      </c>
      <c r="H6" s="3396"/>
      <c r="I6" s="3395" t="s">
        <v>1677</v>
      </c>
      <c r="J6" s="3396"/>
      <c r="K6" s="1745" t="s">
        <v>1678</v>
      </c>
      <c r="L6" s="2487"/>
      <c r="M6" s="2488"/>
      <c r="N6" s="2488"/>
      <c r="O6" s="2488"/>
      <c r="P6" s="3408"/>
      <c r="Q6" s="3409"/>
      <c r="R6" s="3389"/>
      <c r="S6" s="3390"/>
      <c r="T6" s="3410"/>
      <c r="U6" s="3411"/>
      <c r="V6" s="3412"/>
      <c r="W6" s="3412"/>
      <c r="X6" s="1265"/>
      <c r="Y6" s="3410"/>
      <c r="Z6" s="3411"/>
      <c r="AA6" s="3384"/>
      <c r="AB6" s="3384"/>
      <c r="AC6" s="3384"/>
    </row>
    <row r="7" spans="1:29" s="102" customFormat="1" ht="15.75" thickBot="1">
      <c r="A7" s="352" t="s">
        <v>1679</v>
      </c>
      <c r="B7" s="353"/>
      <c r="C7" s="354">
        <f>'数据-取费表'!B2</f>
        <v>45952</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85" t="s">
        <v>1680</v>
      </c>
      <c r="Q7" s="3413"/>
      <c r="R7" s="664" t="s">
        <v>20</v>
      </c>
      <c r="S7" s="665">
        <f t="shared" ref="S7:S15" si="0">F7</f>
        <v>0</v>
      </c>
      <c r="T7" s="664" t="s">
        <v>20</v>
      </c>
      <c r="U7" s="665">
        <f t="shared" ref="U7:U15" si="1">H7</f>
        <v>0</v>
      </c>
      <c r="V7" s="664" t="s">
        <v>20</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85" t="s">
        <v>1683</v>
      </c>
      <c r="Q8" s="3386"/>
      <c r="R8" s="664" t="s">
        <v>20</v>
      </c>
      <c r="S8" s="665">
        <f t="shared" si="0"/>
        <v>100</v>
      </c>
      <c r="T8" s="664" t="s">
        <v>20</v>
      </c>
      <c r="U8" s="665">
        <f t="shared" si="1"/>
        <v>100</v>
      </c>
      <c r="V8" s="664" t="s">
        <v>20</v>
      </c>
      <c r="W8" s="665">
        <f t="shared" si="2"/>
        <v>100</v>
      </c>
      <c r="X8" s="666"/>
      <c r="Y8" s="3385" t="s">
        <v>1683</v>
      </c>
      <c r="Z8" s="338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66"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66"/>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66"/>
      <c r="Q11" s="530" t="str">
        <f t="shared" si="6"/>
        <v>容积率</v>
      </c>
      <c r="R11" s="664" t="s">
        <v>18</v>
      </c>
      <c r="S11" s="665" t="e">
        <f t="shared" si="0"/>
        <v>#N/A</v>
      </c>
      <c r="T11" s="664" t="s">
        <v>18</v>
      </c>
      <c r="U11" s="665" t="e">
        <f t="shared" si="1"/>
        <v>#N/A</v>
      </c>
      <c r="V11" s="664" t="s">
        <v>18</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66"/>
      <c r="Q12" s="530">
        <f t="shared" si="6"/>
        <v>111</v>
      </c>
      <c r="R12" s="664" t="s">
        <v>18</v>
      </c>
      <c r="S12" s="665">
        <f t="shared" si="0"/>
        <v>100</v>
      </c>
      <c r="T12" s="664" t="s">
        <v>18</v>
      </c>
      <c r="U12" s="665">
        <f t="shared" si="1"/>
        <v>100</v>
      </c>
      <c r="V12" s="664" t="s">
        <v>18</v>
      </c>
      <c r="W12" s="665">
        <f t="shared" si="2"/>
        <v>100</v>
      </c>
      <c r="X12" s="666"/>
      <c r="Y12" s="33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66"/>
      <c r="Q13" s="530">
        <f t="shared" si="6"/>
        <v>111</v>
      </c>
      <c r="R13" s="664" t="s">
        <v>18</v>
      </c>
      <c r="S13" s="665">
        <f t="shared" si="0"/>
        <v>100</v>
      </c>
      <c r="T13" s="664" t="s">
        <v>18</v>
      </c>
      <c r="U13" s="665">
        <f t="shared" si="1"/>
        <v>100</v>
      </c>
      <c r="V13" s="664" t="s">
        <v>18</v>
      </c>
      <c r="W13" s="665">
        <f t="shared" si="2"/>
        <v>100</v>
      </c>
      <c r="X13" s="666"/>
      <c r="Y13" s="335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66"/>
      <c r="Q14" s="530">
        <f t="shared" si="6"/>
        <v>111</v>
      </c>
      <c r="R14" s="664" t="s">
        <v>18</v>
      </c>
      <c r="S14" s="665">
        <f t="shared" si="0"/>
        <v>100</v>
      </c>
      <c r="T14" s="664" t="s">
        <v>18</v>
      </c>
      <c r="U14" s="665">
        <f t="shared" si="1"/>
        <v>100</v>
      </c>
      <c r="V14" s="664" t="s">
        <v>18</v>
      </c>
      <c r="W14" s="665">
        <f t="shared" si="2"/>
        <v>100</v>
      </c>
      <c r="X14" s="666"/>
      <c r="Y14" s="335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72" t="s">
        <v>1691</v>
      </c>
      <c r="Q15" s="1263" t="str">
        <f t="shared" si="6"/>
        <v>居住社区成熟度</v>
      </c>
      <c r="R15" s="667" t="s">
        <v>18</v>
      </c>
      <c r="S15" s="668">
        <f t="shared" si="0"/>
        <v>100</v>
      </c>
      <c r="T15" s="667" t="s">
        <v>18</v>
      </c>
      <c r="U15" s="668">
        <f t="shared" si="1"/>
        <v>100</v>
      </c>
      <c r="V15" s="667" t="s">
        <v>18</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73"/>
      <c r="Q16" s="1263"/>
      <c r="R16" s="667"/>
      <c r="S16" s="668"/>
      <c r="T16" s="667"/>
      <c r="U16" s="668"/>
      <c r="V16" s="667"/>
      <c r="W16" s="668"/>
      <c r="X16" s="1265"/>
      <c r="Y16" s="3415"/>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73"/>
      <c r="Q17" s="1263" t="str">
        <f>B17</f>
        <v>交通便捷度</v>
      </c>
      <c r="R17" s="667" t="s">
        <v>18</v>
      </c>
      <c r="S17" s="668">
        <f>F17</f>
        <v>100</v>
      </c>
      <c r="T17" s="667" t="s">
        <v>18</v>
      </c>
      <c r="U17" s="668">
        <f>H17</f>
        <v>100</v>
      </c>
      <c r="V17" s="667" t="s">
        <v>18</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73"/>
      <c r="Q18" s="1263"/>
      <c r="R18" s="667"/>
      <c r="S18" s="668"/>
      <c r="T18" s="667"/>
      <c r="U18" s="668"/>
      <c r="V18" s="667"/>
      <c r="W18" s="668"/>
      <c r="X18" s="1265"/>
      <c r="Y18" s="3415"/>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73"/>
      <c r="Q19" s="1263" t="str">
        <f>B19</f>
        <v>公共配套设施</v>
      </c>
      <c r="R19" s="667" t="s">
        <v>18</v>
      </c>
      <c r="S19" s="668">
        <f>F19</f>
        <v>100</v>
      </c>
      <c r="T19" s="667" t="s">
        <v>18</v>
      </c>
      <c r="U19" s="668">
        <f>H19</f>
        <v>100</v>
      </c>
      <c r="V19" s="667" t="s">
        <v>18</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73"/>
      <c r="Q20" s="1263"/>
      <c r="R20" s="667"/>
      <c r="S20" s="668"/>
      <c r="T20" s="667"/>
      <c r="U20" s="668"/>
      <c r="V20" s="667"/>
      <c r="W20" s="668"/>
      <c r="X20" s="1265"/>
      <c r="Y20" s="3415"/>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73"/>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73"/>
      <c r="Q22" s="1263"/>
      <c r="R22" s="667"/>
      <c r="S22" s="668"/>
      <c r="T22" s="667"/>
      <c r="U22" s="668"/>
      <c r="V22" s="667"/>
      <c r="W22" s="668"/>
      <c r="X22" s="1265"/>
      <c r="Y22" s="3415"/>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73"/>
      <c r="Q23" s="1263" t="str">
        <f>B23</f>
        <v>自然及人文环境</v>
      </c>
      <c r="R23" s="667" t="s">
        <v>18</v>
      </c>
      <c r="S23" s="668">
        <f>F23</f>
        <v>100</v>
      </c>
      <c r="T23" s="667" t="s">
        <v>18</v>
      </c>
      <c r="U23" s="668">
        <f>H23</f>
        <v>100</v>
      </c>
      <c r="V23" s="667" t="s">
        <v>18</v>
      </c>
      <c r="W23" s="668">
        <f>J23</f>
        <v>100</v>
      </c>
      <c r="X23" s="1265"/>
      <c r="Y23" s="3415"/>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73"/>
      <c r="Q24" s="1263"/>
      <c r="R24" s="667"/>
      <c r="S24" s="668"/>
      <c r="T24" s="667"/>
      <c r="U24" s="668"/>
      <c r="V24" s="667"/>
      <c r="W24" s="668"/>
      <c r="X24" s="1265"/>
      <c r="Y24" s="3415"/>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7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5"/>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73"/>
      <c r="Q26" s="1263" t="str">
        <f t="shared" si="11"/>
        <v>朝向</v>
      </c>
      <c r="R26" s="667" t="s">
        <v>18</v>
      </c>
      <c r="S26" s="668">
        <f t="shared" si="12"/>
        <v>100</v>
      </c>
      <c r="T26" s="667" t="s">
        <v>18</v>
      </c>
      <c r="U26" s="668">
        <f t="shared" si="13"/>
        <v>100</v>
      </c>
      <c r="V26" s="667" t="s">
        <v>18</v>
      </c>
      <c r="W26" s="668">
        <f t="shared" si="14"/>
        <v>100</v>
      </c>
      <c r="X26" s="1265"/>
      <c r="Y26" s="3415"/>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73"/>
      <c r="Q27" s="530">
        <f t="shared" si="11"/>
        <v>111</v>
      </c>
      <c r="R27" s="664" t="s">
        <v>18</v>
      </c>
      <c r="S27" s="665">
        <f t="shared" si="12"/>
        <v>100</v>
      </c>
      <c r="T27" s="664" t="s">
        <v>18</v>
      </c>
      <c r="U27" s="665">
        <f t="shared" si="13"/>
        <v>100</v>
      </c>
      <c r="V27" s="664" t="s">
        <v>18</v>
      </c>
      <c r="W27" s="665">
        <f t="shared" si="14"/>
        <v>100</v>
      </c>
      <c r="X27" s="666"/>
      <c r="Y27" s="3415"/>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73"/>
      <c r="Q28" s="1263">
        <f t="shared" si="11"/>
        <v>111</v>
      </c>
      <c r="R28" s="667" t="s">
        <v>18</v>
      </c>
      <c r="S28" s="668">
        <f t="shared" si="12"/>
        <v>100</v>
      </c>
      <c r="T28" s="667" t="s">
        <v>18</v>
      </c>
      <c r="U28" s="668">
        <f t="shared" si="13"/>
        <v>100</v>
      </c>
      <c r="V28" s="667" t="s">
        <v>18</v>
      </c>
      <c r="W28" s="668">
        <f t="shared" si="14"/>
        <v>100</v>
      </c>
      <c r="X28" s="1265"/>
      <c r="Y28" s="3415"/>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73"/>
      <c r="Q29" s="1263">
        <f t="shared" si="11"/>
        <v>111</v>
      </c>
      <c r="R29" s="667" t="s">
        <v>18</v>
      </c>
      <c r="S29" s="668">
        <f t="shared" si="12"/>
        <v>100</v>
      </c>
      <c r="T29" s="667" t="s">
        <v>18</v>
      </c>
      <c r="U29" s="668">
        <f t="shared" si="13"/>
        <v>100</v>
      </c>
      <c r="V29" s="667" t="s">
        <v>18</v>
      </c>
      <c r="W29" s="668">
        <f t="shared" si="14"/>
        <v>100</v>
      </c>
      <c r="X29" s="1265"/>
      <c r="Y29" s="3415"/>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73"/>
      <c r="Q30" s="1263">
        <f t="shared" si="11"/>
        <v>111</v>
      </c>
      <c r="R30" s="667" t="s">
        <v>18</v>
      </c>
      <c r="S30" s="668">
        <f t="shared" si="12"/>
        <v>100</v>
      </c>
      <c r="T30" s="667" t="s">
        <v>18</v>
      </c>
      <c r="U30" s="668">
        <f t="shared" si="13"/>
        <v>100</v>
      </c>
      <c r="V30" s="667" t="s">
        <v>18</v>
      </c>
      <c r="W30" s="668">
        <f t="shared" si="14"/>
        <v>100</v>
      </c>
      <c r="X30" s="1265"/>
      <c r="Y30" s="3415"/>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73"/>
      <c r="Q31" s="1263">
        <f t="shared" si="11"/>
        <v>111</v>
      </c>
      <c r="R31" s="667" t="s">
        <v>18</v>
      </c>
      <c r="S31" s="668">
        <f t="shared" si="12"/>
        <v>100</v>
      </c>
      <c r="T31" s="667" t="s">
        <v>18</v>
      </c>
      <c r="U31" s="668">
        <f t="shared" si="13"/>
        <v>100</v>
      </c>
      <c r="V31" s="667" t="s">
        <v>18</v>
      </c>
      <c r="W31" s="668">
        <f t="shared" si="14"/>
        <v>100</v>
      </c>
      <c r="X31" s="1265"/>
      <c r="Y31" s="3415"/>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68" t="s">
        <v>1696</v>
      </c>
      <c r="Q32" s="1263" t="str">
        <f t="shared" si="11"/>
        <v>建筑类型</v>
      </c>
      <c r="R32" s="667" t="s">
        <v>18</v>
      </c>
      <c r="S32" s="668">
        <f t="shared" si="12"/>
        <v>100</v>
      </c>
      <c r="T32" s="667" t="s">
        <v>18</v>
      </c>
      <c r="U32" s="668">
        <f t="shared" si="13"/>
        <v>100</v>
      </c>
      <c r="V32" s="667" t="s">
        <v>18</v>
      </c>
      <c r="W32" s="668">
        <f t="shared" si="14"/>
        <v>100</v>
      </c>
      <c r="X32" s="1265"/>
      <c r="Y32" s="3417"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69"/>
      <c r="Q33" s="531" t="str">
        <f t="shared" si="11"/>
        <v>项目建筑规模</v>
      </c>
      <c r="R33" s="669" t="s">
        <v>18</v>
      </c>
      <c r="S33" s="670" t="e">
        <f t="shared" si="12"/>
        <v>#N/A</v>
      </c>
      <c r="T33" s="669" t="s">
        <v>18</v>
      </c>
      <c r="U33" s="670" t="e">
        <f t="shared" si="13"/>
        <v>#N/A</v>
      </c>
      <c r="V33" s="669" t="s">
        <v>18</v>
      </c>
      <c r="W33" s="670" t="e">
        <f t="shared" si="14"/>
        <v>#N/A</v>
      </c>
      <c r="X33" s="671"/>
      <c r="Y33" s="3417"/>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69"/>
      <c r="Q34" s="1263" t="str">
        <f t="shared" si="11"/>
        <v>建筑结构</v>
      </c>
      <c r="R34" s="667" t="s">
        <v>18</v>
      </c>
      <c r="S34" s="668">
        <f t="shared" si="12"/>
        <v>100</v>
      </c>
      <c r="T34" s="667" t="s">
        <v>18</v>
      </c>
      <c r="U34" s="668">
        <f t="shared" si="13"/>
        <v>100</v>
      </c>
      <c r="V34" s="667" t="s">
        <v>18</v>
      </c>
      <c r="W34" s="668">
        <f t="shared" si="14"/>
        <v>100</v>
      </c>
      <c r="X34" s="1265"/>
      <c r="Y34" s="3417"/>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69"/>
      <c r="Q35" s="1263" t="str">
        <f t="shared" si="11"/>
        <v>建筑品质</v>
      </c>
      <c r="R35" s="667" t="s">
        <v>18</v>
      </c>
      <c r="S35" s="668">
        <f t="shared" si="12"/>
        <v>100</v>
      </c>
      <c r="T35" s="667" t="s">
        <v>18</v>
      </c>
      <c r="U35" s="668">
        <f t="shared" si="13"/>
        <v>100</v>
      </c>
      <c r="V35" s="667" t="s">
        <v>18</v>
      </c>
      <c r="W35" s="668">
        <f t="shared" si="14"/>
        <v>100</v>
      </c>
      <c r="X35" s="1265"/>
      <c r="Y35" s="3417"/>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69"/>
      <c r="Q36" s="1263" t="str">
        <f t="shared" si="11"/>
        <v>公共部分装修</v>
      </c>
      <c r="R36" s="667" t="s">
        <v>18</v>
      </c>
      <c r="S36" s="668">
        <f t="shared" si="12"/>
        <v>100</v>
      </c>
      <c r="T36" s="667" t="s">
        <v>18</v>
      </c>
      <c r="U36" s="668">
        <f t="shared" si="13"/>
        <v>100</v>
      </c>
      <c r="V36" s="667" t="s">
        <v>18</v>
      </c>
      <c r="W36" s="668">
        <f t="shared" si="14"/>
        <v>100</v>
      </c>
      <c r="X36" s="1265"/>
      <c r="Y36" s="3417"/>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69"/>
      <c r="Q37" s="530" t="str">
        <f t="shared" si="11"/>
        <v>成新度</v>
      </c>
      <c r="R37" s="664" t="s">
        <v>18</v>
      </c>
      <c r="S37" s="665" t="e">
        <f t="shared" si="12"/>
        <v>#N/A</v>
      </c>
      <c r="T37" s="664" t="s">
        <v>18</v>
      </c>
      <c r="U37" s="665" t="e">
        <f t="shared" si="13"/>
        <v>#N/A</v>
      </c>
      <c r="V37" s="664" t="s">
        <v>18</v>
      </c>
      <c r="W37" s="665" t="e">
        <f t="shared" si="14"/>
        <v>#N/A</v>
      </c>
      <c r="X37" s="666"/>
      <c r="Y37" s="3417"/>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69" t="s">
        <v>1696</v>
      </c>
      <c r="Q38" s="1263" t="str">
        <f t="shared" si="11"/>
        <v>物业管理</v>
      </c>
      <c r="R38" s="667" t="s">
        <v>18</v>
      </c>
      <c r="S38" s="668">
        <f t="shared" si="12"/>
        <v>100</v>
      </c>
      <c r="T38" s="667" t="s">
        <v>18</v>
      </c>
      <c r="U38" s="668">
        <f t="shared" si="13"/>
        <v>100</v>
      </c>
      <c r="V38" s="667" t="s">
        <v>18</v>
      </c>
      <c r="W38" s="668">
        <f t="shared" si="14"/>
        <v>100</v>
      </c>
      <c r="X38" s="1265"/>
      <c r="Y38" s="3417"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69"/>
      <c r="Q39" s="1263" t="str">
        <f t="shared" si="11"/>
        <v>市政基础设施</v>
      </c>
      <c r="R39" s="667" t="s">
        <v>18</v>
      </c>
      <c r="S39" s="668">
        <f t="shared" si="12"/>
        <v>100</v>
      </c>
      <c r="T39" s="667" t="s">
        <v>18</v>
      </c>
      <c r="U39" s="668">
        <f t="shared" si="13"/>
        <v>100</v>
      </c>
      <c r="V39" s="667" t="s">
        <v>18</v>
      </c>
      <c r="W39" s="668">
        <f t="shared" si="14"/>
        <v>100</v>
      </c>
      <c r="X39" s="1265"/>
      <c r="Y39" s="3417"/>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69"/>
      <c r="Q40" s="1263" t="str">
        <f t="shared" si="11"/>
        <v>房型</v>
      </c>
      <c r="R40" s="667" t="s">
        <v>18</v>
      </c>
      <c r="S40" s="668">
        <f t="shared" si="12"/>
        <v>100</v>
      </c>
      <c r="T40" s="667" t="s">
        <v>18</v>
      </c>
      <c r="U40" s="668">
        <f t="shared" si="13"/>
        <v>100</v>
      </c>
      <c r="V40" s="667" t="s">
        <v>18</v>
      </c>
      <c r="W40" s="668">
        <f t="shared" si="14"/>
        <v>100</v>
      </c>
      <c r="X40" s="1265"/>
      <c r="Y40" s="3417"/>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69"/>
      <c r="Q41" s="531" t="str">
        <f t="shared" si="11"/>
        <v>单套/主力户型建筑面积</v>
      </c>
      <c r="R41" s="669" t="s">
        <v>18</v>
      </c>
      <c r="S41" s="670">
        <f t="shared" si="12"/>
        <v>100</v>
      </c>
      <c r="T41" s="669" t="s">
        <v>18</v>
      </c>
      <c r="U41" s="670">
        <f t="shared" si="13"/>
        <v>100</v>
      </c>
      <c r="V41" s="669" t="s">
        <v>18</v>
      </c>
      <c r="W41" s="670">
        <f t="shared" si="14"/>
        <v>100</v>
      </c>
      <c r="X41" s="671"/>
      <c r="Y41" s="3417"/>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69"/>
      <c r="Q42" s="1263" t="str">
        <f t="shared" si="11"/>
        <v>内部装修</v>
      </c>
      <c r="R42" s="667" t="s">
        <v>18</v>
      </c>
      <c r="S42" s="668">
        <f t="shared" si="12"/>
        <v>100</v>
      </c>
      <c r="T42" s="667" t="s">
        <v>18</v>
      </c>
      <c r="U42" s="668">
        <f t="shared" si="13"/>
        <v>100</v>
      </c>
      <c r="V42" s="667" t="s">
        <v>18</v>
      </c>
      <c r="W42" s="668">
        <f t="shared" si="14"/>
        <v>100</v>
      </c>
      <c r="X42" s="1265"/>
      <c r="Y42" s="3417"/>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69"/>
      <c r="Q43" s="1263" t="str">
        <f t="shared" si="11"/>
        <v>内部装修维护情况</v>
      </c>
      <c r="R43" s="667" t="s">
        <v>18</v>
      </c>
      <c r="S43" s="668">
        <f t="shared" si="12"/>
        <v>100</v>
      </c>
      <c r="T43" s="667" t="s">
        <v>18</v>
      </c>
      <c r="U43" s="668">
        <f t="shared" si="13"/>
        <v>100</v>
      </c>
      <c r="V43" s="667" t="s">
        <v>18</v>
      </c>
      <c r="W43" s="668">
        <f t="shared" si="14"/>
        <v>100</v>
      </c>
      <c r="X43" s="1265"/>
      <c r="Y43" s="3417"/>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69"/>
      <c r="Q44" s="530">
        <f t="shared" si="11"/>
        <v>111</v>
      </c>
      <c r="R44" s="664" t="s">
        <v>18</v>
      </c>
      <c r="S44" s="665">
        <f t="shared" si="12"/>
        <v>100</v>
      </c>
      <c r="T44" s="664" t="s">
        <v>18</v>
      </c>
      <c r="U44" s="665">
        <f t="shared" si="13"/>
        <v>100</v>
      </c>
      <c r="V44" s="664" t="s">
        <v>18</v>
      </c>
      <c r="W44" s="665">
        <f t="shared" si="14"/>
        <v>100</v>
      </c>
      <c r="X44" s="666"/>
      <c r="Y44" s="3417"/>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69"/>
      <c r="Q45" s="1263">
        <f t="shared" si="11"/>
        <v>111</v>
      </c>
      <c r="R45" s="667" t="s">
        <v>18</v>
      </c>
      <c r="S45" s="668">
        <f t="shared" si="12"/>
        <v>100</v>
      </c>
      <c r="T45" s="667" t="s">
        <v>18</v>
      </c>
      <c r="U45" s="668">
        <f t="shared" si="13"/>
        <v>100</v>
      </c>
      <c r="V45" s="667" t="s">
        <v>18</v>
      </c>
      <c r="W45" s="668">
        <f t="shared" si="14"/>
        <v>100</v>
      </c>
      <c r="X45" s="1265"/>
      <c r="Y45" s="3417"/>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70"/>
      <c r="Q46" s="1263">
        <f t="shared" si="11"/>
        <v>111</v>
      </c>
      <c r="R46" s="667" t="s">
        <v>17</v>
      </c>
      <c r="S46" s="668">
        <f t="shared" si="12"/>
        <v>100</v>
      </c>
      <c r="T46" s="667" t="s">
        <v>17</v>
      </c>
      <c r="U46" s="668">
        <f t="shared" si="13"/>
        <v>100</v>
      </c>
      <c r="V46" s="667" t="s">
        <v>17</v>
      </c>
      <c r="W46" s="668">
        <f t="shared" si="14"/>
        <v>100</v>
      </c>
      <c r="X46" s="1265"/>
      <c r="Y46" s="3471"/>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9" t="str">
        <f>A47</f>
        <v>成交单价（元/平方米）</v>
      </c>
      <c r="Q47" s="3399"/>
      <c r="R47" s="3412">
        <f>E47</f>
        <v>0</v>
      </c>
      <c r="S47" s="3412"/>
      <c r="T47" s="3412">
        <f>G47</f>
        <v>0</v>
      </c>
      <c r="U47" s="3412"/>
      <c r="V47" s="3412">
        <f>I47</f>
        <v>0</v>
      </c>
      <c r="W47" s="3412"/>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9" t="str">
        <f>A48</f>
        <v>比较价值（元/平方米）</v>
      </c>
      <c r="Q48" s="3399"/>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18" t="str">
        <f>A49</f>
        <v>估价对象XX用房的比较价值（楼面单价，元/平方米）</v>
      </c>
      <c r="Q49" s="3419"/>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1" priority="14" stopIfTrue="1">
      <formula>$F$52="超过30%"</formula>
    </cfRule>
  </conditionalFormatting>
  <conditionalFormatting sqref="E53">
    <cfRule type="expression" dxfId="100" priority="11" stopIfTrue="1">
      <formula>$F$53="超过20%"</formula>
    </cfRule>
  </conditionalFormatting>
  <conditionalFormatting sqref="E54">
    <cfRule type="expression" dxfId="99" priority="10"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J52:J54">
    <cfRule type="containsText" dxfId="96" priority="15" stopIfTrue="1" operator="containsText" text="超过">
      <formula>NOT(ISERROR(SEARCH("超过",F52)))</formula>
    </cfRule>
  </conditionalFormatting>
  <conditionalFormatting sqref="G52">
    <cfRule type="expression" dxfId="95" priority="9" stopIfTrue="1">
      <formula>$H$52="超过30%"</formula>
    </cfRule>
  </conditionalFormatting>
  <conditionalFormatting sqref="G53">
    <cfRule type="expression" dxfId="94" priority="8" stopIfTrue="1">
      <formula>$H$53="超过20%"</formula>
    </cfRule>
  </conditionalFormatting>
  <conditionalFormatting sqref="G54">
    <cfRule type="expression" dxfId="93" priority="12"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dataValidations count="24">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C2" xr:uid="{00000000-0002-0000-2000-000014000000}">
      <formula1>"需扣减承租人权益,——"</formula1>
    </dataValidation>
    <dataValidation type="list" allowBlank="1" showInputMessage="1" showErrorMessage="1" sqref="F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16683.080000000002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00" t="s">
        <v>1770</v>
      </c>
      <c r="D4" s="3401"/>
      <c r="E4" s="3402" t="s">
        <v>1771</v>
      </c>
      <c r="F4" s="3403"/>
      <c r="G4" s="3400" t="s">
        <v>1772</v>
      </c>
      <c r="H4" s="3401"/>
      <c r="I4" s="3400" t="s">
        <v>1773</v>
      </c>
      <c r="J4" s="3401"/>
      <c r="K4" s="537" t="s">
        <v>1774</v>
      </c>
      <c r="L4" s="2487"/>
      <c r="M4" s="2488"/>
      <c r="N4" s="2488"/>
      <c r="O4" s="2488"/>
      <c r="P4" s="3404" t="s">
        <v>1775</v>
      </c>
      <c r="Q4" s="3405"/>
      <c r="R4" s="3387" t="s">
        <v>1771</v>
      </c>
      <c r="S4" s="3388"/>
      <c r="T4" s="3387" t="s">
        <v>1772</v>
      </c>
      <c r="U4" s="3388"/>
      <c r="V4" s="3412" t="s">
        <v>1773</v>
      </c>
      <c r="W4" s="3412"/>
      <c r="X4" s="1265"/>
      <c r="Y4" s="3387" t="s">
        <v>1775</v>
      </c>
      <c r="Z4" s="3388"/>
      <c r="AA4" s="3382" t="s">
        <v>1771</v>
      </c>
      <c r="AB4" s="3412" t="s">
        <v>1772</v>
      </c>
      <c r="AC4" s="3382" t="s">
        <v>1773</v>
      </c>
    </row>
    <row r="5" spans="1:29" ht="15">
      <c r="A5" s="348"/>
      <c r="B5" s="349"/>
      <c r="C5" s="3393" t="s">
        <v>1673</v>
      </c>
      <c r="D5" s="3394"/>
      <c r="E5" s="3391" t="s">
        <v>1674</v>
      </c>
      <c r="F5" s="3392"/>
      <c r="G5" s="3393" t="s">
        <v>1675</v>
      </c>
      <c r="H5" s="3394"/>
      <c r="I5" s="3393" t="s">
        <v>1676</v>
      </c>
      <c r="J5" s="3394"/>
      <c r="K5" s="537"/>
      <c r="L5" s="2487"/>
      <c r="M5" s="2488"/>
      <c r="N5" s="2488"/>
      <c r="O5" s="2488"/>
      <c r="P5" s="3406"/>
      <c r="Q5" s="3407"/>
      <c r="R5" s="3389"/>
      <c r="S5" s="3390"/>
      <c r="T5" s="3389"/>
      <c r="U5" s="3390"/>
      <c r="V5" s="3412"/>
      <c r="W5" s="3412"/>
      <c r="X5" s="1265"/>
      <c r="Y5" s="3389"/>
      <c r="Z5" s="3390"/>
      <c r="AA5" s="3383"/>
      <c r="AB5" s="3412"/>
      <c r="AC5" s="3383"/>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408"/>
      <c r="Q6" s="3409"/>
      <c r="R6" s="3389"/>
      <c r="S6" s="3390"/>
      <c r="T6" s="3410"/>
      <c r="U6" s="3411"/>
      <c r="V6" s="3412"/>
      <c r="W6" s="3412"/>
      <c r="X6" s="1265"/>
      <c r="Y6" s="3410"/>
      <c r="Z6" s="3411"/>
      <c r="AA6" s="3384"/>
      <c r="AB6" s="3412"/>
      <c r="AC6" s="3384"/>
    </row>
    <row r="7" spans="1:29" s="102" customFormat="1" ht="15.75" thickBot="1">
      <c r="A7" s="352" t="s">
        <v>1679</v>
      </c>
      <c r="B7" s="353"/>
      <c r="C7" s="354">
        <f>'数据-取费表'!B2</f>
        <v>45952</v>
      </c>
      <c r="D7" s="355">
        <v>100</v>
      </c>
      <c r="E7" s="356"/>
      <c r="F7" s="357">
        <f>SUMIF(58:58,YEAR(E7)&amp;"-"&amp;MONTH(E7),59:59)</f>
        <v>0</v>
      </c>
      <c r="G7" s="356"/>
      <c r="H7" s="355">
        <f>SUMIF(58:58,YEAR(G7)&amp;"-"&amp;MONTH(G7),59:59)</f>
        <v>0</v>
      </c>
      <c r="I7" s="356"/>
      <c r="J7" s="355">
        <f>SUMIF(58:58,YEAR(I7)&amp;"-"&amp;MONTH(I7),59:59)</f>
        <v>0</v>
      </c>
      <c r="K7" s="38"/>
      <c r="L7" s="2489"/>
      <c r="M7" s="2440"/>
      <c r="N7" s="2440"/>
      <c r="O7" s="2440"/>
      <c r="P7" s="3385" t="s">
        <v>1680</v>
      </c>
      <c r="Q7" s="3413"/>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85" t="s">
        <v>1683</v>
      </c>
      <c r="Q8" s="3386"/>
      <c r="R8" s="664" t="s">
        <v>14</v>
      </c>
      <c r="S8" s="665">
        <f t="shared" si="0"/>
        <v>100</v>
      </c>
      <c r="T8" s="664" t="s">
        <v>14</v>
      </c>
      <c r="U8" s="665">
        <f t="shared" si="1"/>
        <v>100</v>
      </c>
      <c r="V8" s="664" t="s">
        <v>14</v>
      </c>
      <c r="W8" s="665">
        <f t="shared" si="2"/>
        <v>100</v>
      </c>
      <c r="X8" s="666"/>
      <c r="Y8" s="3385" t="s">
        <v>1683</v>
      </c>
      <c r="Z8" s="338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66"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66"/>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66"/>
      <c r="Q11" s="530" t="str">
        <f t="shared" si="6"/>
        <v>容积率</v>
      </c>
      <c r="R11" s="664" t="s">
        <v>14</v>
      </c>
      <c r="S11" s="665" t="e">
        <f t="shared" si="0"/>
        <v>#N/A</v>
      </c>
      <c r="T11" s="664" t="s">
        <v>14</v>
      </c>
      <c r="U11" s="665" t="e">
        <f t="shared" si="1"/>
        <v>#N/A</v>
      </c>
      <c r="V11" s="664" t="s">
        <v>14</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66"/>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66"/>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66"/>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72" t="s">
        <v>1691</v>
      </c>
      <c r="Q15" s="1263" t="str">
        <f t="shared" si="6"/>
        <v>商业繁华度</v>
      </c>
      <c r="R15" s="667" t="s">
        <v>14</v>
      </c>
      <c r="S15" s="668">
        <f t="shared" si="0"/>
        <v>100</v>
      </c>
      <c r="T15" s="667" t="s">
        <v>14</v>
      </c>
      <c r="U15" s="668">
        <f t="shared" si="1"/>
        <v>100</v>
      </c>
      <c r="V15" s="667" t="s">
        <v>14</v>
      </c>
      <c r="W15" s="668">
        <f t="shared" si="2"/>
        <v>100</v>
      </c>
      <c r="X15" s="1265"/>
      <c r="Y15" s="3414"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73"/>
      <c r="Q16" s="1263"/>
      <c r="R16" s="667"/>
      <c r="S16" s="668"/>
      <c r="T16" s="667"/>
      <c r="U16" s="668"/>
      <c r="V16" s="667"/>
      <c r="W16" s="668"/>
      <c r="X16" s="1265"/>
      <c r="Y16" s="3415"/>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73"/>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73"/>
      <c r="Q18" s="1263"/>
      <c r="R18" s="667"/>
      <c r="S18" s="668"/>
      <c r="T18" s="667"/>
      <c r="U18" s="668"/>
      <c r="V18" s="667"/>
      <c r="W18" s="668"/>
      <c r="X18" s="1265"/>
      <c r="Y18" s="3415"/>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73"/>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73"/>
      <c r="Q20" s="1263"/>
      <c r="R20" s="667"/>
      <c r="S20" s="668"/>
      <c r="T20" s="667"/>
      <c r="U20" s="668"/>
      <c r="V20" s="667"/>
      <c r="W20" s="668"/>
      <c r="X20" s="1265"/>
      <c r="Y20" s="3415"/>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73"/>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73"/>
      <c r="Q22" s="1263"/>
      <c r="R22" s="667"/>
      <c r="S22" s="668"/>
      <c r="T22" s="667"/>
      <c r="U22" s="668"/>
      <c r="V22" s="667"/>
      <c r="W22" s="668"/>
      <c r="X22" s="1265"/>
      <c r="Y22" s="3415"/>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73"/>
      <c r="Q23" s="1263" t="str">
        <f>B23</f>
        <v>自然及人文环境</v>
      </c>
      <c r="R23" s="667" t="s">
        <v>14</v>
      </c>
      <c r="S23" s="668">
        <f>F23</f>
        <v>100</v>
      </c>
      <c r="T23" s="667" t="s">
        <v>14</v>
      </c>
      <c r="U23" s="668">
        <f>H23</f>
        <v>100</v>
      </c>
      <c r="V23" s="667" t="s">
        <v>14</v>
      </c>
      <c r="W23" s="668">
        <f>J23</f>
        <v>100</v>
      </c>
      <c r="X23" s="1265"/>
      <c r="Y23" s="3415"/>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73"/>
      <c r="Q24" s="1263"/>
      <c r="R24" s="667"/>
      <c r="S24" s="668"/>
      <c r="T24" s="667"/>
      <c r="U24" s="668"/>
      <c r="V24" s="667"/>
      <c r="W24" s="668"/>
      <c r="X24" s="1265"/>
      <c r="Y24" s="3415"/>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73"/>
      <c r="Q25" s="1263" t="str">
        <f t="shared" ref="Q25:Q46" si="11">B25</f>
        <v>临街状况</v>
      </c>
      <c r="R25" s="667" t="s">
        <v>14</v>
      </c>
      <c r="S25" s="668">
        <f>F25</f>
        <v>100</v>
      </c>
      <c r="T25" s="667" t="s">
        <v>14</v>
      </c>
      <c r="U25" s="668">
        <f>H25</f>
        <v>100</v>
      </c>
      <c r="V25" s="667" t="s">
        <v>14</v>
      </c>
      <c r="W25" s="668">
        <f>J25</f>
        <v>100</v>
      </c>
      <c r="X25" s="1265"/>
      <c r="Y25" s="3415"/>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73"/>
      <c r="Q26" s="1263" t="str">
        <f t="shared" si="11"/>
        <v>平面位置/可视性</v>
      </c>
      <c r="R26" s="667" t="s">
        <v>14</v>
      </c>
      <c r="S26" s="668">
        <f>F26</f>
        <v>100</v>
      </c>
      <c r="T26" s="667" t="s">
        <v>14</v>
      </c>
      <c r="U26" s="668">
        <f>H26</f>
        <v>100</v>
      </c>
      <c r="V26" s="667" t="s">
        <v>14</v>
      </c>
      <c r="W26" s="668">
        <f>J26</f>
        <v>100</v>
      </c>
      <c r="X26" s="1265"/>
      <c r="Y26" s="3415"/>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73"/>
      <c r="Q27" s="530" t="str">
        <f t="shared" si="11"/>
        <v>人流量</v>
      </c>
      <c r="R27" s="664" t="s">
        <v>14</v>
      </c>
      <c r="S27" s="665">
        <f>F27</f>
        <v>100</v>
      </c>
      <c r="T27" s="664" t="s">
        <v>14</v>
      </c>
      <c r="U27" s="665">
        <f>H27</f>
        <v>100</v>
      </c>
      <c r="V27" s="664" t="s">
        <v>14</v>
      </c>
      <c r="W27" s="665">
        <f>J27</f>
        <v>100</v>
      </c>
      <c r="X27" s="666"/>
      <c r="Y27" s="3415"/>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7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5"/>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73"/>
      <c r="Q29" s="1263">
        <f t="shared" si="11"/>
        <v>111</v>
      </c>
      <c r="R29" s="667" t="s">
        <v>14</v>
      </c>
      <c r="S29" s="668">
        <f t="shared" si="12"/>
        <v>100</v>
      </c>
      <c r="T29" s="667" t="s">
        <v>14</v>
      </c>
      <c r="U29" s="668">
        <f t="shared" si="13"/>
        <v>100</v>
      </c>
      <c r="V29" s="667" t="s">
        <v>14</v>
      </c>
      <c r="W29" s="668">
        <f t="shared" si="14"/>
        <v>100</v>
      </c>
      <c r="X29" s="1265"/>
      <c r="Y29" s="3415"/>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73"/>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73"/>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68" t="s">
        <v>1696</v>
      </c>
      <c r="Q32" s="1263" t="str">
        <f t="shared" si="11"/>
        <v>商业类型</v>
      </c>
      <c r="R32" s="667" t="s">
        <v>14</v>
      </c>
      <c r="S32" s="668">
        <f t="shared" si="12"/>
        <v>100</v>
      </c>
      <c r="T32" s="667" t="s">
        <v>14</v>
      </c>
      <c r="U32" s="668">
        <f t="shared" si="13"/>
        <v>100</v>
      </c>
      <c r="V32" s="667" t="s">
        <v>14</v>
      </c>
      <c r="W32" s="668">
        <f t="shared" si="14"/>
        <v>100</v>
      </c>
      <c r="X32" s="1265"/>
      <c r="Y32" s="3417"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69"/>
      <c r="Q33" s="531" t="str">
        <f t="shared" si="11"/>
        <v>项目建筑规模</v>
      </c>
      <c r="R33" s="669" t="s">
        <v>14</v>
      </c>
      <c r="S33" s="670" t="e">
        <f t="shared" si="12"/>
        <v>#N/A</v>
      </c>
      <c r="T33" s="669" t="s">
        <v>14</v>
      </c>
      <c r="U33" s="670" t="e">
        <f t="shared" si="13"/>
        <v>#N/A</v>
      </c>
      <c r="V33" s="669" t="s">
        <v>14</v>
      </c>
      <c r="W33" s="670" t="e">
        <f t="shared" si="14"/>
        <v>#N/A</v>
      </c>
      <c r="X33" s="671"/>
      <c r="Y33" s="3417"/>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69"/>
      <c r="Q34" s="1263" t="str">
        <f t="shared" si="11"/>
        <v>建筑结构</v>
      </c>
      <c r="R34" s="667" t="s">
        <v>14</v>
      </c>
      <c r="S34" s="668">
        <f t="shared" si="12"/>
        <v>100</v>
      </c>
      <c r="T34" s="667" t="s">
        <v>14</v>
      </c>
      <c r="U34" s="668">
        <f t="shared" si="13"/>
        <v>100</v>
      </c>
      <c r="V34" s="667" t="s">
        <v>14</v>
      </c>
      <c r="W34" s="668">
        <f t="shared" si="14"/>
        <v>100</v>
      </c>
      <c r="X34" s="1265"/>
      <c r="Y34" s="3417"/>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69"/>
      <c r="Q35" s="1263" t="str">
        <f t="shared" si="11"/>
        <v>公共部分装修</v>
      </c>
      <c r="R35" s="667" t="s">
        <v>14</v>
      </c>
      <c r="S35" s="668">
        <f t="shared" si="12"/>
        <v>100</v>
      </c>
      <c r="T35" s="667" t="s">
        <v>14</v>
      </c>
      <c r="U35" s="668">
        <f t="shared" si="13"/>
        <v>100</v>
      </c>
      <c r="V35" s="667" t="s">
        <v>14</v>
      </c>
      <c r="W35" s="668">
        <f t="shared" si="14"/>
        <v>100</v>
      </c>
      <c r="X35" s="1265"/>
      <c r="Y35" s="3417"/>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69"/>
      <c r="Q36" s="1263" t="str">
        <f t="shared" si="11"/>
        <v>成新度</v>
      </c>
      <c r="R36" s="667" t="s">
        <v>14</v>
      </c>
      <c r="S36" s="668" t="e">
        <f t="shared" si="12"/>
        <v>#N/A</v>
      </c>
      <c r="T36" s="667" t="s">
        <v>14</v>
      </c>
      <c r="U36" s="668" t="e">
        <f t="shared" si="13"/>
        <v>#N/A</v>
      </c>
      <c r="V36" s="667" t="s">
        <v>14</v>
      </c>
      <c r="W36" s="668" t="e">
        <f t="shared" si="14"/>
        <v>#N/A</v>
      </c>
      <c r="X36" s="1265"/>
      <c r="Y36" s="3417"/>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69"/>
      <c r="Q37" s="530" t="str">
        <f t="shared" si="11"/>
        <v>市政基础设施</v>
      </c>
      <c r="R37" s="664" t="s">
        <v>14</v>
      </c>
      <c r="S37" s="665">
        <f t="shared" si="12"/>
        <v>100</v>
      </c>
      <c r="T37" s="664" t="s">
        <v>14</v>
      </c>
      <c r="U37" s="665">
        <f t="shared" si="13"/>
        <v>100</v>
      </c>
      <c r="V37" s="664" t="s">
        <v>14</v>
      </c>
      <c r="W37" s="665">
        <f t="shared" si="14"/>
        <v>100</v>
      </c>
      <c r="X37" s="666"/>
      <c r="Y37" s="3417"/>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69" t="s">
        <v>1696</v>
      </c>
      <c r="Q38" s="1263" t="str">
        <f t="shared" si="11"/>
        <v>业态</v>
      </c>
      <c r="R38" s="667" t="s">
        <v>14</v>
      </c>
      <c r="S38" s="668">
        <f t="shared" si="12"/>
        <v>100</v>
      </c>
      <c r="T38" s="667" t="s">
        <v>14</v>
      </c>
      <c r="U38" s="668">
        <f t="shared" si="13"/>
        <v>100</v>
      </c>
      <c r="V38" s="667" t="s">
        <v>14</v>
      </c>
      <c r="W38" s="668">
        <f t="shared" si="14"/>
        <v>100</v>
      </c>
      <c r="X38" s="1265"/>
      <c r="Y38" s="3417"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69"/>
      <c r="Q39" s="1263" t="str">
        <f t="shared" si="11"/>
        <v>层高</v>
      </c>
      <c r="R39" s="667" t="s">
        <v>14</v>
      </c>
      <c r="S39" s="668">
        <f t="shared" si="12"/>
        <v>100</v>
      </c>
      <c r="T39" s="667" t="s">
        <v>14</v>
      </c>
      <c r="U39" s="668">
        <f t="shared" si="13"/>
        <v>100</v>
      </c>
      <c r="V39" s="667" t="s">
        <v>14</v>
      </c>
      <c r="W39" s="668">
        <f t="shared" si="14"/>
        <v>100</v>
      </c>
      <c r="X39" s="1265"/>
      <c r="Y39" s="3417"/>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69"/>
      <c r="Q40" s="1263" t="str">
        <f t="shared" si="11"/>
        <v>单套建筑面积</v>
      </c>
      <c r="R40" s="667" t="s">
        <v>14</v>
      </c>
      <c r="S40" s="668">
        <f t="shared" si="12"/>
        <v>100</v>
      </c>
      <c r="T40" s="667" t="s">
        <v>14</v>
      </c>
      <c r="U40" s="668">
        <f t="shared" si="13"/>
        <v>100</v>
      </c>
      <c r="V40" s="667" t="s">
        <v>14</v>
      </c>
      <c r="W40" s="668">
        <f t="shared" si="14"/>
        <v>100</v>
      </c>
      <c r="X40" s="1265"/>
      <c r="Y40" s="3417"/>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69"/>
      <c r="Q41" s="531" t="str">
        <f t="shared" si="11"/>
        <v>进深比</v>
      </c>
      <c r="R41" s="669" t="s">
        <v>14</v>
      </c>
      <c r="S41" s="670">
        <f t="shared" si="12"/>
        <v>100</v>
      </c>
      <c r="T41" s="669" t="s">
        <v>14</v>
      </c>
      <c r="U41" s="670">
        <f t="shared" si="13"/>
        <v>100</v>
      </c>
      <c r="V41" s="669" t="s">
        <v>14</v>
      </c>
      <c r="W41" s="670">
        <f t="shared" si="14"/>
        <v>100</v>
      </c>
      <c r="X41" s="671"/>
      <c r="Y41" s="3417"/>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69"/>
      <c r="Q42" s="1263" t="str">
        <f t="shared" si="11"/>
        <v>内部装修</v>
      </c>
      <c r="R42" s="667" t="s">
        <v>14</v>
      </c>
      <c r="S42" s="668">
        <f t="shared" si="12"/>
        <v>100</v>
      </c>
      <c r="T42" s="667" t="s">
        <v>14</v>
      </c>
      <c r="U42" s="668">
        <f t="shared" si="13"/>
        <v>100</v>
      </c>
      <c r="V42" s="667" t="s">
        <v>14</v>
      </c>
      <c r="W42" s="668">
        <f t="shared" si="14"/>
        <v>100</v>
      </c>
      <c r="X42" s="1265"/>
      <c r="Y42" s="3417"/>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69"/>
      <c r="Q43" s="1263" t="str">
        <f t="shared" si="11"/>
        <v>内部装修维护情况</v>
      </c>
      <c r="R43" s="667" t="s">
        <v>14</v>
      </c>
      <c r="S43" s="668">
        <f t="shared" si="12"/>
        <v>100</v>
      </c>
      <c r="T43" s="667" t="s">
        <v>14</v>
      </c>
      <c r="U43" s="668">
        <f t="shared" si="13"/>
        <v>100</v>
      </c>
      <c r="V43" s="667" t="s">
        <v>14</v>
      </c>
      <c r="W43" s="668">
        <f t="shared" si="14"/>
        <v>100</v>
      </c>
      <c r="X43" s="1265"/>
      <c r="Y43" s="3417"/>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69"/>
      <c r="Q44" s="530">
        <f t="shared" si="11"/>
        <v>111</v>
      </c>
      <c r="R44" s="664" t="s">
        <v>14</v>
      </c>
      <c r="S44" s="665">
        <f t="shared" si="12"/>
        <v>100</v>
      </c>
      <c r="T44" s="664" t="s">
        <v>14</v>
      </c>
      <c r="U44" s="665">
        <f t="shared" si="13"/>
        <v>100</v>
      </c>
      <c r="V44" s="664" t="s">
        <v>14</v>
      </c>
      <c r="W44" s="665">
        <f t="shared" si="14"/>
        <v>100</v>
      </c>
      <c r="X44" s="666"/>
      <c r="Y44" s="3417"/>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69"/>
      <c r="Q45" s="1263">
        <f t="shared" si="11"/>
        <v>111</v>
      </c>
      <c r="R45" s="667" t="s">
        <v>14</v>
      </c>
      <c r="S45" s="668">
        <f t="shared" si="12"/>
        <v>100</v>
      </c>
      <c r="T45" s="667" t="s">
        <v>14</v>
      </c>
      <c r="U45" s="668">
        <f t="shared" si="13"/>
        <v>100</v>
      </c>
      <c r="V45" s="667" t="s">
        <v>14</v>
      </c>
      <c r="W45" s="668">
        <f t="shared" si="14"/>
        <v>100</v>
      </c>
      <c r="X45" s="1265"/>
      <c r="Y45" s="3417"/>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70"/>
      <c r="Q46" s="1263">
        <f t="shared" si="11"/>
        <v>111</v>
      </c>
      <c r="R46" s="667" t="s">
        <v>14</v>
      </c>
      <c r="S46" s="668">
        <f t="shared" si="12"/>
        <v>100</v>
      </c>
      <c r="T46" s="667" t="s">
        <v>14</v>
      </c>
      <c r="U46" s="668">
        <f t="shared" si="13"/>
        <v>100</v>
      </c>
      <c r="V46" s="667" t="s">
        <v>14</v>
      </c>
      <c r="W46" s="668">
        <f t="shared" si="14"/>
        <v>100</v>
      </c>
      <c r="X46" s="1265"/>
      <c r="Y46" s="3471"/>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9" t="str">
        <f>A47</f>
        <v>成交单价（元/平方米）</v>
      </c>
      <c r="Q47" s="3399"/>
      <c r="R47" s="3412">
        <f>E47</f>
        <v>0</v>
      </c>
      <c r="S47" s="3412"/>
      <c r="T47" s="3412">
        <f>G47</f>
        <v>0</v>
      </c>
      <c r="U47" s="3412"/>
      <c r="V47" s="3412">
        <f>I47</f>
        <v>0</v>
      </c>
      <c r="W47" s="3412"/>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9" t="str">
        <f>A48</f>
        <v>比较价值（元/平方米）</v>
      </c>
      <c r="Q48" s="3399"/>
      <c r="R48" s="3412" t="e">
        <f>IF(F1="售价",ROUND(PRODUCT(R47,AA7:AA46),0),ROUND(PRODUCT(R47,AA7:AA46),1))</f>
        <v>#DIV/0!</v>
      </c>
      <c r="S48" s="3412"/>
      <c r="T48" s="3412" t="e">
        <f>IF(F1="售价",ROUND(PRODUCT(T47,AB7:AB46),0),ROUND(PRODUCT(T47,AB7:AB46),1))</f>
        <v>#DIV/0!</v>
      </c>
      <c r="U48" s="3412"/>
      <c r="V48" s="3412" t="e">
        <f>IF(F1="售价",ROUND(PRODUCT(V47,AC7:AC46),0),ROUND(PRODUCT(V47,AC7:AC46),1))</f>
        <v>#DIV/0!</v>
      </c>
      <c r="W48" s="341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18" t="str">
        <f>A49</f>
        <v>估价对象XX用房的比较价值（楼面单价，元/平方米）</v>
      </c>
      <c r="Q49" s="3419"/>
      <c r="R49" s="3467" t="e">
        <f>IF(F1="售价",ROUND(IF(D48="简单平均",AVERAGE(R48:V48),R48*F48+T48*H48+V48*J48),0),ROUND(IF(D48="简单平均",AVERAGE(R48:V48),R48*F48+T48*H48+V48*J48),1))</f>
        <v>#DIV/0!</v>
      </c>
      <c r="S49" s="3467"/>
      <c r="T49" s="3467"/>
      <c r="U49" s="3467"/>
      <c r="V49" s="3467"/>
      <c r="W49" s="34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7" priority="16" stopIfTrue="1">
      <formula>$F$52="超过30%"</formula>
    </cfRule>
  </conditionalFormatting>
  <conditionalFormatting sqref="E53">
    <cfRule type="expression" dxfId="86" priority="15" stopIfTrue="1">
      <formula>$F$53="超过20%"</formula>
    </cfRule>
  </conditionalFormatting>
  <conditionalFormatting sqref="E54">
    <cfRule type="expression" dxfId="85" priority="14" stopIfTrue="1">
      <formula>$F$54="超过30%"</formula>
    </cfRule>
  </conditionalFormatting>
  <conditionalFormatting sqref="F7:F46 H7:H46 J7:J46">
    <cfRule type="cellIs" dxfId="84" priority="1" operator="notEqual">
      <formula>100</formula>
    </cfRule>
  </conditionalFormatting>
  <conditionalFormatting sqref="F48">
    <cfRule type="expression" dxfId="83" priority="4">
      <formula>$D$48="简单平均"</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H48">
    <cfRule type="expression" dxfId="78" priority="3">
      <formula>$D$48="简单平均"</formula>
    </cfRule>
  </conditionalFormatting>
  <conditionalFormatting sqref="I52">
    <cfRule type="expression" dxfId="77" priority="7" stopIfTrue="1">
      <formula>$J$52="超过30%"</formula>
    </cfRule>
  </conditionalFormatting>
  <conditionalFormatting sqref="I53">
    <cfRule type="expression" dxfId="76" priority="6" stopIfTrue="1">
      <formula>$J$53="超过20%"</formula>
    </cfRule>
  </conditionalFormatting>
  <conditionalFormatting sqref="I54">
    <cfRule type="expression" dxfId="75" priority="5" stopIfTrue="1">
      <formula>$J$54="超过30%"</formula>
    </cfRule>
  </conditionalFormatting>
  <conditionalFormatting sqref="J48">
    <cfRule type="expression" dxfId="74" priority="2">
      <formula>$D$48="简单平均"</formula>
    </cfRule>
  </conditionalFormatting>
  <conditionalFormatting sqref="J52:J54">
    <cfRule type="containsText" dxfId="73"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16683.080000000002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00" t="s">
        <v>1770</v>
      </c>
      <c r="D4" s="3401"/>
      <c r="E4" s="3402" t="s">
        <v>1771</v>
      </c>
      <c r="F4" s="3403"/>
      <c r="G4" s="3400" t="s">
        <v>1772</v>
      </c>
      <c r="H4" s="3401"/>
      <c r="I4" s="3400" t="s">
        <v>1773</v>
      </c>
      <c r="J4" s="3401"/>
      <c r="K4" s="537" t="s">
        <v>1774</v>
      </c>
      <c r="L4" s="2487"/>
      <c r="M4" s="2488"/>
      <c r="N4" s="2488"/>
      <c r="O4" s="2488"/>
      <c r="P4" s="3480" t="s">
        <v>1775</v>
      </c>
      <c r="Q4" s="3481"/>
      <c r="R4" s="3475" t="s">
        <v>1771</v>
      </c>
      <c r="S4" s="3476"/>
      <c r="T4" s="3475" t="s">
        <v>1772</v>
      </c>
      <c r="U4" s="3476"/>
      <c r="V4" s="3484" t="s">
        <v>1773</v>
      </c>
      <c r="W4" s="3484"/>
      <c r="X4" s="1809"/>
      <c r="Y4" s="3475" t="s">
        <v>1775</v>
      </c>
      <c r="Z4" s="3476"/>
      <c r="AA4" s="3474" t="s">
        <v>1771</v>
      </c>
      <c r="AB4" s="3474" t="s">
        <v>1772</v>
      </c>
      <c r="AC4" s="3477" t="s">
        <v>1773</v>
      </c>
    </row>
    <row r="5" spans="1:29" ht="15">
      <c r="A5" s="348"/>
      <c r="B5" s="349"/>
      <c r="C5" s="3393" t="s">
        <v>1673</v>
      </c>
      <c r="D5" s="3394"/>
      <c r="E5" s="3391" t="s">
        <v>1674</v>
      </c>
      <c r="F5" s="3392"/>
      <c r="G5" s="3393" t="s">
        <v>1675</v>
      </c>
      <c r="H5" s="3394"/>
      <c r="I5" s="3393" t="s">
        <v>1676</v>
      </c>
      <c r="J5" s="3394"/>
      <c r="K5" s="537"/>
      <c r="L5" s="2487"/>
      <c r="M5" s="2488"/>
      <c r="N5" s="2488"/>
      <c r="O5" s="2488"/>
      <c r="P5" s="3482"/>
      <c r="Q5" s="3407"/>
      <c r="R5" s="3389"/>
      <c r="S5" s="3390"/>
      <c r="T5" s="3389"/>
      <c r="U5" s="3390"/>
      <c r="V5" s="3412"/>
      <c r="W5" s="3412"/>
      <c r="X5" s="1265"/>
      <c r="Y5" s="3389"/>
      <c r="Z5" s="3390"/>
      <c r="AA5" s="3383"/>
      <c r="AB5" s="3383"/>
      <c r="AC5" s="3478"/>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483"/>
      <c r="Q6" s="3409"/>
      <c r="R6" s="3389"/>
      <c r="S6" s="3390"/>
      <c r="T6" s="3410"/>
      <c r="U6" s="3411"/>
      <c r="V6" s="3412"/>
      <c r="W6" s="3412"/>
      <c r="X6" s="1265"/>
      <c r="Y6" s="3410"/>
      <c r="Z6" s="3411"/>
      <c r="AA6" s="3384"/>
      <c r="AB6" s="3384"/>
      <c r="AC6" s="3479"/>
    </row>
    <row r="7" spans="1:29" s="102" customFormat="1" ht="15.75" thickBot="1">
      <c r="A7" s="352" t="s">
        <v>1679</v>
      </c>
      <c r="B7" s="353"/>
      <c r="C7" s="354">
        <f>'数据-取费表'!B2</f>
        <v>45952</v>
      </c>
      <c r="D7" s="355">
        <v>100</v>
      </c>
      <c r="E7" s="356"/>
      <c r="F7" s="357">
        <f>SUMIF(59:59,YEAR(E7)&amp;"-"&amp;MONTH(E7),60:60)</f>
        <v>0</v>
      </c>
      <c r="G7" s="356"/>
      <c r="H7" s="355">
        <f>SUMIF(59:59,YEAR(G7)&amp;"-"&amp;MONTH(G7),60:60)</f>
        <v>0</v>
      </c>
      <c r="I7" s="356"/>
      <c r="J7" s="355">
        <f>SUMIF(59:59,YEAR(I7)&amp;"-"&amp;MONTH(I7),60:60)</f>
        <v>0</v>
      </c>
      <c r="K7" s="38"/>
      <c r="L7" s="2489"/>
      <c r="M7" s="2440"/>
      <c r="N7" s="2440"/>
      <c r="O7" s="2440"/>
      <c r="P7" s="3485" t="s">
        <v>1680</v>
      </c>
      <c r="Q7" s="3413"/>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85" t="s">
        <v>1683</v>
      </c>
      <c r="Q8" s="3386"/>
      <c r="R8" s="664" t="s">
        <v>14</v>
      </c>
      <c r="S8" s="665">
        <f t="shared" si="0"/>
        <v>100</v>
      </c>
      <c r="T8" s="664" t="s">
        <v>14</v>
      </c>
      <c r="U8" s="665">
        <f t="shared" si="1"/>
        <v>100</v>
      </c>
      <c r="V8" s="664" t="s">
        <v>14</v>
      </c>
      <c r="W8" s="665">
        <f t="shared" si="2"/>
        <v>100</v>
      </c>
      <c r="X8" s="666"/>
      <c r="Y8" s="3385" t="s">
        <v>1683</v>
      </c>
      <c r="Z8" s="3386"/>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66"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66"/>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66"/>
      <c r="Q11" s="530" t="str">
        <f t="shared" si="6"/>
        <v>容积率</v>
      </c>
      <c r="R11" s="664" t="s">
        <v>14</v>
      </c>
      <c r="S11" s="665">
        <f t="shared" si="0"/>
        <v>100</v>
      </c>
      <c r="T11" s="664" t="s">
        <v>14</v>
      </c>
      <c r="U11" s="665">
        <f t="shared" si="1"/>
        <v>100</v>
      </c>
      <c r="V11" s="664" t="s">
        <v>14</v>
      </c>
      <c r="W11" s="665">
        <f t="shared" si="2"/>
        <v>100</v>
      </c>
      <c r="X11" s="666"/>
      <c r="Y11" s="33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66"/>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66"/>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66"/>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72" t="s">
        <v>1691</v>
      </c>
      <c r="Q15" s="1263" t="str">
        <f t="shared" si="6"/>
        <v>办公集聚程度</v>
      </c>
      <c r="R15" s="667" t="s">
        <v>14</v>
      </c>
      <c r="S15" s="668">
        <f t="shared" si="0"/>
        <v>100</v>
      </c>
      <c r="T15" s="667" t="s">
        <v>14</v>
      </c>
      <c r="U15" s="668">
        <f t="shared" si="1"/>
        <v>100</v>
      </c>
      <c r="V15" s="667" t="s">
        <v>14</v>
      </c>
      <c r="W15" s="668">
        <f t="shared" si="2"/>
        <v>100</v>
      </c>
      <c r="X15" s="1265"/>
      <c r="Y15" s="3414"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73"/>
      <c r="Q16" s="1263"/>
      <c r="R16" s="667"/>
      <c r="S16" s="668"/>
      <c r="T16" s="667"/>
      <c r="U16" s="668"/>
      <c r="V16" s="667"/>
      <c r="W16" s="668"/>
      <c r="X16" s="1265"/>
      <c r="Y16" s="3415"/>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73"/>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73"/>
      <c r="Q18" s="1263"/>
      <c r="R18" s="667"/>
      <c r="S18" s="668"/>
      <c r="T18" s="667"/>
      <c r="U18" s="668"/>
      <c r="V18" s="667"/>
      <c r="W18" s="668"/>
      <c r="X18" s="1265"/>
      <c r="Y18" s="3415"/>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73"/>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73"/>
      <c r="Q20" s="1263"/>
      <c r="R20" s="667"/>
      <c r="S20" s="668"/>
      <c r="T20" s="667"/>
      <c r="U20" s="668"/>
      <c r="V20" s="667"/>
      <c r="W20" s="668"/>
      <c r="X20" s="1265"/>
      <c r="Y20" s="3415"/>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73"/>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73"/>
      <c r="Q22" s="1263"/>
      <c r="R22" s="667"/>
      <c r="S22" s="668"/>
      <c r="T22" s="667"/>
      <c r="U22" s="668"/>
      <c r="V22" s="667"/>
      <c r="W22" s="668"/>
      <c r="X22" s="1265"/>
      <c r="Y22" s="3415"/>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73"/>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73"/>
      <c r="Q24" s="1263"/>
      <c r="R24" s="667"/>
      <c r="S24" s="668"/>
      <c r="T24" s="667"/>
      <c r="U24" s="668"/>
      <c r="V24" s="667"/>
      <c r="W24" s="668"/>
      <c r="X24" s="1265"/>
      <c r="Y24" s="3415"/>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73"/>
      <c r="Q25" s="1263" t="str">
        <f>B25</f>
        <v>毗邻道路的类型与等级</v>
      </c>
      <c r="R25" s="667" t="s">
        <v>14</v>
      </c>
      <c r="S25" s="668">
        <f>F25</f>
        <v>100</v>
      </c>
      <c r="T25" s="667" t="s">
        <v>14</v>
      </c>
      <c r="U25" s="668">
        <f>H25</f>
        <v>100</v>
      </c>
      <c r="V25" s="667" t="s">
        <v>14</v>
      </c>
      <c r="W25" s="668">
        <f>J25</f>
        <v>100</v>
      </c>
      <c r="X25" s="1265"/>
      <c r="Y25" s="3415"/>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73"/>
      <c r="Q26" s="1263"/>
      <c r="R26" s="667"/>
      <c r="S26" s="668"/>
      <c r="T26" s="667"/>
      <c r="U26" s="668"/>
      <c r="V26" s="667"/>
      <c r="W26" s="668"/>
      <c r="X26" s="1265"/>
      <c r="Y26" s="3415"/>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73"/>
      <c r="Q27" s="1263" t="str">
        <f t="shared" ref="Q27:Q47" si="11">B27</f>
        <v>楼层</v>
      </c>
      <c r="R27" s="667" t="s">
        <v>14</v>
      </c>
      <c r="S27" s="668">
        <f>F27</f>
        <v>100</v>
      </c>
      <c r="T27" s="667" t="s">
        <v>14</v>
      </c>
      <c r="U27" s="668">
        <f>H27</f>
        <v>100</v>
      </c>
      <c r="V27" s="667" t="s">
        <v>14</v>
      </c>
      <c r="W27" s="668">
        <f>J27</f>
        <v>100</v>
      </c>
      <c r="X27" s="1265"/>
      <c r="Y27" s="3415"/>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73"/>
      <c r="Q28" s="530" t="str">
        <f t="shared" si="11"/>
        <v>朝向</v>
      </c>
      <c r="R28" s="664" t="s">
        <v>14</v>
      </c>
      <c r="S28" s="665">
        <f>F28</f>
        <v>100</v>
      </c>
      <c r="T28" s="664" t="s">
        <v>14</v>
      </c>
      <c r="U28" s="665">
        <f>H28</f>
        <v>100</v>
      </c>
      <c r="V28" s="664" t="s">
        <v>14</v>
      </c>
      <c r="W28" s="665">
        <f>J28</f>
        <v>100</v>
      </c>
      <c r="X28" s="666"/>
      <c r="Y28" s="3415"/>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73"/>
      <c r="Q29" s="1263">
        <f t="shared" si="11"/>
        <v>111</v>
      </c>
      <c r="R29" s="667" t="s">
        <v>14</v>
      </c>
      <c r="S29" s="668">
        <f t="shared" ref="S29:S47" si="12">F29</f>
        <v>100</v>
      </c>
      <c r="T29" s="667" t="s">
        <v>14</v>
      </c>
      <c r="U29" s="668">
        <f t="shared" ref="U29:U47" si="13">H29</f>
        <v>100</v>
      </c>
      <c r="V29" s="667" t="s">
        <v>14</v>
      </c>
      <c r="W29" s="668">
        <f t="shared" ref="W29:W47" si="14">J29</f>
        <v>100</v>
      </c>
      <c r="X29" s="1265"/>
      <c r="Y29" s="3415"/>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73"/>
      <c r="Q30" s="1263">
        <f t="shared" si="11"/>
        <v>111</v>
      </c>
      <c r="R30" s="667" t="s">
        <v>14</v>
      </c>
      <c r="S30" s="668">
        <f t="shared" si="12"/>
        <v>100</v>
      </c>
      <c r="T30" s="667" t="s">
        <v>14</v>
      </c>
      <c r="U30" s="668">
        <f t="shared" si="13"/>
        <v>100</v>
      </c>
      <c r="V30" s="667" t="s">
        <v>14</v>
      </c>
      <c r="W30" s="668">
        <f t="shared" si="14"/>
        <v>100</v>
      </c>
      <c r="X30" s="1265"/>
      <c r="Y30" s="3415"/>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73"/>
      <c r="Q31" s="1263">
        <f t="shared" si="11"/>
        <v>111</v>
      </c>
      <c r="R31" s="667" t="s">
        <v>14</v>
      </c>
      <c r="S31" s="668">
        <f t="shared" si="12"/>
        <v>100</v>
      </c>
      <c r="T31" s="667" t="s">
        <v>14</v>
      </c>
      <c r="U31" s="668">
        <f t="shared" si="13"/>
        <v>100</v>
      </c>
      <c r="V31" s="667" t="s">
        <v>14</v>
      </c>
      <c r="W31" s="668">
        <f t="shared" si="14"/>
        <v>100</v>
      </c>
      <c r="X31" s="1265"/>
      <c r="Y31" s="3415"/>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73"/>
      <c r="Q32" s="1263">
        <f t="shared" si="11"/>
        <v>111</v>
      </c>
      <c r="R32" s="667" t="s">
        <v>14</v>
      </c>
      <c r="S32" s="668">
        <f t="shared" si="12"/>
        <v>100</v>
      </c>
      <c r="T32" s="667" t="s">
        <v>14</v>
      </c>
      <c r="U32" s="668">
        <f t="shared" si="13"/>
        <v>100</v>
      </c>
      <c r="V32" s="667" t="s">
        <v>14</v>
      </c>
      <c r="W32" s="668">
        <f t="shared" si="14"/>
        <v>100</v>
      </c>
      <c r="X32" s="1265"/>
      <c r="Y32" s="3415"/>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68" t="s">
        <v>1696</v>
      </c>
      <c r="Q33" s="1263" t="str">
        <f t="shared" si="11"/>
        <v>建筑类型</v>
      </c>
      <c r="R33" s="667" t="s">
        <v>14</v>
      </c>
      <c r="S33" s="668">
        <f t="shared" si="12"/>
        <v>100</v>
      </c>
      <c r="T33" s="667" t="s">
        <v>14</v>
      </c>
      <c r="U33" s="668">
        <f t="shared" si="13"/>
        <v>100</v>
      </c>
      <c r="V33" s="667" t="s">
        <v>14</v>
      </c>
      <c r="W33" s="668">
        <f t="shared" si="14"/>
        <v>100</v>
      </c>
      <c r="X33" s="1265"/>
      <c r="Y33" s="3417"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69"/>
      <c r="Q34" s="531" t="str">
        <f t="shared" si="11"/>
        <v>项目建筑规模</v>
      </c>
      <c r="R34" s="669" t="s">
        <v>14</v>
      </c>
      <c r="S34" s="670" t="e">
        <f t="shared" si="12"/>
        <v>#N/A</v>
      </c>
      <c r="T34" s="669" t="s">
        <v>14</v>
      </c>
      <c r="U34" s="670" t="e">
        <f t="shared" si="13"/>
        <v>#N/A</v>
      </c>
      <c r="V34" s="669" t="s">
        <v>14</v>
      </c>
      <c r="W34" s="670" t="e">
        <f t="shared" si="14"/>
        <v>#N/A</v>
      </c>
      <c r="X34" s="671"/>
      <c r="Y34" s="3417"/>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69"/>
      <c r="Q35" s="1263" t="str">
        <f t="shared" si="11"/>
        <v>建筑结构</v>
      </c>
      <c r="R35" s="667" t="s">
        <v>14</v>
      </c>
      <c r="S35" s="668">
        <f t="shared" si="12"/>
        <v>100</v>
      </c>
      <c r="T35" s="667" t="s">
        <v>14</v>
      </c>
      <c r="U35" s="668">
        <f t="shared" si="13"/>
        <v>100</v>
      </c>
      <c r="V35" s="667" t="s">
        <v>14</v>
      </c>
      <c r="W35" s="668">
        <f t="shared" si="14"/>
        <v>100</v>
      </c>
      <c r="X35" s="1265"/>
      <c r="Y35" s="3417"/>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69"/>
      <c r="Q36" s="1263" t="str">
        <f t="shared" si="11"/>
        <v>公共部分装修</v>
      </c>
      <c r="R36" s="667" t="s">
        <v>14</v>
      </c>
      <c r="S36" s="668">
        <f t="shared" si="12"/>
        <v>100</v>
      </c>
      <c r="T36" s="667" t="s">
        <v>14</v>
      </c>
      <c r="U36" s="668">
        <f t="shared" si="13"/>
        <v>100</v>
      </c>
      <c r="V36" s="667" t="s">
        <v>14</v>
      </c>
      <c r="W36" s="668">
        <f t="shared" si="14"/>
        <v>100</v>
      </c>
      <c r="X36" s="1265"/>
      <c r="Y36" s="3417"/>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69"/>
      <c r="Q37" s="1263" t="str">
        <f t="shared" si="11"/>
        <v>成新度</v>
      </c>
      <c r="R37" s="667" t="s">
        <v>14</v>
      </c>
      <c r="S37" s="668" t="e">
        <f t="shared" si="12"/>
        <v>#N/A</v>
      </c>
      <c r="T37" s="667" t="s">
        <v>14</v>
      </c>
      <c r="U37" s="668" t="e">
        <f t="shared" si="13"/>
        <v>#N/A</v>
      </c>
      <c r="V37" s="667" t="s">
        <v>14</v>
      </c>
      <c r="W37" s="668" t="e">
        <f t="shared" si="14"/>
        <v>#N/A</v>
      </c>
      <c r="X37" s="1265"/>
      <c r="Y37" s="3417"/>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69"/>
      <c r="Q38" s="530" t="str">
        <f t="shared" si="11"/>
        <v>写字楼等级</v>
      </c>
      <c r="R38" s="664" t="s">
        <v>14</v>
      </c>
      <c r="S38" s="665">
        <f t="shared" si="12"/>
        <v>100</v>
      </c>
      <c r="T38" s="664" t="s">
        <v>14</v>
      </c>
      <c r="U38" s="665">
        <f t="shared" si="13"/>
        <v>100</v>
      </c>
      <c r="V38" s="664" t="s">
        <v>14</v>
      </c>
      <c r="W38" s="665">
        <f t="shared" si="14"/>
        <v>100</v>
      </c>
      <c r="X38" s="666"/>
      <c r="Y38" s="3417"/>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69" t="s">
        <v>1696</v>
      </c>
      <c r="Q39" s="1263" t="str">
        <f t="shared" si="11"/>
        <v>物业管理</v>
      </c>
      <c r="R39" s="667" t="s">
        <v>14</v>
      </c>
      <c r="S39" s="668">
        <f t="shared" si="12"/>
        <v>100</v>
      </c>
      <c r="T39" s="667" t="s">
        <v>14</v>
      </c>
      <c r="U39" s="668">
        <f t="shared" si="13"/>
        <v>100</v>
      </c>
      <c r="V39" s="667" t="s">
        <v>14</v>
      </c>
      <c r="W39" s="668">
        <f t="shared" si="14"/>
        <v>100</v>
      </c>
      <c r="X39" s="1265"/>
      <c r="Y39" s="3417"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69"/>
      <c r="Q40" s="1263" t="str">
        <f t="shared" si="11"/>
        <v>市政基础设施</v>
      </c>
      <c r="R40" s="667" t="s">
        <v>14</v>
      </c>
      <c r="S40" s="668">
        <f t="shared" si="12"/>
        <v>100</v>
      </c>
      <c r="T40" s="667" t="s">
        <v>14</v>
      </c>
      <c r="U40" s="668">
        <f t="shared" si="13"/>
        <v>100</v>
      </c>
      <c r="V40" s="667" t="s">
        <v>14</v>
      </c>
      <c r="W40" s="668">
        <f t="shared" si="14"/>
        <v>100</v>
      </c>
      <c r="X40" s="1265"/>
      <c r="Y40" s="3417"/>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69"/>
      <c r="Q41" s="1263" t="str">
        <f t="shared" si="11"/>
        <v>层高</v>
      </c>
      <c r="R41" s="667" t="s">
        <v>14</v>
      </c>
      <c r="S41" s="668">
        <f t="shared" si="12"/>
        <v>100</v>
      </c>
      <c r="T41" s="667" t="s">
        <v>14</v>
      </c>
      <c r="U41" s="668">
        <f t="shared" si="13"/>
        <v>100</v>
      </c>
      <c r="V41" s="667" t="s">
        <v>14</v>
      </c>
      <c r="W41" s="668">
        <f t="shared" si="14"/>
        <v>100</v>
      </c>
      <c r="X41" s="1265"/>
      <c r="Y41" s="3417"/>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69"/>
      <c r="Q42" s="531" t="str">
        <f t="shared" si="11"/>
        <v>单套建筑面积</v>
      </c>
      <c r="R42" s="669" t="s">
        <v>14</v>
      </c>
      <c r="S42" s="670">
        <f t="shared" si="12"/>
        <v>100</v>
      </c>
      <c r="T42" s="669" t="s">
        <v>14</v>
      </c>
      <c r="U42" s="670">
        <f t="shared" si="13"/>
        <v>100</v>
      </c>
      <c r="V42" s="669" t="s">
        <v>14</v>
      </c>
      <c r="W42" s="670">
        <f t="shared" si="14"/>
        <v>100</v>
      </c>
      <c r="X42" s="671"/>
      <c r="Y42" s="3417"/>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69"/>
      <c r="Q43" s="1263" t="str">
        <f t="shared" si="11"/>
        <v>内部装修</v>
      </c>
      <c r="R43" s="667" t="s">
        <v>14</v>
      </c>
      <c r="S43" s="668">
        <f t="shared" si="12"/>
        <v>100</v>
      </c>
      <c r="T43" s="667" t="s">
        <v>14</v>
      </c>
      <c r="U43" s="668">
        <f t="shared" si="13"/>
        <v>100</v>
      </c>
      <c r="V43" s="667" t="s">
        <v>14</v>
      </c>
      <c r="W43" s="668">
        <f t="shared" si="14"/>
        <v>100</v>
      </c>
      <c r="X43" s="1265"/>
      <c r="Y43" s="3417"/>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69"/>
      <c r="Q44" s="1263" t="str">
        <f t="shared" si="11"/>
        <v>内部装修维护情况</v>
      </c>
      <c r="R44" s="667" t="s">
        <v>14</v>
      </c>
      <c r="S44" s="668">
        <f t="shared" si="12"/>
        <v>100</v>
      </c>
      <c r="T44" s="667" t="s">
        <v>14</v>
      </c>
      <c r="U44" s="668">
        <f t="shared" si="13"/>
        <v>100</v>
      </c>
      <c r="V44" s="667" t="s">
        <v>14</v>
      </c>
      <c r="W44" s="668">
        <f t="shared" si="14"/>
        <v>100</v>
      </c>
      <c r="X44" s="1265"/>
      <c r="Y44" s="3417"/>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69"/>
      <c r="Q45" s="530">
        <f t="shared" si="11"/>
        <v>111</v>
      </c>
      <c r="R45" s="664" t="s">
        <v>14</v>
      </c>
      <c r="S45" s="665">
        <f t="shared" si="12"/>
        <v>100</v>
      </c>
      <c r="T45" s="664" t="s">
        <v>14</v>
      </c>
      <c r="U45" s="665">
        <f t="shared" si="13"/>
        <v>100</v>
      </c>
      <c r="V45" s="664" t="s">
        <v>14</v>
      </c>
      <c r="W45" s="665">
        <f t="shared" si="14"/>
        <v>100</v>
      </c>
      <c r="X45" s="666"/>
      <c r="Y45" s="3417"/>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69"/>
      <c r="Q46" s="1263">
        <f t="shared" si="11"/>
        <v>111</v>
      </c>
      <c r="R46" s="667" t="s">
        <v>14</v>
      </c>
      <c r="S46" s="668">
        <f t="shared" si="12"/>
        <v>100</v>
      </c>
      <c r="T46" s="667" t="s">
        <v>14</v>
      </c>
      <c r="U46" s="668">
        <f t="shared" si="13"/>
        <v>100</v>
      </c>
      <c r="V46" s="667" t="s">
        <v>14</v>
      </c>
      <c r="W46" s="668">
        <f t="shared" si="14"/>
        <v>100</v>
      </c>
      <c r="X46" s="1265"/>
      <c r="Y46" s="3417"/>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70"/>
      <c r="Q47" s="1263">
        <f t="shared" si="11"/>
        <v>111</v>
      </c>
      <c r="R47" s="667" t="s">
        <v>14</v>
      </c>
      <c r="S47" s="668">
        <f t="shared" si="12"/>
        <v>100</v>
      </c>
      <c r="T47" s="667" t="s">
        <v>14</v>
      </c>
      <c r="U47" s="668">
        <f t="shared" si="13"/>
        <v>100</v>
      </c>
      <c r="V47" s="667" t="s">
        <v>14</v>
      </c>
      <c r="W47" s="668">
        <f t="shared" si="14"/>
        <v>100</v>
      </c>
      <c r="X47" s="1265"/>
      <c r="Y47" s="3471"/>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66" t="str">
        <f>A48</f>
        <v>成交单价（元/平方米）</v>
      </c>
      <c r="Q48" s="3399"/>
      <c r="R48" s="3412">
        <f>E48</f>
        <v>0</v>
      </c>
      <c r="S48" s="3412"/>
      <c r="T48" s="3412">
        <f>G48</f>
        <v>0</v>
      </c>
      <c r="U48" s="3412"/>
      <c r="V48" s="3412">
        <f>I48</f>
        <v>0</v>
      </c>
      <c r="W48" s="3412"/>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66" t="str">
        <f>A49</f>
        <v>比较价值（元/平方米）</v>
      </c>
      <c r="Q49" s="3399"/>
      <c r="R49" s="3412" t="e">
        <f>IF(F1="售价",ROUND(PRODUCT(R48,AA7:AA47),0),ROUND(PRODUCT(R48,AA7:AA47),1))</f>
        <v>#DIV/0!</v>
      </c>
      <c r="S49" s="3412"/>
      <c r="T49" s="3412" t="e">
        <f>IF(F1="售价",ROUND(PRODUCT(T48,AB7:AB47),0),ROUND(PRODUCT(T48,AB7:AB47),1))</f>
        <v>#DIV/0!</v>
      </c>
      <c r="U49" s="3412"/>
      <c r="V49" s="3412" t="e">
        <f>IF(F1="售价",ROUND(PRODUCT(V48,AC7:AC47),0),ROUND(PRODUCT(V48,AC7:AC47),1))</f>
        <v>#DIV/0!</v>
      </c>
      <c r="W49" s="341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16683.080000000002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860"/>
      <c r="M4" s="861"/>
      <c r="N4" s="861"/>
      <c r="O4" s="861"/>
      <c r="P4" s="3404" t="s">
        <v>1775</v>
      </c>
      <c r="Q4" s="3405"/>
      <c r="R4" s="3387" t="s">
        <v>1771</v>
      </c>
      <c r="S4" s="3388"/>
      <c r="T4" s="3387" t="s">
        <v>1772</v>
      </c>
      <c r="U4" s="3388"/>
      <c r="V4" s="3412" t="s">
        <v>1773</v>
      </c>
      <c r="W4" s="3412"/>
      <c r="X4" s="1265"/>
      <c r="Y4" s="3387" t="s">
        <v>1775</v>
      </c>
      <c r="Z4" s="3388"/>
      <c r="AA4" s="3382" t="s">
        <v>1771</v>
      </c>
      <c r="AB4" s="3383" t="s">
        <v>1772</v>
      </c>
      <c r="AC4" s="3382" t="s">
        <v>1773</v>
      </c>
    </row>
    <row r="5" spans="1:29" ht="15">
      <c r="A5" s="348"/>
      <c r="B5" s="349"/>
      <c r="C5" s="3393" t="s">
        <v>1673</v>
      </c>
      <c r="D5" s="3394"/>
      <c r="E5" s="3391" t="s">
        <v>1674</v>
      </c>
      <c r="F5" s="3392"/>
      <c r="G5" s="3393" t="s">
        <v>1675</v>
      </c>
      <c r="H5" s="3394"/>
      <c r="I5" s="3393" t="s">
        <v>1676</v>
      </c>
      <c r="J5" s="3394"/>
      <c r="K5" s="537"/>
      <c r="L5" s="860"/>
      <c r="M5" s="861"/>
      <c r="N5" s="861"/>
      <c r="O5" s="861"/>
      <c r="P5" s="3406"/>
      <c r="Q5" s="3407"/>
      <c r="R5" s="3389"/>
      <c r="S5" s="3390"/>
      <c r="T5" s="3389"/>
      <c r="U5" s="3390"/>
      <c r="V5" s="3412"/>
      <c r="W5" s="3412"/>
      <c r="X5" s="1265"/>
      <c r="Y5" s="3389"/>
      <c r="Z5" s="3390"/>
      <c r="AA5" s="3383"/>
      <c r="AB5" s="3383"/>
      <c r="AC5" s="3383"/>
    </row>
    <row r="6" spans="1:29" ht="15.75" thickBot="1">
      <c r="A6" s="350"/>
      <c r="B6" s="351"/>
      <c r="C6" s="3395" t="s">
        <v>1677</v>
      </c>
      <c r="D6" s="3396"/>
      <c r="E6" s="3397" t="s">
        <v>1677</v>
      </c>
      <c r="F6" s="3398"/>
      <c r="G6" s="3395" t="s">
        <v>1677</v>
      </c>
      <c r="H6" s="3396"/>
      <c r="I6" s="3395" t="s">
        <v>1677</v>
      </c>
      <c r="J6" s="3396"/>
      <c r="K6" s="537" t="s">
        <v>1678</v>
      </c>
      <c r="L6" s="860"/>
      <c r="M6" s="861"/>
      <c r="N6" s="861"/>
      <c r="O6" s="861"/>
      <c r="P6" s="3408"/>
      <c r="Q6" s="3409"/>
      <c r="R6" s="3389"/>
      <c r="S6" s="3390"/>
      <c r="T6" s="3410"/>
      <c r="U6" s="3411"/>
      <c r="V6" s="3412"/>
      <c r="W6" s="3412"/>
      <c r="X6" s="1265"/>
      <c r="Y6" s="3410"/>
      <c r="Z6" s="3411"/>
      <c r="AA6" s="3384"/>
      <c r="AB6" s="3384"/>
      <c r="AC6" s="3384"/>
    </row>
    <row r="7" spans="1:29" s="102" customFormat="1" ht="15.75" thickBot="1">
      <c r="A7" s="352" t="s">
        <v>1679</v>
      </c>
      <c r="B7" s="353"/>
      <c r="C7" s="354">
        <f>'数据-取费表'!B2</f>
        <v>45952</v>
      </c>
      <c r="D7" s="355">
        <v>100</v>
      </c>
      <c r="E7" s="356"/>
      <c r="F7" s="357">
        <f>SUMIF(52:52,YEAR(E7)&amp;"-"&amp;MONTH(E7),53:53)</f>
        <v>0</v>
      </c>
      <c r="G7" s="356"/>
      <c r="H7" s="355">
        <f>SUMIF(52:52,YEAR(G7)&amp;"-"&amp;MONTH(G7),53:53)</f>
        <v>0</v>
      </c>
      <c r="I7" s="356"/>
      <c r="J7" s="355">
        <f>SUMIF(52:52,YEAR(I7)&amp;"-"&amp;MONTH(I7),53:53)</f>
        <v>0</v>
      </c>
      <c r="K7" s="38"/>
      <c r="L7" s="862"/>
      <c r="M7" s="863"/>
      <c r="N7" s="863"/>
      <c r="O7" s="863"/>
      <c r="P7" s="3385" t="s">
        <v>1680</v>
      </c>
      <c r="Q7" s="3413"/>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85" t="s">
        <v>1683</v>
      </c>
      <c r="Q8" s="3386"/>
      <c r="R8" s="664" t="s">
        <v>14</v>
      </c>
      <c r="S8" s="665">
        <f t="shared" si="0"/>
        <v>100</v>
      </c>
      <c r="T8" s="664" t="s">
        <v>14</v>
      </c>
      <c r="U8" s="665">
        <f t="shared" si="1"/>
        <v>100</v>
      </c>
      <c r="V8" s="664" t="s">
        <v>14</v>
      </c>
      <c r="W8" s="665">
        <f t="shared" si="2"/>
        <v>100</v>
      </c>
      <c r="X8" s="666"/>
      <c r="Y8" s="3385" t="s">
        <v>1683</v>
      </c>
      <c r="Z8" s="338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9"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9"/>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9"/>
      <c r="Q11" s="530" t="str">
        <f t="shared" si="6"/>
        <v>容积率</v>
      </c>
      <c r="R11" s="664" t="s">
        <v>14</v>
      </c>
      <c r="S11" s="665">
        <f t="shared" si="0"/>
        <v>100</v>
      </c>
      <c r="T11" s="664" t="s">
        <v>14</v>
      </c>
      <c r="U11" s="665">
        <f t="shared" si="1"/>
        <v>100</v>
      </c>
      <c r="V11" s="664" t="s">
        <v>14</v>
      </c>
      <c r="W11" s="665">
        <f t="shared" si="2"/>
        <v>100</v>
      </c>
      <c r="X11" s="666"/>
      <c r="Y11" s="33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9"/>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9"/>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9"/>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5"/>
      <c r="Q16" s="1263"/>
      <c r="R16" s="667"/>
      <c r="S16" s="668"/>
      <c r="T16" s="667"/>
      <c r="U16" s="668"/>
      <c r="V16" s="667"/>
      <c r="W16" s="668"/>
      <c r="X16" s="1265"/>
      <c r="Y16" s="3415"/>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5"/>
      <c r="Q18" s="1263"/>
      <c r="R18" s="667"/>
      <c r="S18" s="668"/>
      <c r="T18" s="667"/>
      <c r="U18" s="668"/>
      <c r="V18" s="667"/>
      <c r="W18" s="668"/>
      <c r="X18" s="1265"/>
      <c r="Y18" s="3415"/>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5"/>
      <c r="Q19" s="1263" t="str">
        <f>B19</f>
        <v>公共配套设施</v>
      </c>
      <c r="R19" s="667" t="s">
        <v>14</v>
      </c>
      <c r="S19" s="668">
        <f>F19</f>
        <v>100</v>
      </c>
      <c r="T19" s="667" t="s">
        <v>14</v>
      </c>
      <c r="U19" s="668">
        <f>H19</f>
        <v>100</v>
      </c>
      <c r="V19" s="667" t="s">
        <v>14</v>
      </c>
      <c r="W19" s="668">
        <f>J19</f>
        <v>100</v>
      </c>
      <c r="X19" s="1265"/>
      <c r="Y19" s="3415"/>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5"/>
      <c r="Q20" s="1263"/>
      <c r="R20" s="667"/>
      <c r="S20" s="668"/>
      <c r="T20" s="667"/>
      <c r="U20" s="668"/>
      <c r="V20" s="667"/>
      <c r="W20" s="668"/>
      <c r="X20" s="1265"/>
      <c r="Y20" s="3415"/>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5"/>
      <c r="Q21" s="1263" t="str">
        <f>B21</f>
        <v>基础设施水平</v>
      </c>
      <c r="R21" s="667" t="s">
        <v>14</v>
      </c>
      <c r="S21" s="668">
        <f>F21</f>
        <v>100</v>
      </c>
      <c r="T21" s="667" t="s">
        <v>14</v>
      </c>
      <c r="U21" s="668">
        <f>H21</f>
        <v>100</v>
      </c>
      <c r="V21" s="667" t="s">
        <v>14</v>
      </c>
      <c r="W21" s="668">
        <f>J21</f>
        <v>100</v>
      </c>
      <c r="X21" s="1265"/>
      <c r="Y21" s="3415"/>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5"/>
      <c r="Q22" s="1263"/>
      <c r="R22" s="667"/>
      <c r="S22" s="668"/>
      <c r="T22" s="667"/>
      <c r="U22" s="668"/>
      <c r="V22" s="667"/>
      <c r="W22" s="668"/>
      <c r="X22" s="1265"/>
      <c r="Y22" s="3415"/>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5"/>
      <c r="Q23" s="1263" t="str">
        <f>B23</f>
        <v>环境质量</v>
      </c>
      <c r="R23" s="667" t="s">
        <v>14</v>
      </c>
      <c r="S23" s="668">
        <f>F23</f>
        <v>100</v>
      </c>
      <c r="T23" s="667" t="s">
        <v>14</v>
      </c>
      <c r="U23" s="668">
        <f>H23</f>
        <v>100</v>
      </c>
      <c r="V23" s="667" t="s">
        <v>14</v>
      </c>
      <c r="W23" s="668">
        <f>J23</f>
        <v>100</v>
      </c>
      <c r="X23" s="1265"/>
      <c r="Y23" s="3415"/>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5"/>
      <c r="Q24" s="1263"/>
      <c r="R24" s="667"/>
      <c r="S24" s="668"/>
      <c r="T24" s="667"/>
      <c r="U24" s="668"/>
      <c r="V24" s="667"/>
      <c r="W24" s="668"/>
      <c r="X24" s="1265"/>
      <c r="Y24" s="3415"/>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5"/>
      <c r="Q25" s="1263">
        <f>B25</f>
        <v>111</v>
      </c>
      <c r="R25" s="667" t="s">
        <v>14</v>
      </c>
      <c r="S25" s="668">
        <f>F25</f>
        <v>100</v>
      </c>
      <c r="T25" s="667" t="s">
        <v>14</v>
      </c>
      <c r="U25" s="668">
        <f>H25</f>
        <v>100</v>
      </c>
      <c r="V25" s="667" t="s">
        <v>14</v>
      </c>
      <c r="W25" s="668">
        <f>J25</f>
        <v>100</v>
      </c>
      <c r="X25" s="1265"/>
      <c r="Y25" s="3415"/>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5"/>
      <c r="Q26" s="1263">
        <f t="shared" ref="Q26:Q40" si="11">B26</f>
        <v>111</v>
      </c>
      <c r="R26" s="667" t="s">
        <v>14</v>
      </c>
      <c r="S26" s="668">
        <f>F26</f>
        <v>100</v>
      </c>
      <c r="T26" s="667" t="s">
        <v>14</v>
      </c>
      <c r="U26" s="668">
        <f>H26</f>
        <v>100</v>
      </c>
      <c r="V26" s="667" t="s">
        <v>14</v>
      </c>
      <c r="W26" s="668">
        <f>J26</f>
        <v>100</v>
      </c>
      <c r="X26" s="1265"/>
      <c r="Y26" s="3415"/>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5"/>
      <c r="Q27" s="530">
        <f t="shared" si="11"/>
        <v>111</v>
      </c>
      <c r="R27" s="664" t="s">
        <v>14</v>
      </c>
      <c r="S27" s="665">
        <f>F27</f>
        <v>100</v>
      </c>
      <c r="T27" s="664" t="s">
        <v>14</v>
      </c>
      <c r="U27" s="665">
        <f>H27</f>
        <v>100</v>
      </c>
      <c r="V27" s="664" t="s">
        <v>14</v>
      </c>
      <c r="W27" s="665">
        <f>J27</f>
        <v>100</v>
      </c>
      <c r="X27" s="666"/>
      <c r="Y27" s="3415"/>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5"/>
      <c r="Q28" s="1263">
        <f t="shared" si="11"/>
        <v>111</v>
      </c>
      <c r="R28" s="667" t="s">
        <v>14</v>
      </c>
      <c r="S28" s="668">
        <f t="shared" ref="S28:S40" si="12">F28</f>
        <v>100</v>
      </c>
      <c r="T28" s="667" t="s">
        <v>14</v>
      </c>
      <c r="U28" s="668">
        <f t="shared" ref="U28:U40" si="13">H28</f>
        <v>100</v>
      </c>
      <c r="V28" s="667" t="s">
        <v>14</v>
      </c>
      <c r="W28" s="668">
        <f t="shared" ref="W28:W40" si="14">J28</f>
        <v>100</v>
      </c>
      <c r="X28" s="1265"/>
      <c r="Y28" s="3415"/>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16" t="s">
        <v>1696</v>
      </c>
      <c r="Q29" s="1263" t="str">
        <f t="shared" si="11"/>
        <v>建筑类型</v>
      </c>
      <c r="R29" s="667" t="s">
        <v>14</v>
      </c>
      <c r="S29" s="668">
        <f t="shared" si="12"/>
        <v>100</v>
      </c>
      <c r="T29" s="667" t="s">
        <v>14</v>
      </c>
      <c r="U29" s="668">
        <f t="shared" si="13"/>
        <v>100</v>
      </c>
      <c r="V29" s="667" t="s">
        <v>14</v>
      </c>
      <c r="W29" s="668">
        <f t="shared" si="14"/>
        <v>100</v>
      </c>
      <c r="X29" s="1265"/>
      <c r="Y29" s="3417"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7"/>
      <c r="Q30" s="531" t="str">
        <f t="shared" si="11"/>
        <v>项目建筑规模</v>
      </c>
      <c r="R30" s="669" t="s">
        <v>14</v>
      </c>
      <c r="S30" s="670" t="e">
        <f t="shared" si="12"/>
        <v>#N/A</v>
      </c>
      <c r="T30" s="669" t="s">
        <v>14</v>
      </c>
      <c r="U30" s="670" t="e">
        <f t="shared" si="13"/>
        <v>#N/A</v>
      </c>
      <c r="V30" s="669" t="s">
        <v>14</v>
      </c>
      <c r="W30" s="670" t="e">
        <f t="shared" si="14"/>
        <v>#N/A</v>
      </c>
      <c r="X30" s="671"/>
      <c r="Y30" s="3417"/>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7"/>
      <c r="Q31" s="1263" t="str">
        <f t="shared" si="11"/>
        <v>建筑结构</v>
      </c>
      <c r="R31" s="667" t="s">
        <v>14</v>
      </c>
      <c r="S31" s="668">
        <f t="shared" si="12"/>
        <v>100</v>
      </c>
      <c r="T31" s="667" t="s">
        <v>14</v>
      </c>
      <c r="U31" s="668">
        <f t="shared" si="13"/>
        <v>100</v>
      </c>
      <c r="V31" s="667" t="s">
        <v>14</v>
      </c>
      <c r="W31" s="668">
        <f t="shared" si="14"/>
        <v>100</v>
      </c>
      <c r="X31" s="1265"/>
      <c r="Y31" s="3417"/>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7"/>
      <c r="Q32" s="1263" t="str">
        <f t="shared" si="11"/>
        <v>公共部分装修</v>
      </c>
      <c r="R32" s="667" t="s">
        <v>14</v>
      </c>
      <c r="S32" s="668">
        <f t="shared" si="12"/>
        <v>100</v>
      </c>
      <c r="T32" s="667" t="s">
        <v>14</v>
      </c>
      <c r="U32" s="668">
        <f t="shared" si="13"/>
        <v>100</v>
      </c>
      <c r="V32" s="667" t="s">
        <v>14</v>
      </c>
      <c r="W32" s="668">
        <f t="shared" si="14"/>
        <v>100</v>
      </c>
      <c r="X32" s="1265"/>
      <c r="Y32" s="3417"/>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7"/>
      <c r="Q33" s="1263" t="str">
        <f t="shared" si="11"/>
        <v>成新度</v>
      </c>
      <c r="R33" s="667" t="s">
        <v>14</v>
      </c>
      <c r="S33" s="668" t="e">
        <f t="shared" si="12"/>
        <v>#N/A</v>
      </c>
      <c r="T33" s="667" t="s">
        <v>14</v>
      </c>
      <c r="U33" s="668" t="e">
        <f t="shared" si="13"/>
        <v>#N/A</v>
      </c>
      <c r="V33" s="667" t="s">
        <v>14</v>
      </c>
      <c r="W33" s="668" t="e">
        <f t="shared" si="14"/>
        <v>#N/A</v>
      </c>
      <c r="X33" s="1265"/>
      <c r="Y33" s="3417"/>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7"/>
      <c r="Q34" s="530" t="str">
        <f t="shared" si="11"/>
        <v>物业管理</v>
      </c>
      <c r="R34" s="664" t="s">
        <v>14</v>
      </c>
      <c r="S34" s="665">
        <f t="shared" si="12"/>
        <v>100</v>
      </c>
      <c r="T34" s="664" t="s">
        <v>14</v>
      </c>
      <c r="U34" s="665">
        <f t="shared" si="13"/>
        <v>100</v>
      </c>
      <c r="V34" s="664" t="s">
        <v>14</v>
      </c>
      <c r="W34" s="665">
        <f t="shared" si="14"/>
        <v>100</v>
      </c>
      <c r="X34" s="666"/>
      <c r="Y34" s="3417"/>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7" t="s">
        <v>1696</v>
      </c>
      <c r="Q35" s="1263" t="str">
        <f t="shared" si="11"/>
        <v>市政基础设施</v>
      </c>
      <c r="R35" s="667" t="s">
        <v>14</v>
      </c>
      <c r="S35" s="668">
        <f t="shared" si="12"/>
        <v>100</v>
      </c>
      <c r="T35" s="667" t="s">
        <v>14</v>
      </c>
      <c r="U35" s="668">
        <f t="shared" si="13"/>
        <v>100</v>
      </c>
      <c r="V35" s="667" t="s">
        <v>14</v>
      </c>
      <c r="W35" s="668">
        <f t="shared" si="14"/>
        <v>100</v>
      </c>
      <c r="X35" s="1265"/>
      <c r="Y35" s="3417"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7"/>
      <c r="Q36" s="1263" t="str">
        <f t="shared" si="11"/>
        <v>内部装修</v>
      </c>
      <c r="R36" s="667" t="s">
        <v>14</v>
      </c>
      <c r="S36" s="668">
        <f t="shared" si="12"/>
        <v>100</v>
      </c>
      <c r="T36" s="667" t="s">
        <v>14</v>
      </c>
      <c r="U36" s="668">
        <f t="shared" si="13"/>
        <v>100</v>
      </c>
      <c r="V36" s="667" t="s">
        <v>14</v>
      </c>
      <c r="W36" s="668">
        <f t="shared" si="14"/>
        <v>100</v>
      </c>
      <c r="X36" s="1265"/>
      <c r="Y36" s="3417"/>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7"/>
      <c r="Q37" s="1263" t="str">
        <f t="shared" si="11"/>
        <v>内部装修状况</v>
      </c>
      <c r="R37" s="667" t="s">
        <v>14</v>
      </c>
      <c r="S37" s="668">
        <f t="shared" si="12"/>
        <v>100</v>
      </c>
      <c r="T37" s="667" t="s">
        <v>14</v>
      </c>
      <c r="U37" s="668">
        <f t="shared" si="13"/>
        <v>100</v>
      </c>
      <c r="V37" s="667" t="s">
        <v>14</v>
      </c>
      <c r="W37" s="668">
        <f t="shared" si="14"/>
        <v>100</v>
      </c>
      <c r="X37" s="1265"/>
      <c r="Y37" s="3417"/>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7"/>
      <c r="Q38" s="531">
        <f t="shared" si="11"/>
        <v>111</v>
      </c>
      <c r="R38" s="669" t="s">
        <v>14</v>
      </c>
      <c r="S38" s="670">
        <f t="shared" si="12"/>
        <v>100</v>
      </c>
      <c r="T38" s="669" t="s">
        <v>14</v>
      </c>
      <c r="U38" s="670">
        <f t="shared" si="13"/>
        <v>100</v>
      </c>
      <c r="V38" s="669" t="s">
        <v>14</v>
      </c>
      <c r="W38" s="670">
        <f t="shared" si="14"/>
        <v>100</v>
      </c>
      <c r="X38" s="671"/>
      <c r="Y38" s="3417"/>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7"/>
      <c r="Q39" s="1263">
        <f t="shared" si="11"/>
        <v>111</v>
      </c>
      <c r="R39" s="667" t="s">
        <v>14</v>
      </c>
      <c r="S39" s="668">
        <f t="shared" si="12"/>
        <v>100</v>
      </c>
      <c r="T39" s="667" t="s">
        <v>14</v>
      </c>
      <c r="U39" s="668">
        <f t="shared" si="13"/>
        <v>100</v>
      </c>
      <c r="V39" s="667" t="s">
        <v>14</v>
      </c>
      <c r="W39" s="668">
        <f t="shared" si="14"/>
        <v>100</v>
      </c>
      <c r="X39" s="1265"/>
      <c r="Y39" s="3417"/>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71"/>
      <c r="Q40" s="1263">
        <f t="shared" si="11"/>
        <v>111</v>
      </c>
      <c r="R40" s="667" t="s">
        <v>14</v>
      </c>
      <c r="S40" s="668">
        <f t="shared" si="12"/>
        <v>100</v>
      </c>
      <c r="T40" s="667" t="s">
        <v>14</v>
      </c>
      <c r="U40" s="668">
        <f t="shared" si="13"/>
        <v>100</v>
      </c>
      <c r="V40" s="667" t="s">
        <v>14</v>
      </c>
      <c r="W40" s="668">
        <f t="shared" si="14"/>
        <v>100</v>
      </c>
      <c r="X40" s="1265"/>
      <c r="Y40" s="3471"/>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9" t="str">
        <f>A41</f>
        <v>成交单价（元/平方米）</v>
      </c>
      <c r="Q41" s="3399"/>
      <c r="R41" s="3412">
        <f>E41</f>
        <v>0</v>
      </c>
      <c r="S41" s="3412"/>
      <c r="T41" s="3412">
        <f>G41</f>
        <v>0</v>
      </c>
      <c r="U41" s="3412"/>
      <c r="V41" s="3412">
        <f>I41</f>
        <v>0</v>
      </c>
      <c r="W41" s="3412"/>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9" t="str">
        <f>A42</f>
        <v>比较价值（元/平方米）</v>
      </c>
      <c r="Q42" s="3399"/>
      <c r="R42" s="3412" t="e">
        <f>IF(F1="售价",ROUND(PRODUCT(R41,AA7:AA40),0),ROUND(PRODUCT(R41,AA7:AA40),1))</f>
        <v>#DIV/0!</v>
      </c>
      <c r="S42" s="3412"/>
      <c r="T42" s="3412" t="e">
        <f>IF(F1="售价",ROUND(PRODUCT(T41,AB7:AB40),0),ROUND(PRODUCT(T41,AB7:AB40),1))</f>
        <v>#DIV/0!</v>
      </c>
      <c r="U42" s="3412"/>
      <c r="V42" s="3412" t="e">
        <f>IF(F1="售价",ROUND(PRODUCT(V41,AC7:AC40),0),ROUND(PRODUCT(V41,AC7:AC40),1))</f>
        <v>#DIV/0!</v>
      </c>
      <c r="W42" s="341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18" t="str">
        <f>A43</f>
        <v>估价对象XX用房的比较价值（楼面单价，元/平方米）</v>
      </c>
      <c r="Q43" s="3419"/>
      <c r="R43" s="3467" t="e">
        <f>IF(F1="售价",ROUND(IF(D42="简单平均",AVERAGE(R42:V42),R42*F42+T42*H42+V42*J42),0),ROUND(IF(D42="简单平均",AVERAGE(R42:V42),R42*F42+T42*H42+V42*J42),1))</f>
        <v>#DIV/0!</v>
      </c>
      <c r="S43" s="3467"/>
      <c r="T43" s="3467"/>
      <c r="U43" s="3467"/>
      <c r="V43" s="3467"/>
      <c r="W43" s="34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3330</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7"/>
      <c r="M4" s="2488"/>
      <c r="N4" s="2488"/>
      <c r="O4" s="2488"/>
      <c r="P4" s="3404" t="s">
        <v>1775</v>
      </c>
      <c r="Q4" s="3405"/>
      <c r="R4" s="3387" t="s">
        <v>1771</v>
      </c>
      <c r="S4" s="3388"/>
      <c r="T4" s="3387" t="s">
        <v>1772</v>
      </c>
      <c r="U4" s="3388"/>
      <c r="V4" s="3412" t="s">
        <v>1773</v>
      </c>
      <c r="W4" s="3412"/>
      <c r="X4" s="1265"/>
      <c r="Y4" s="3387" t="s">
        <v>1775</v>
      </c>
      <c r="Z4" s="3388"/>
      <c r="AA4" s="3382" t="s">
        <v>1771</v>
      </c>
      <c r="AB4" s="3383" t="s">
        <v>1772</v>
      </c>
      <c r="AC4" s="3382" t="s">
        <v>1773</v>
      </c>
    </row>
    <row r="5" spans="1:29" ht="15">
      <c r="A5" s="348"/>
      <c r="B5" s="349"/>
      <c r="C5" s="3393" t="s">
        <v>1673</v>
      </c>
      <c r="D5" s="3394"/>
      <c r="E5" s="3391" t="s">
        <v>1674</v>
      </c>
      <c r="F5" s="3392"/>
      <c r="G5" s="3393" t="s">
        <v>1675</v>
      </c>
      <c r="H5" s="3394"/>
      <c r="I5" s="3393" t="s">
        <v>1676</v>
      </c>
      <c r="J5" s="3394"/>
      <c r="K5" s="537"/>
      <c r="L5" s="2487"/>
      <c r="M5" s="2488"/>
      <c r="N5" s="2488"/>
      <c r="O5" s="2488"/>
      <c r="P5" s="3406"/>
      <c r="Q5" s="3407"/>
      <c r="R5" s="3389"/>
      <c r="S5" s="3390"/>
      <c r="T5" s="3389"/>
      <c r="U5" s="3390"/>
      <c r="V5" s="3412"/>
      <c r="W5" s="3412"/>
      <c r="X5" s="1265"/>
      <c r="Y5" s="3389"/>
      <c r="Z5" s="3390"/>
      <c r="AA5" s="3383"/>
      <c r="AB5" s="3383"/>
      <c r="AC5" s="3383"/>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408"/>
      <c r="Q6" s="3409"/>
      <c r="R6" s="3389"/>
      <c r="S6" s="3390"/>
      <c r="T6" s="3410"/>
      <c r="U6" s="3411"/>
      <c r="V6" s="3412"/>
      <c r="W6" s="3412"/>
      <c r="X6" s="1265"/>
      <c r="Y6" s="3410"/>
      <c r="Z6" s="3411"/>
      <c r="AA6" s="3384"/>
      <c r="AB6" s="3384"/>
      <c r="AC6" s="3384"/>
    </row>
    <row r="7" spans="1:29" s="102" customFormat="1" ht="15.75" thickBot="1">
      <c r="A7" s="352" t="s">
        <v>1679</v>
      </c>
      <c r="B7" s="353"/>
      <c r="C7" s="354">
        <f>'数据-取费表'!B2</f>
        <v>45952</v>
      </c>
      <c r="D7" s="355">
        <v>100</v>
      </c>
      <c r="E7" s="356"/>
      <c r="F7" s="357">
        <f>SUMIF(48:48,YEAR(E7)&amp;"-"&amp;MONTH(E7),49:49)</f>
        <v>0</v>
      </c>
      <c r="G7" s="356"/>
      <c r="H7" s="355">
        <f>SUMIF(48:48,YEAR(G7)&amp;"-"&amp;MONTH(G7),49:49)</f>
        <v>0</v>
      </c>
      <c r="I7" s="356"/>
      <c r="J7" s="355">
        <f>SUMIF(48:48,YEAR(I7)&amp;"-"&amp;MONTH(I7),49:49)</f>
        <v>0</v>
      </c>
      <c r="K7" s="38"/>
      <c r="L7" s="2489"/>
      <c r="M7" s="2440"/>
      <c r="N7" s="2440"/>
      <c r="O7" s="2440"/>
      <c r="P7" s="3385" t="s">
        <v>1680</v>
      </c>
      <c r="Q7" s="3413"/>
      <c r="R7" s="664" t="s">
        <v>14</v>
      </c>
      <c r="S7" s="665">
        <f t="shared" ref="S7:S14" si="0">F7</f>
        <v>0</v>
      </c>
      <c r="T7" s="664" t="s">
        <v>14</v>
      </c>
      <c r="U7" s="665">
        <f t="shared" ref="U7:U14" si="1">H7</f>
        <v>0</v>
      </c>
      <c r="V7" s="664" t="s">
        <v>14</v>
      </c>
      <c r="W7" s="665">
        <f t="shared" ref="W7:W14" si="2">J7</f>
        <v>0</v>
      </c>
      <c r="X7" s="666"/>
      <c r="Y7" s="3385" t="s">
        <v>1680</v>
      </c>
      <c r="Z7" s="338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85" t="s">
        <v>1683</v>
      </c>
      <c r="Q8" s="3386"/>
      <c r="R8" s="664" t="s">
        <v>14</v>
      </c>
      <c r="S8" s="665">
        <f t="shared" si="0"/>
        <v>100</v>
      </c>
      <c r="T8" s="664" t="s">
        <v>14</v>
      </c>
      <c r="U8" s="665">
        <f t="shared" si="1"/>
        <v>100</v>
      </c>
      <c r="V8" s="664" t="s">
        <v>14</v>
      </c>
      <c r="W8" s="665">
        <f t="shared" si="2"/>
        <v>100</v>
      </c>
      <c r="X8" s="666"/>
      <c r="Y8" s="3385" t="s">
        <v>1683</v>
      </c>
      <c r="Z8" s="338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9" t="s">
        <v>1686</v>
      </c>
      <c r="Q9" s="530" t="str">
        <f t="shared" ref="Q9:Q14" si="6">B9</f>
        <v>用途</v>
      </c>
      <c r="R9" s="664" t="s">
        <v>14</v>
      </c>
      <c r="S9" s="665">
        <f t="shared" si="0"/>
        <v>100</v>
      </c>
      <c r="T9" s="664" t="s">
        <v>14</v>
      </c>
      <c r="U9" s="665">
        <f t="shared" si="1"/>
        <v>100</v>
      </c>
      <c r="V9" s="664" t="s">
        <v>14</v>
      </c>
      <c r="W9" s="665">
        <f t="shared" si="2"/>
        <v>100</v>
      </c>
      <c r="X9" s="666"/>
      <c r="Y9" s="3354"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9"/>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9"/>
      <c r="Q11" s="530">
        <f t="shared" si="6"/>
        <v>111</v>
      </c>
      <c r="R11" s="664" t="s">
        <v>14</v>
      </c>
      <c r="S11" s="665">
        <f t="shared" si="0"/>
        <v>100</v>
      </c>
      <c r="T11" s="664" t="s">
        <v>14</v>
      </c>
      <c r="U11" s="665">
        <f t="shared" si="1"/>
        <v>100</v>
      </c>
      <c r="V11" s="664" t="s">
        <v>14</v>
      </c>
      <c r="W11" s="665">
        <f t="shared" si="2"/>
        <v>100</v>
      </c>
      <c r="X11" s="666"/>
      <c r="Y11" s="33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9"/>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9"/>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4" t="s">
        <v>1691</v>
      </c>
      <c r="Q14" s="1263" t="str">
        <f t="shared" si="6"/>
        <v>交通便捷度</v>
      </c>
      <c r="R14" s="667" t="s">
        <v>14</v>
      </c>
      <c r="S14" s="668">
        <f t="shared" si="0"/>
        <v>100</v>
      </c>
      <c r="T14" s="667" t="s">
        <v>14</v>
      </c>
      <c r="U14" s="668">
        <f t="shared" si="1"/>
        <v>100</v>
      </c>
      <c r="V14" s="667" t="s">
        <v>14</v>
      </c>
      <c r="W14" s="668">
        <f t="shared" si="2"/>
        <v>100</v>
      </c>
      <c r="X14" s="1265"/>
      <c r="Y14" s="3414"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5"/>
      <c r="Q15" s="1263"/>
      <c r="R15" s="667"/>
      <c r="S15" s="668"/>
      <c r="T15" s="667"/>
      <c r="U15" s="668"/>
      <c r="V15" s="667"/>
      <c r="W15" s="668"/>
      <c r="X15" s="1265"/>
      <c r="Y15" s="3415"/>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5"/>
      <c r="Q16" s="1263" t="str">
        <f>B16</f>
        <v>公共配套设施</v>
      </c>
      <c r="R16" s="667" t="s">
        <v>14</v>
      </c>
      <c r="S16" s="668">
        <f>F16</f>
        <v>100</v>
      </c>
      <c r="T16" s="667" t="s">
        <v>14</v>
      </c>
      <c r="U16" s="668">
        <f>H16</f>
        <v>100</v>
      </c>
      <c r="V16" s="667" t="s">
        <v>14</v>
      </c>
      <c r="W16" s="668">
        <f>J16</f>
        <v>100</v>
      </c>
      <c r="X16" s="1265"/>
      <c r="Y16" s="3415"/>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5"/>
      <c r="Q17" s="1263"/>
      <c r="R17" s="667"/>
      <c r="S17" s="668"/>
      <c r="T17" s="667"/>
      <c r="U17" s="668"/>
      <c r="V17" s="667"/>
      <c r="W17" s="668"/>
      <c r="X17" s="1265"/>
      <c r="Y17" s="3415"/>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5"/>
      <c r="Q18" s="1263" t="str">
        <f>B18</f>
        <v>基础设施水平</v>
      </c>
      <c r="R18" s="667" t="s">
        <v>14</v>
      </c>
      <c r="S18" s="668">
        <f>F18</f>
        <v>100</v>
      </c>
      <c r="T18" s="667" t="s">
        <v>14</v>
      </c>
      <c r="U18" s="668">
        <f>H18</f>
        <v>100</v>
      </c>
      <c r="V18" s="667" t="s">
        <v>14</v>
      </c>
      <c r="W18" s="668">
        <f>J18</f>
        <v>100</v>
      </c>
      <c r="X18" s="1265"/>
      <c r="Y18" s="3415"/>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5"/>
      <c r="Q19" s="1263"/>
      <c r="R19" s="667"/>
      <c r="S19" s="668"/>
      <c r="T19" s="667"/>
      <c r="U19" s="668"/>
      <c r="V19" s="667"/>
      <c r="W19" s="668"/>
      <c r="X19" s="1265"/>
      <c r="Y19" s="3415"/>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5"/>
      <c r="Q20" s="1263" t="str">
        <f>B20</f>
        <v>自然及人文环境</v>
      </c>
      <c r="R20" s="667" t="s">
        <v>14</v>
      </c>
      <c r="S20" s="668">
        <f>F20</f>
        <v>100</v>
      </c>
      <c r="T20" s="667" t="s">
        <v>14</v>
      </c>
      <c r="U20" s="668">
        <f>H20</f>
        <v>100</v>
      </c>
      <c r="V20" s="667" t="s">
        <v>14</v>
      </c>
      <c r="W20" s="668">
        <f>J20</f>
        <v>100</v>
      </c>
      <c r="X20" s="1265"/>
      <c r="Y20" s="3415"/>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5"/>
      <c r="Q21" s="1263"/>
      <c r="R21" s="667"/>
      <c r="S21" s="668"/>
      <c r="T21" s="667"/>
      <c r="U21" s="668"/>
      <c r="V21" s="667"/>
      <c r="W21" s="668"/>
      <c r="X21" s="1265"/>
      <c r="Y21" s="3415"/>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5"/>
      <c r="Q22" s="1263" t="str">
        <f>B22</f>
        <v>楼层</v>
      </c>
      <c r="R22" s="667" t="s">
        <v>14</v>
      </c>
      <c r="S22" s="668">
        <f>F22</f>
        <v>100</v>
      </c>
      <c r="T22" s="667" t="s">
        <v>14</v>
      </c>
      <c r="U22" s="668">
        <f>H22</f>
        <v>100</v>
      </c>
      <c r="V22" s="667" t="s">
        <v>14</v>
      </c>
      <c r="W22" s="668">
        <f>J22</f>
        <v>100</v>
      </c>
      <c r="X22" s="1265"/>
      <c r="Y22" s="3415"/>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5"/>
      <c r="Q23" s="1263">
        <f>B23</f>
        <v>111</v>
      </c>
      <c r="R23" s="667" t="s">
        <v>14</v>
      </c>
      <c r="S23" s="668">
        <f>F23</f>
        <v>100</v>
      </c>
      <c r="T23" s="667" t="s">
        <v>14</v>
      </c>
      <c r="U23" s="668">
        <f>H23</f>
        <v>100</v>
      </c>
      <c r="V23" s="667" t="s">
        <v>14</v>
      </c>
      <c r="W23" s="668">
        <f>J23</f>
        <v>100</v>
      </c>
      <c r="X23" s="1265"/>
      <c r="Y23" s="3415"/>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5"/>
      <c r="Q24" s="1263">
        <f t="shared" ref="Q24:Q36" si="11">B24</f>
        <v>111</v>
      </c>
      <c r="R24" s="667" t="s">
        <v>14</v>
      </c>
      <c r="S24" s="668">
        <f>F24</f>
        <v>100</v>
      </c>
      <c r="T24" s="667" t="s">
        <v>14</v>
      </c>
      <c r="U24" s="668">
        <f>H24</f>
        <v>100</v>
      </c>
      <c r="V24" s="667" t="s">
        <v>14</v>
      </c>
      <c r="W24" s="668">
        <f>J24</f>
        <v>100</v>
      </c>
      <c r="X24" s="1265"/>
      <c r="Y24" s="3415"/>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5"/>
      <c r="Q25" s="530">
        <f t="shared" si="11"/>
        <v>111</v>
      </c>
      <c r="R25" s="664" t="s">
        <v>14</v>
      </c>
      <c r="S25" s="665">
        <f>F25</f>
        <v>100</v>
      </c>
      <c r="T25" s="664" t="s">
        <v>14</v>
      </c>
      <c r="U25" s="665">
        <f>H25</f>
        <v>100</v>
      </c>
      <c r="V25" s="664" t="s">
        <v>14</v>
      </c>
      <c r="W25" s="665">
        <f>J25</f>
        <v>100</v>
      </c>
      <c r="X25" s="666"/>
      <c r="Y25" s="3415"/>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1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7"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7"/>
      <c r="Q27" s="531" t="str">
        <f t="shared" si="11"/>
        <v>项目停车位配比</v>
      </c>
      <c r="R27" s="669" t="s">
        <v>14</v>
      </c>
      <c r="S27" s="670">
        <f t="shared" si="12"/>
        <v>100</v>
      </c>
      <c r="T27" s="669" t="s">
        <v>14</v>
      </c>
      <c r="U27" s="670">
        <f t="shared" si="13"/>
        <v>100</v>
      </c>
      <c r="V27" s="669" t="s">
        <v>14</v>
      </c>
      <c r="W27" s="670">
        <f t="shared" si="14"/>
        <v>100</v>
      </c>
      <c r="X27" s="671"/>
      <c r="Y27" s="3417"/>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7"/>
      <c r="Q28" s="1263" t="str">
        <f t="shared" si="11"/>
        <v>公共部分装修</v>
      </c>
      <c r="R28" s="667" t="s">
        <v>14</v>
      </c>
      <c r="S28" s="668">
        <f t="shared" si="12"/>
        <v>100</v>
      </c>
      <c r="T28" s="667" t="s">
        <v>14</v>
      </c>
      <c r="U28" s="668">
        <f t="shared" si="13"/>
        <v>100</v>
      </c>
      <c r="V28" s="667" t="s">
        <v>14</v>
      </c>
      <c r="W28" s="668">
        <f t="shared" si="14"/>
        <v>100</v>
      </c>
      <c r="X28" s="1265"/>
      <c r="Y28" s="3417"/>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7"/>
      <c r="Q29" s="1263" t="str">
        <f t="shared" si="11"/>
        <v>成新率</v>
      </c>
      <c r="R29" s="667" t="s">
        <v>14</v>
      </c>
      <c r="S29" s="668" t="e">
        <f t="shared" si="12"/>
        <v>#N/A</v>
      </c>
      <c r="T29" s="667" t="s">
        <v>14</v>
      </c>
      <c r="U29" s="668" t="e">
        <f t="shared" si="13"/>
        <v>#N/A</v>
      </c>
      <c r="V29" s="667" t="s">
        <v>14</v>
      </c>
      <c r="W29" s="668" t="e">
        <f t="shared" si="14"/>
        <v>#N/A</v>
      </c>
      <c r="X29" s="1265"/>
      <c r="Y29" s="3417"/>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7"/>
      <c r="Q30" s="1263" t="str">
        <f t="shared" si="11"/>
        <v>物业等级</v>
      </c>
      <c r="R30" s="667" t="s">
        <v>14</v>
      </c>
      <c r="S30" s="668">
        <f t="shared" si="12"/>
        <v>100</v>
      </c>
      <c r="T30" s="667" t="s">
        <v>14</v>
      </c>
      <c r="U30" s="668">
        <f t="shared" si="13"/>
        <v>100</v>
      </c>
      <c r="V30" s="667" t="s">
        <v>14</v>
      </c>
      <c r="W30" s="668">
        <f t="shared" si="14"/>
        <v>100</v>
      </c>
      <c r="X30" s="1265"/>
      <c r="Y30" s="3417"/>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7"/>
      <c r="Q31" s="530" t="str">
        <f t="shared" si="11"/>
        <v>停车位面积</v>
      </c>
      <c r="R31" s="664" t="s">
        <v>14</v>
      </c>
      <c r="S31" s="665" t="e">
        <f t="shared" si="12"/>
        <v>#N/A</v>
      </c>
      <c r="T31" s="664" t="s">
        <v>14</v>
      </c>
      <c r="U31" s="665" t="e">
        <f t="shared" si="13"/>
        <v>#N/A</v>
      </c>
      <c r="V31" s="664" t="s">
        <v>14</v>
      </c>
      <c r="W31" s="665" t="e">
        <f t="shared" si="14"/>
        <v>#N/A</v>
      </c>
      <c r="X31" s="666"/>
      <c r="Y31" s="3417"/>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7" t="s">
        <v>1696</v>
      </c>
      <c r="Q32" s="1263" t="str">
        <f t="shared" si="11"/>
        <v>车位类型</v>
      </c>
      <c r="R32" s="667" t="s">
        <v>14</v>
      </c>
      <c r="S32" s="668">
        <f t="shared" si="12"/>
        <v>100</v>
      </c>
      <c r="T32" s="667" t="s">
        <v>14</v>
      </c>
      <c r="U32" s="668">
        <f t="shared" si="13"/>
        <v>100</v>
      </c>
      <c r="V32" s="667" t="s">
        <v>14</v>
      </c>
      <c r="W32" s="668">
        <f t="shared" si="14"/>
        <v>100</v>
      </c>
      <c r="X32" s="1265"/>
      <c r="Y32" s="3417"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7"/>
      <c r="Q33" s="1263" t="str">
        <f t="shared" si="11"/>
        <v>是否直接入户</v>
      </c>
      <c r="R33" s="667" t="s">
        <v>14</v>
      </c>
      <c r="S33" s="668">
        <f t="shared" si="12"/>
        <v>100</v>
      </c>
      <c r="T33" s="667" t="s">
        <v>14</v>
      </c>
      <c r="U33" s="668">
        <f t="shared" si="13"/>
        <v>100</v>
      </c>
      <c r="V33" s="667" t="s">
        <v>14</v>
      </c>
      <c r="W33" s="668">
        <f t="shared" si="14"/>
        <v>100</v>
      </c>
      <c r="X33" s="1265"/>
      <c r="Y33" s="3417"/>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7"/>
      <c r="Q34" s="1263">
        <f t="shared" si="11"/>
        <v>111</v>
      </c>
      <c r="R34" s="667" t="s">
        <v>14</v>
      </c>
      <c r="S34" s="668">
        <f t="shared" si="12"/>
        <v>100</v>
      </c>
      <c r="T34" s="667" t="s">
        <v>14</v>
      </c>
      <c r="U34" s="668">
        <f t="shared" si="13"/>
        <v>100</v>
      </c>
      <c r="V34" s="667" t="s">
        <v>14</v>
      </c>
      <c r="W34" s="668">
        <f t="shared" si="14"/>
        <v>100</v>
      </c>
      <c r="X34" s="1265"/>
      <c r="Y34" s="3417"/>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7"/>
      <c r="Q35" s="531">
        <f t="shared" si="11"/>
        <v>111</v>
      </c>
      <c r="R35" s="669" t="s">
        <v>14</v>
      </c>
      <c r="S35" s="670">
        <f t="shared" si="12"/>
        <v>100</v>
      </c>
      <c r="T35" s="669" t="s">
        <v>14</v>
      </c>
      <c r="U35" s="670">
        <f t="shared" si="13"/>
        <v>100</v>
      </c>
      <c r="V35" s="669" t="s">
        <v>14</v>
      </c>
      <c r="W35" s="670">
        <f t="shared" si="14"/>
        <v>100</v>
      </c>
      <c r="X35" s="671"/>
      <c r="Y35" s="3417"/>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7"/>
      <c r="Q36" s="1263">
        <f t="shared" si="11"/>
        <v>111</v>
      </c>
      <c r="R36" s="667" t="s">
        <v>14</v>
      </c>
      <c r="S36" s="668">
        <f t="shared" si="12"/>
        <v>100</v>
      </c>
      <c r="T36" s="667" t="s">
        <v>14</v>
      </c>
      <c r="U36" s="668">
        <f t="shared" si="13"/>
        <v>100</v>
      </c>
      <c r="V36" s="667" t="s">
        <v>14</v>
      </c>
      <c r="W36" s="668">
        <f t="shared" si="14"/>
        <v>100</v>
      </c>
      <c r="X36" s="1265"/>
      <c r="Y36" s="3417"/>
      <c r="Z36" s="1264">
        <f t="shared" si="15"/>
        <v>111</v>
      </c>
      <c r="AA36" s="1264">
        <f t="shared" si="3"/>
        <v>1</v>
      </c>
      <c r="AB36" s="1264">
        <f t="shared" si="4"/>
        <v>1</v>
      </c>
      <c r="AC36" s="1264">
        <f t="shared" si="5"/>
        <v>1</v>
      </c>
    </row>
    <row r="37" spans="1:29" ht="15">
      <c r="A37" s="416" t="s">
        <v>1844</v>
      </c>
      <c r="B37" s="1821" t="s">
        <v>3351</v>
      </c>
      <c r="C37" s="1081" t="s">
        <v>0</v>
      </c>
      <c r="D37" s="418"/>
      <c r="E37" s="419"/>
      <c r="F37" s="420"/>
      <c r="G37" s="421"/>
      <c r="H37" s="422"/>
      <c r="I37" s="419"/>
      <c r="J37" s="422"/>
      <c r="K37" s="545"/>
      <c r="L37" s="2495"/>
      <c r="M37" s="2488"/>
      <c r="N37" s="2488"/>
      <c r="O37" s="2488"/>
      <c r="P37" s="3399" t="str">
        <f>A37</f>
        <v>成交单价</v>
      </c>
      <c r="Q37" s="3399"/>
      <c r="R37" s="3412">
        <f>E37</f>
        <v>0</v>
      </c>
      <c r="S37" s="3412"/>
      <c r="T37" s="3412">
        <f>G37</f>
        <v>0</v>
      </c>
      <c r="U37" s="3412"/>
      <c r="V37" s="3412">
        <f>I37</f>
        <v>0</v>
      </c>
      <c r="W37" s="3412"/>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9" t="str">
        <f>A38</f>
        <v>比较价值（元/平方米）</v>
      </c>
      <c r="Q38" s="3399"/>
      <c r="R38" s="3412" t="e">
        <f>IF(F1="售价",ROUND(PRODUCT(R37,AA7:AA36),0),ROUND(PRODUCT(R37,AA7:AA36),1))</f>
        <v>#DIV/0!</v>
      </c>
      <c r="S38" s="3412"/>
      <c r="T38" s="3412" t="e">
        <f>IF(F1="售价",ROUND(PRODUCT(T37,AB7:AB36),0),ROUND(PRODUCT(T37,AB7:AB36),1))</f>
        <v>#DIV/0!</v>
      </c>
      <c r="U38" s="3412"/>
      <c r="V38" s="3412" t="e">
        <f>IF(F1="售价",ROUND(PRODUCT(V37,AC7:AC36),0),ROUND(PRODUCT(V37,AC7:AC36),1))</f>
        <v>#DIV/0!</v>
      </c>
      <c r="W38" s="341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18" t="str">
        <f>A39</f>
        <v>估价对象XX用房的比较价值（楼面单价，元/平方米）</v>
      </c>
      <c r="Q39" s="3419"/>
      <c r="R39" s="3420" t="e">
        <f>IF(F1="售价",ROUND(IF(D38="简单平均",AVERAGE(R38:W38),R38*F38+T38*H38+V38*J38),0),ROUND(IF(D38="简单平均",AVERAGE(R38:V38),R38*F38+T38*H38+V38*J38),1))</f>
        <v>#DIV/0!</v>
      </c>
      <c r="S39" s="3420"/>
      <c r="T39" s="3420"/>
      <c r="U39" s="3420"/>
      <c r="V39" s="3420"/>
      <c r="W39" s="3420"/>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G17 C17 E17 I17" xr:uid="{00000000-0002-0000-2400-000001000000}">
      <formula1>公共配套设施</formula1>
    </dataValidation>
    <dataValidation type="list" allowBlank="1" showInputMessage="1" showErrorMessage="1" sqref="G15 E15 C15 I15" xr:uid="{00000000-0002-0000-2400-000002000000}">
      <formula1>交通便捷度</formula1>
    </dataValidation>
    <dataValidation type="list" allowBlank="1" showInputMessage="1" showErrorMessage="1" sqref="C8 E8 G8 I8" xr:uid="{00000000-0002-0000-2400-000003000000}">
      <formula1>车位交易情况</formula1>
    </dataValidation>
    <dataValidation type="list" allowBlank="1" showInputMessage="1" showErrorMessage="1" sqref="E9 G9 I9" xr:uid="{00000000-0002-0000-2400-000004000000}">
      <formula1>车位用途</formula1>
    </dataValidation>
    <dataValidation type="list" allowBlank="1" showInputMessage="1" showErrorMessage="1" sqref="C22 E22 G22 I22" xr:uid="{00000000-0002-0000-2400-000005000000}">
      <formula1>车位楼层</formula1>
    </dataValidation>
    <dataValidation type="list" allowBlank="1" showInputMessage="1" showErrorMessage="1" sqref="C30 E30 G30 I30" xr:uid="{00000000-0002-0000-2400-000006000000}">
      <formula1>车位物业等级</formula1>
    </dataValidation>
    <dataValidation type="list" allowBlank="1" showInputMessage="1" showErrorMessage="1" sqref="C32 E32 G32 I32" xr:uid="{00000000-0002-0000-2400-000007000000}">
      <formula1>车位类型</formula1>
    </dataValidation>
    <dataValidation type="list" allowBlank="1" showInputMessage="1" showErrorMessage="1" sqref="C33 E33 G33 I33" xr:uid="{00000000-0002-0000-2400-000008000000}">
      <formula1>是否直接入户</formula1>
    </dataValidation>
    <dataValidation type="list" allowBlank="1" showInputMessage="1" showErrorMessage="1" sqref="B1" xr:uid="{00000000-0002-0000-2400-000009000000}">
      <formula1>地类判定</formula1>
    </dataValidation>
    <dataValidation type="list" allowBlank="1" showInputMessage="1" showErrorMessage="1" sqref="I26 E26 G26" xr:uid="{00000000-0002-0000-2400-00000A000000}">
      <formula1>车位配套类型</formula1>
    </dataValidation>
    <dataValidation type="list" allowBlank="1" showInputMessage="1" showErrorMessage="1" sqref="C28 E28 G28 I28" xr:uid="{00000000-0002-0000-2400-00000B000000}">
      <formula1>车位公共部分装修</formula1>
    </dataValidation>
    <dataValidation type="list" allowBlank="1" showInputMessage="1" showErrorMessage="1" sqref="B37" xr:uid="{00000000-0002-0000-2400-00000C000000}">
      <formula1>"元/平方米,元/车位"</formula1>
    </dataValidation>
    <dataValidation type="list" allowBlank="1" showInputMessage="1" showErrorMessage="1" sqref="C21 E21 G21 I21" xr:uid="{00000000-0002-0000-2400-00000D000000}">
      <formula1>环境</formula1>
    </dataValidation>
    <dataValidation type="list" allowBlank="1" showInputMessage="1" showErrorMessage="1" sqref="C19 E19 G19 I19"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38"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7"/>
      <c r="M4" s="2488"/>
      <c r="N4" s="2488"/>
      <c r="O4" s="2488"/>
      <c r="P4" s="3404" t="s">
        <v>1775</v>
      </c>
      <c r="Q4" s="3405"/>
      <c r="R4" s="3387" t="s">
        <v>1771</v>
      </c>
      <c r="S4" s="3388"/>
      <c r="T4" s="3387" t="s">
        <v>1772</v>
      </c>
      <c r="U4" s="3388"/>
      <c r="V4" s="3412" t="s">
        <v>1773</v>
      </c>
      <c r="W4" s="3412"/>
      <c r="X4" s="1265"/>
      <c r="Y4" s="3387" t="s">
        <v>1775</v>
      </c>
      <c r="Z4" s="3388"/>
      <c r="AA4" s="3382" t="s">
        <v>1771</v>
      </c>
      <c r="AB4" s="3383" t="s">
        <v>1772</v>
      </c>
      <c r="AC4" s="3382" t="s">
        <v>1773</v>
      </c>
    </row>
    <row r="5" spans="1:29" ht="15">
      <c r="A5" s="348"/>
      <c r="B5" s="349"/>
      <c r="C5" s="3393" t="s">
        <v>1673</v>
      </c>
      <c r="D5" s="3394"/>
      <c r="E5" s="3391" t="s">
        <v>1674</v>
      </c>
      <c r="F5" s="3392"/>
      <c r="G5" s="3393" t="s">
        <v>1675</v>
      </c>
      <c r="H5" s="3394"/>
      <c r="I5" s="3393" t="s">
        <v>1676</v>
      </c>
      <c r="J5" s="3394"/>
      <c r="K5" s="537"/>
      <c r="L5" s="2487"/>
      <c r="M5" s="2488"/>
      <c r="N5" s="2488"/>
      <c r="O5" s="2488"/>
      <c r="P5" s="3406"/>
      <c r="Q5" s="3407"/>
      <c r="R5" s="3389"/>
      <c r="S5" s="3390"/>
      <c r="T5" s="3389"/>
      <c r="U5" s="3390"/>
      <c r="V5" s="3412"/>
      <c r="W5" s="3412"/>
      <c r="X5" s="1265"/>
      <c r="Y5" s="3389"/>
      <c r="Z5" s="3390"/>
      <c r="AA5" s="3383"/>
      <c r="AB5" s="3383"/>
      <c r="AC5" s="3383"/>
    </row>
    <row r="6" spans="1:29" ht="15.75" thickBot="1">
      <c r="A6" s="350"/>
      <c r="B6" s="351"/>
      <c r="C6" s="3395" t="s">
        <v>1677</v>
      </c>
      <c r="D6" s="3396"/>
      <c r="E6" s="3397" t="s">
        <v>1677</v>
      </c>
      <c r="F6" s="3398"/>
      <c r="G6" s="3395" t="s">
        <v>1677</v>
      </c>
      <c r="H6" s="3396"/>
      <c r="I6" s="3395" t="s">
        <v>1677</v>
      </c>
      <c r="J6" s="3396"/>
      <c r="K6" s="537" t="s">
        <v>1678</v>
      </c>
      <c r="L6" s="2487"/>
      <c r="M6" s="2488"/>
      <c r="N6" s="2488"/>
      <c r="O6" s="2488"/>
      <c r="P6" s="3408"/>
      <c r="Q6" s="3409"/>
      <c r="R6" s="3389"/>
      <c r="S6" s="3390"/>
      <c r="T6" s="3410"/>
      <c r="U6" s="3411"/>
      <c r="V6" s="3412"/>
      <c r="W6" s="3412"/>
      <c r="X6" s="1265"/>
      <c r="Y6" s="3410"/>
      <c r="Z6" s="3411"/>
      <c r="AA6" s="3384"/>
      <c r="AB6" s="3384"/>
      <c r="AC6" s="3384"/>
    </row>
    <row r="7" spans="1:29" s="102" customFormat="1" ht="15.75" thickBot="1">
      <c r="A7" s="352" t="s">
        <v>1679</v>
      </c>
      <c r="B7" s="353"/>
      <c r="C7" s="354">
        <f>'数据-取费表'!B2</f>
        <v>45952</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85" t="s">
        <v>1680</v>
      </c>
      <c r="Q7" s="3413"/>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85" t="s">
        <v>1683</v>
      </c>
      <c r="Q8" s="3386"/>
      <c r="R8" s="664" t="s">
        <v>14</v>
      </c>
      <c r="S8" s="665">
        <f t="shared" si="0"/>
        <v>0</v>
      </c>
      <c r="T8" s="664" t="s">
        <v>14</v>
      </c>
      <c r="U8" s="665">
        <f t="shared" si="1"/>
        <v>0</v>
      </c>
      <c r="V8" s="664" t="s">
        <v>14</v>
      </c>
      <c r="W8" s="665">
        <f t="shared" si="2"/>
        <v>0</v>
      </c>
      <c r="X8" s="666"/>
      <c r="Y8" s="3385" t="s">
        <v>1683</v>
      </c>
      <c r="Z8" s="3386"/>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100</v>
      </c>
      <c r="G10" s="402"/>
      <c r="H10" s="119">
        <f>ROUND(100/'数据-取费表'!G16,0)</f>
        <v>100</v>
      </c>
      <c r="I10" s="402"/>
      <c r="J10" s="119">
        <f>ROUND(100/'数据-取费表'!G16,0)</f>
        <v>100</v>
      </c>
      <c r="K10" s="592"/>
      <c r="L10" s="2490"/>
      <c r="M10" s="2491"/>
      <c r="N10" s="2491"/>
      <c r="O10" s="2542"/>
      <c r="P10" s="3399"/>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9"/>
      <c r="Q12" s="530" t="str">
        <f t="shared" si="6"/>
        <v>配建</v>
      </c>
      <c r="R12" s="664" t="s">
        <v>14</v>
      </c>
      <c r="S12" s="665">
        <f t="shared" si="0"/>
        <v>100</v>
      </c>
      <c r="T12" s="664" t="s">
        <v>14</v>
      </c>
      <c r="U12" s="665">
        <f t="shared" si="1"/>
        <v>100</v>
      </c>
      <c r="V12" s="664" t="s">
        <v>14</v>
      </c>
      <c r="W12" s="665">
        <f t="shared" si="2"/>
        <v>100</v>
      </c>
      <c r="X12" s="666"/>
      <c r="Y12" s="33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35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35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4" t="s">
        <v>1691</v>
      </c>
      <c r="Q15" s="1263" t="str">
        <f t="shared" si="6"/>
        <v>居住社区成熟度</v>
      </c>
      <c r="R15" s="667" t="s">
        <v>14</v>
      </c>
      <c r="S15" s="668">
        <f t="shared" si="0"/>
        <v>100</v>
      </c>
      <c r="T15" s="667" t="s">
        <v>14</v>
      </c>
      <c r="U15" s="668">
        <f t="shared" si="1"/>
        <v>100</v>
      </c>
      <c r="V15" s="667" t="s">
        <v>14</v>
      </c>
      <c r="W15" s="668">
        <f t="shared" si="2"/>
        <v>100</v>
      </c>
      <c r="X15" s="1265"/>
      <c r="Y15" s="3414"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5"/>
      <c r="Q17" s="1263" t="str">
        <f>B17</f>
        <v>商业繁华度</v>
      </c>
      <c r="R17" s="667" t="s">
        <v>14</v>
      </c>
      <c r="S17" s="668">
        <f>F17</f>
        <v>100</v>
      </c>
      <c r="T17" s="667" t="s">
        <v>14</v>
      </c>
      <c r="U17" s="668">
        <f>H17</f>
        <v>100</v>
      </c>
      <c r="V17" s="667" t="s">
        <v>14</v>
      </c>
      <c r="W17" s="668">
        <f>J17</f>
        <v>100</v>
      </c>
      <c r="X17" s="1265"/>
      <c r="Y17" s="3415"/>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5"/>
      <c r="Q19" s="1263" t="str">
        <f>B19</f>
        <v>办公集聚程度</v>
      </c>
      <c r="R19" s="667" t="s">
        <v>14</v>
      </c>
      <c r="S19" s="668">
        <f>F19</f>
        <v>100</v>
      </c>
      <c r="T19" s="667" t="s">
        <v>14</v>
      </c>
      <c r="U19" s="668">
        <f>H19</f>
        <v>100</v>
      </c>
      <c r="V19" s="667" t="s">
        <v>14</v>
      </c>
      <c r="W19" s="668">
        <f>J19</f>
        <v>100</v>
      </c>
      <c r="X19" s="1265"/>
      <c r="Y19" s="3415"/>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5"/>
      <c r="Q20" s="1263"/>
      <c r="R20" s="667"/>
      <c r="S20" s="668"/>
      <c r="T20" s="667"/>
      <c r="U20" s="668"/>
      <c r="V20" s="667"/>
      <c r="W20" s="668"/>
      <c r="X20" s="1265"/>
      <c r="Y20" s="3415"/>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5"/>
      <c r="Q21" s="1263" t="str">
        <f>B21</f>
        <v>交通便捷度</v>
      </c>
      <c r="R21" s="667" t="s">
        <v>14</v>
      </c>
      <c r="S21" s="668">
        <f>F21</f>
        <v>100</v>
      </c>
      <c r="T21" s="667" t="s">
        <v>14</v>
      </c>
      <c r="U21" s="668">
        <f>H21</f>
        <v>100</v>
      </c>
      <c r="V21" s="667" t="s">
        <v>14</v>
      </c>
      <c r="W21" s="668">
        <f>J21</f>
        <v>100</v>
      </c>
      <c r="X21" s="1265"/>
      <c r="Y21" s="3415"/>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5"/>
      <c r="Q23" s="1263" t="str">
        <f t="shared" ref="Q23:Q37" si="8">B23</f>
        <v>区域土地利用方向</v>
      </c>
      <c r="R23" s="667" t="s">
        <v>14</v>
      </c>
      <c r="S23" s="668">
        <f>F23</f>
        <v>100</v>
      </c>
      <c r="T23" s="667" t="s">
        <v>14</v>
      </c>
      <c r="U23" s="668">
        <f>H23</f>
        <v>100</v>
      </c>
      <c r="V23" s="667" t="s">
        <v>14</v>
      </c>
      <c r="W23" s="668">
        <f>J23</f>
        <v>100</v>
      </c>
      <c r="X23" s="1265"/>
      <c r="Y23" s="3415"/>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5"/>
      <c r="Q24" s="1263"/>
      <c r="R24" s="667"/>
      <c r="S24" s="668"/>
      <c r="T24" s="667"/>
      <c r="U24" s="668"/>
      <c r="V24" s="667"/>
      <c r="W24" s="668"/>
      <c r="X24" s="1265"/>
      <c r="Y24" s="3415"/>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5"/>
      <c r="Q25" s="1263" t="str">
        <f t="shared" si="8"/>
        <v>自然及人文环境状况</v>
      </c>
      <c r="R25" s="667" t="s">
        <v>14</v>
      </c>
      <c r="S25" s="668">
        <f>F25</f>
        <v>100</v>
      </c>
      <c r="T25" s="667" t="s">
        <v>14</v>
      </c>
      <c r="U25" s="668">
        <f>H25</f>
        <v>100</v>
      </c>
      <c r="V25" s="667" t="s">
        <v>14</v>
      </c>
      <c r="W25" s="668">
        <f>J25</f>
        <v>100</v>
      </c>
      <c r="X25" s="1265"/>
      <c r="Y25" s="3415"/>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5"/>
      <c r="Q26" s="1263"/>
      <c r="R26" s="667"/>
      <c r="S26" s="668"/>
      <c r="T26" s="667"/>
      <c r="U26" s="668"/>
      <c r="V26" s="667"/>
      <c r="W26" s="668"/>
      <c r="X26" s="1265"/>
      <c r="Y26" s="3415"/>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5"/>
      <c r="Q27" s="530" t="str">
        <f t="shared" si="8"/>
        <v>公共配套设施</v>
      </c>
      <c r="R27" s="664" t="s">
        <v>14</v>
      </c>
      <c r="S27" s="665">
        <f>F27</f>
        <v>100</v>
      </c>
      <c r="T27" s="664" t="s">
        <v>14</v>
      </c>
      <c r="U27" s="665">
        <f>H27</f>
        <v>100</v>
      </c>
      <c r="V27" s="664" t="s">
        <v>14</v>
      </c>
      <c r="W27" s="665">
        <f>J27</f>
        <v>100</v>
      </c>
      <c r="X27" s="666"/>
      <c r="Y27" s="3415"/>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5"/>
      <c r="Q28" s="530"/>
      <c r="R28" s="664"/>
      <c r="S28" s="665"/>
      <c r="T28" s="664"/>
      <c r="U28" s="665"/>
      <c r="V28" s="664"/>
      <c r="W28" s="665"/>
      <c r="X28" s="666"/>
      <c r="Y28" s="3415"/>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5"/>
      <c r="Q29" s="530" t="str">
        <f t="shared" ref="Q29" si="9">B29</f>
        <v>基础设施水平</v>
      </c>
      <c r="R29" s="664" t="s">
        <v>14</v>
      </c>
      <c r="S29" s="665">
        <f>F29</f>
        <v>100</v>
      </c>
      <c r="T29" s="664" t="s">
        <v>14</v>
      </c>
      <c r="U29" s="665">
        <f>H29</f>
        <v>100</v>
      </c>
      <c r="V29" s="664" t="s">
        <v>14</v>
      </c>
      <c r="W29" s="665">
        <f>J29</f>
        <v>100</v>
      </c>
      <c r="X29" s="666"/>
      <c r="Y29" s="3415"/>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5"/>
      <c r="Q30" s="530"/>
      <c r="R30" s="664"/>
      <c r="S30" s="665"/>
      <c r="T30" s="664"/>
      <c r="U30" s="665"/>
      <c r="V30" s="664"/>
      <c r="W30" s="665"/>
      <c r="X30" s="666"/>
      <c r="Y30" s="3415"/>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5"/>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5"/>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5"/>
      <c r="Q32" s="1263" t="str">
        <f t="shared" si="8"/>
        <v>毗邻道路的类型与等级</v>
      </c>
      <c r="R32" s="667" t="s">
        <v>14</v>
      </c>
      <c r="S32" s="668">
        <f t="shared" si="10"/>
        <v>100</v>
      </c>
      <c r="T32" s="667" t="s">
        <v>14</v>
      </c>
      <c r="U32" s="668">
        <f t="shared" si="11"/>
        <v>100</v>
      </c>
      <c r="V32" s="667" t="s">
        <v>14</v>
      </c>
      <c r="W32" s="668">
        <f t="shared" si="12"/>
        <v>100</v>
      </c>
      <c r="X32" s="1265"/>
      <c r="Y32" s="3415"/>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5"/>
      <c r="Q33" s="1263"/>
      <c r="R33" s="667"/>
      <c r="S33" s="668"/>
      <c r="T33" s="667"/>
      <c r="U33" s="668"/>
      <c r="V33" s="667"/>
      <c r="W33" s="668"/>
      <c r="X33" s="1265"/>
      <c r="Y33" s="3415"/>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5"/>
      <c r="Q34" s="1263" t="str">
        <f t="shared" si="8"/>
        <v>土地级别</v>
      </c>
      <c r="R34" s="667" t="s">
        <v>14</v>
      </c>
      <c r="S34" s="668">
        <f t="shared" si="10"/>
        <v>100</v>
      </c>
      <c r="T34" s="667" t="s">
        <v>14</v>
      </c>
      <c r="U34" s="668">
        <f t="shared" si="11"/>
        <v>100</v>
      </c>
      <c r="V34" s="667" t="s">
        <v>14</v>
      </c>
      <c r="W34" s="668">
        <f t="shared" si="12"/>
        <v>100</v>
      </c>
      <c r="X34" s="1265"/>
      <c r="Y34" s="3415"/>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5"/>
      <c r="Q35" s="1263">
        <f t="shared" si="8"/>
        <v>111</v>
      </c>
      <c r="R35" s="667" t="s">
        <v>14</v>
      </c>
      <c r="S35" s="668">
        <f t="shared" si="10"/>
        <v>100</v>
      </c>
      <c r="T35" s="667" t="s">
        <v>14</v>
      </c>
      <c r="U35" s="668">
        <f t="shared" si="11"/>
        <v>100</v>
      </c>
      <c r="V35" s="667" t="s">
        <v>14</v>
      </c>
      <c r="W35" s="668">
        <f t="shared" si="12"/>
        <v>100</v>
      </c>
      <c r="X35" s="1265"/>
      <c r="Y35" s="3415"/>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16" t="s">
        <v>1696</v>
      </c>
      <c r="Q36" s="1263">
        <f t="shared" si="8"/>
        <v>111</v>
      </c>
      <c r="R36" s="667" t="s">
        <v>14</v>
      </c>
      <c r="S36" s="668">
        <f t="shared" si="10"/>
        <v>100</v>
      </c>
      <c r="T36" s="667" t="s">
        <v>14</v>
      </c>
      <c r="U36" s="668">
        <f t="shared" si="11"/>
        <v>100</v>
      </c>
      <c r="V36" s="667" t="s">
        <v>14</v>
      </c>
      <c r="W36" s="668">
        <f t="shared" si="12"/>
        <v>100</v>
      </c>
      <c r="X36" s="1265"/>
      <c r="Y36" s="3417"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7"/>
      <c r="Q37" s="1263">
        <f t="shared" si="8"/>
        <v>111</v>
      </c>
      <c r="R37" s="669" t="s">
        <v>14</v>
      </c>
      <c r="S37" s="670">
        <f t="shared" si="10"/>
        <v>100</v>
      </c>
      <c r="T37" s="669" t="s">
        <v>14</v>
      </c>
      <c r="U37" s="670">
        <f t="shared" si="11"/>
        <v>100</v>
      </c>
      <c r="V37" s="669" t="s">
        <v>14</v>
      </c>
      <c r="W37" s="670">
        <f t="shared" si="12"/>
        <v>100</v>
      </c>
      <c r="X37" s="671"/>
      <c r="Y37" s="3417"/>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7"/>
      <c r="Q38" s="1263" t="str">
        <f>B38</f>
        <v>宗地面积</v>
      </c>
      <c r="R38" s="667" t="s">
        <v>14</v>
      </c>
      <c r="S38" s="668" t="e">
        <f t="shared" si="10"/>
        <v>#N/A</v>
      </c>
      <c r="T38" s="667" t="s">
        <v>14</v>
      </c>
      <c r="U38" s="668" t="e">
        <f t="shared" si="11"/>
        <v>#N/A</v>
      </c>
      <c r="V38" s="667" t="s">
        <v>14</v>
      </c>
      <c r="W38" s="668" t="e">
        <f t="shared" si="12"/>
        <v>#N/A</v>
      </c>
      <c r="X38" s="1265"/>
      <c r="Y38" s="3417"/>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7"/>
      <c r="Q39" s="1263" t="str">
        <f t="shared" ref="Q39:Q45" si="14">B39</f>
        <v>宗地形状</v>
      </c>
      <c r="R39" s="667" t="s">
        <v>14</v>
      </c>
      <c r="S39" s="668">
        <f t="shared" si="10"/>
        <v>100</v>
      </c>
      <c r="T39" s="667" t="s">
        <v>14</v>
      </c>
      <c r="U39" s="668">
        <f t="shared" si="11"/>
        <v>100</v>
      </c>
      <c r="V39" s="667" t="s">
        <v>14</v>
      </c>
      <c r="W39" s="668">
        <f t="shared" si="12"/>
        <v>100</v>
      </c>
      <c r="X39" s="1265"/>
      <c r="Y39" s="3417"/>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7"/>
      <c r="Q40" s="1263" t="str">
        <f t="shared" si="14"/>
        <v>临街宽度及深度</v>
      </c>
      <c r="R40" s="667" t="s">
        <v>14</v>
      </c>
      <c r="S40" s="668">
        <f t="shared" si="10"/>
        <v>100</v>
      </c>
      <c r="T40" s="667" t="s">
        <v>14</v>
      </c>
      <c r="U40" s="668">
        <f t="shared" si="11"/>
        <v>100</v>
      </c>
      <c r="V40" s="667" t="s">
        <v>14</v>
      </c>
      <c r="W40" s="668">
        <f t="shared" si="12"/>
        <v>100</v>
      </c>
      <c r="X40" s="1265"/>
      <c r="Y40" s="3417"/>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7"/>
      <c r="Q41" s="1263" t="str">
        <f t="shared" si="14"/>
        <v>宗地开发程度</v>
      </c>
      <c r="R41" s="664" t="s">
        <v>14</v>
      </c>
      <c r="S41" s="665">
        <f t="shared" si="10"/>
        <v>100</v>
      </c>
      <c r="T41" s="664" t="s">
        <v>14</v>
      </c>
      <c r="U41" s="665">
        <f t="shared" si="11"/>
        <v>100</v>
      </c>
      <c r="V41" s="664" t="s">
        <v>14</v>
      </c>
      <c r="W41" s="665">
        <f t="shared" si="12"/>
        <v>100</v>
      </c>
      <c r="X41" s="666"/>
      <c r="Y41" s="3417"/>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7" t="s">
        <v>1696</v>
      </c>
      <c r="Q42" s="1263" t="str">
        <f t="shared" si="14"/>
        <v>工程地质条件</v>
      </c>
      <c r="R42" s="667" t="s">
        <v>14</v>
      </c>
      <c r="S42" s="668">
        <f t="shared" si="10"/>
        <v>100</v>
      </c>
      <c r="T42" s="667" t="s">
        <v>14</v>
      </c>
      <c r="U42" s="668">
        <f t="shared" si="11"/>
        <v>100</v>
      </c>
      <c r="V42" s="667" t="s">
        <v>14</v>
      </c>
      <c r="W42" s="668">
        <f t="shared" si="12"/>
        <v>100</v>
      </c>
      <c r="X42" s="1265"/>
      <c r="Y42" s="3417"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7"/>
      <c r="Q43" s="1263">
        <f t="shared" si="14"/>
        <v>111</v>
      </c>
      <c r="R43" s="667" t="s">
        <v>14</v>
      </c>
      <c r="S43" s="668">
        <f t="shared" si="10"/>
        <v>100</v>
      </c>
      <c r="T43" s="667" t="s">
        <v>14</v>
      </c>
      <c r="U43" s="668">
        <f t="shared" si="11"/>
        <v>100</v>
      </c>
      <c r="V43" s="667" t="s">
        <v>14</v>
      </c>
      <c r="W43" s="668">
        <f t="shared" si="12"/>
        <v>100</v>
      </c>
      <c r="X43" s="1265"/>
      <c r="Y43" s="3417"/>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7"/>
      <c r="Q44" s="1263">
        <f t="shared" si="14"/>
        <v>111</v>
      </c>
      <c r="R44" s="667" t="s">
        <v>14</v>
      </c>
      <c r="S44" s="668">
        <f t="shared" si="10"/>
        <v>100</v>
      </c>
      <c r="T44" s="667" t="s">
        <v>14</v>
      </c>
      <c r="U44" s="668">
        <f t="shared" si="11"/>
        <v>100</v>
      </c>
      <c r="V44" s="667" t="s">
        <v>14</v>
      </c>
      <c r="W44" s="668">
        <f t="shared" si="12"/>
        <v>100</v>
      </c>
      <c r="X44" s="1265"/>
      <c r="Y44" s="3417"/>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7"/>
      <c r="Q45" s="1263">
        <f t="shared" si="14"/>
        <v>111</v>
      </c>
      <c r="R45" s="669" t="s">
        <v>14</v>
      </c>
      <c r="S45" s="670">
        <f t="shared" si="10"/>
        <v>100</v>
      </c>
      <c r="T45" s="669" t="s">
        <v>14</v>
      </c>
      <c r="U45" s="670">
        <f t="shared" si="11"/>
        <v>100</v>
      </c>
      <c r="V45" s="669" t="s">
        <v>14</v>
      </c>
      <c r="W45" s="670">
        <f t="shared" si="12"/>
        <v>100</v>
      </c>
      <c r="X45" s="671"/>
      <c r="Y45" s="3417"/>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9" t="str">
        <f>A46</f>
        <v>成交单价</v>
      </c>
      <c r="Q46" s="3399"/>
      <c r="R46" s="3412">
        <f>E46</f>
        <v>0</v>
      </c>
      <c r="S46" s="3412"/>
      <c r="T46" s="3412">
        <f>G46</f>
        <v>0</v>
      </c>
      <c r="U46" s="3412"/>
      <c r="V46" s="3412">
        <f>I46</f>
        <v>0</v>
      </c>
      <c r="W46" s="3412"/>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9" t="str">
        <f>A47</f>
        <v>比较价值（元/平方米）</v>
      </c>
      <c r="Q47" s="3399"/>
      <c r="R47" s="3489" t="e">
        <f>ROUND(PRODUCT(R46,AA7:AA45),0)</f>
        <v>#DIV/0!</v>
      </c>
      <c r="S47" s="3489"/>
      <c r="T47" s="3489" t="e">
        <f>ROUND(PRODUCT(T46,AB7:AB45),0)</f>
        <v>#DIV/0!</v>
      </c>
      <c r="U47" s="3489"/>
      <c r="V47" s="3489" t="e">
        <f>ROUND(PRODUCT(V46,AC7:AC45),0)</f>
        <v>#DIV/0!</v>
      </c>
      <c r="W47" s="3489"/>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18" t="str">
        <f>A48</f>
        <v>估价对象XX用房的比较价值（楼面单价，元/平方米）</v>
      </c>
      <c r="Q48" s="3419"/>
      <c r="R48" s="3490" t="e">
        <f>ROUND(IF(D47="简单平均",AVERAGE(R47:W47),R47*F47+T47*H47+V47*J47),0)</f>
        <v>#DIV/0!</v>
      </c>
      <c r="S48" s="3490"/>
      <c r="T48" s="3490"/>
      <c r="U48" s="3490"/>
      <c r="V48" s="3490"/>
      <c r="W48" s="3490"/>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00" t="s">
        <v>1887</v>
      </c>
      <c r="H55" s="3491"/>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16683.080000000002</v>
      </c>
      <c r="F56" s="833" t="e">
        <f t="shared" ref="F56:F64" si="15">ROUND(B56*E56/10000,0)</f>
        <v>#DIV/0!</v>
      </c>
      <c r="G56" s="3466"/>
      <c r="H56" s="339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SUMIF(修正!A59:A70,H57,修正!B59:B70)</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SUMIF(修正!A59:A70,H58,修正!C59:C70)</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SUMIF(修正!A59:A70,H59,修正!D59:D70)</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16683.080000000002</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500-000000000000}">
      <formula1>住宅朝向</formula1>
    </dataValidation>
    <dataValidation type="list" allowBlank="1" showInputMessage="1" showErrorMessage="1" sqref="E28 C28 G28 I28" xr:uid="{00000000-0002-0000-2500-000001000000}">
      <formula1>公共配套设施</formula1>
    </dataValidation>
    <dataValidation type="list" allowBlank="1" showInputMessage="1" showErrorMessage="1" sqref="E22 C22 G22 I22" xr:uid="{00000000-0002-0000-2500-000002000000}">
      <formula1>交通便捷度</formula1>
    </dataValidation>
    <dataValidation type="list" allowBlank="1" showInputMessage="1" showErrorMessage="1" sqref="E16 G16 I16 C16" xr:uid="{00000000-0002-0000-2500-000003000000}">
      <formula1>居住社区成熟度</formula1>
    </dataValidation>
    <dataValidation type="list" allowBlank="1" showInputMessage="1" showErrorMessage="1" sqref="C26 E26 G26 I26" xr:uid="{00000000-0002-0000-2500-000004000000}">
      <formula1>环境</formula1>
    </dataValidation>
    <dataValidation type="list" allowBlank="1" showInputMessage="1" showErrorMessage="1" sqref="B46" xr:uid="{00000000-0002-0000-2500-000005000000}">
      <formula1>单价内涵</formula1>
    </dataValidation>
    <dataValidation type="list" allowBlank="1" showInputMessage="1" showErrorMessage="1" sqref="C8 E8 G8 I8" xr:uid="{00000000-0002-0000-2500-000006000000}">
      <formula1>套综交易情况</formula1>
    </dataValidation>
    <dataValidation type="list" allowBlank="1" showInputMessage="1" showErrorMessage="1" sqref="C9 E9 G9 I9" xr:uid="{00000000-0002-0000-2500-000007000000}">
      <formula1>套综用途</formula1>
    </dataValidation>
    <dataValidation type="list" allowBlank="1" showInputMessage="1" showErrorMessage="1" sqref="E18 C18 G18 I18" xr:uid="{00000000-0002-0000-2500-000008000000}">
      <formula1>商业繁华度</formula1>
    </dataValidation>
    <dataValidation type="list" allowBlank="1" showInputMessage="1" showErrorMessage="1" sqref="E20 C20 G20 I20" xr:uid="{00000000-0002-0000-2500-000009000000}">
      <formula1>办公集聚程度</formula1>
    </dataValidation>
    <dataValidation type="list" allowBlank="1" showInputMessage="1" showErrorMessage="1" sqref="C33 E33 G33 I33" xr:uid="{00000000-0002-0000-2500-00000A000000}">
      <formula1>套综道路等级</formula1>
    </dataValidation>
    <dataValidation type="list" allowBlank="1" showInputMessage="1" showErrorMessage="1" sqref="C34 E34 G34 I34" xr:uid="{00000000-0002-0000-2500-00000B000000}">
      <formula1>套综土地级别</formula1>
    </dataValidation>
    <dataValidation type="list" allowBlank="1" showInputMessage="1" showErrorMessage="1" sqref="C39 E39 G39 I39" xr:uid="{00000000-0002-0000-2500-00000C000000}">
      <formula1>套综宗地形状</formula1>
    </dataValidation>
    <dataValidation type="list" allowBlank="1" showInputMessage="1" showErrorMessage="1" sqref="C40 E40 G40 I40" xr:uid="{00000000-0002-0000-2500-00000D000000}">
      <formula1>套综临街宽度及深度</formula1>
    </dataValidation>
    <dataValidation type="list" allowBlank="1" showInputMessage="1" showErrorMessage="1" sqref="C41 E41 G41 I41" xr:uid="{00000000-0002-0000-2500-00000E000000}">
      <formula1>套综宗地内开发程度</formula1>
    </dataValidation>
    <dataValidation type="list" allowBlank="1" showInputMessage="1" showErrorMessage="1" sqref="C42 E42 G42 I42" xr:uid="{00000000-0002-0000-2500-00000F000000}">
      <formula1>套综工程地质条件</formula1>
    </dataValidation>
    <dataValidation type="list" allowBlank="1" showInputMessage="1" showErrorMessage="1" sqref="C31 E31 G31 I31" xr:uid="{00000000-0002-0000-2500-000010000000}">
      <formula1>临街状况</formula1>
    </dataValidation>
    <dataValidation type="list" allowBlank="1" showInputMessage="1" showErrorMessage="1" sqref="E24 G24 I24 C24" xr:uid="{00000000-0002-0000-2500-000011000000}">
      <formula1>区域土地利用方向</formula1>
    </dataValidation>
    <dataValidation type="list" allowBlank="1" showInputMessage="1" showErrorMessage="1" sqref="C55" xr:uid="{00000000-0002-0000-2500-000012000000}">
      <formula1>"北京市系数,其他省市系数"</formula1>
    </dataValidation>
    <dataValidation type="list" allowBlank="1" showInputMessage="1" showErrorMessage="1" sqref="G61" xr:uid="{00000000-0002-0000-2500-000013000000}">
      <formula1>"商业,办公,住宅,工业"</formula1>
    </dataValidation>
    <dataValidation type="list" allowBlank="1" showInputMessage="1" showErrorMessage="1" sqref="G62" xr:uid="{00000000-0002-0000-2500-000014000000}">
      <formula1>"住宅,工业"</formula1>
    </dataValidation>
    <dataValidation type="list" allowBlank="1" showInputMessage="1" showErrorMessage="1" sqref="C30 E30 G30 I30" xr:uid="{00000000-0002-0000-2500-000015000000}">
      <formula1>基础设施水平</formula1>
    </dataValidation>
    <dataValidation type="list" allowBlank="1" showInputMessage="1" showErrorMessage="1" sqref="A70" xr:uid="{00000000-0002-0000-2500-000016000000}">
      <formula1>"综合,商业,办公,住宅"</formula1>
    </dataValidation>
    <dataValidation type="list" allowBlank="1" showInputMessage="1" showErrorMessage="1" sqref="D47" xr:uid="{00000000-0002-0000-2500-000017000000}">
      <formula1>"简单平均,加权平均"</formula1>
    </dataValidation>
    <dataValidation type="list" allowBlank="1" showInputMessage="1" showErrorMessage="1" sqref="D57:D64" xr:uid="{00000000-0002-0000-25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00" t="s">
        <v>1770</v>
      </c>
      <c r="D4" s="3401"/>
      <c r="E4" s="3402" t="s">
        <v>1771</v>
      </c>
      <c r="F4" s="3403"/>
      <c r="G4" s="3400" t="s">
        <v>1772</v>
      </c>
      <c r="H4" s="3401"/>
      <c r="I4" s="3400" t="s">
        <v>1773</v>
      </c>
      <c r="J4" s="3401"/>
      <c r="K4" s="537" t="s">
        <v>1774</v>
      </c>
      <c r="L4" s="2487"/>
      <c r="M4" s="2488"/>
      <c r="N4" s="2488"/>
      <c r="O4" s="2488"/>
      <c r="P4" s="3404" t="s">
        <v>1775</v>
      </c>
      <c r="Q4" s="3405"/>
      <c r="R4" s="3387" t="s">
        <v>1771</v>
      </c>
      <c r="S4" s="3388"/>
      <c r="T4" s="3387" t="s">
        <v>1772</v>
      </c>
      <c r="U4" s="3388"/>
      <c r="V4" s="3412" t="s">
        <v>1773</v>
      </c>
      <c r="W4" s="3412"/>
      <c r="X4" s="1265"/>
      <c r="Y4" s="3387" t="s">
        <v>1775</v>
      </c>
      <c r="Z4" s="3388"/>
      <c r="AA4" s="3382" t="s">
        <v>1771</v>
      </c>
      <c r="AB4" s="3383" t="s">
        <v>1772</v>
      </c>
      <c r="AC4" s="3382" t="s">
        <v>1773</v>
      </c>
    </row>
    <row r="5" spans="1:29" ht="15">
      <c r="A5" s="348"/>
      <c r="B5" s="349"/>
      <c r="C5" s="3393" t="s">
        <v>1673</v>
      </c>
      <c r="D5" s="3394"/>
      <c r="E5" s="3391" t="s">
        <v>1674</v>
      </c>
      <c r="F5" s="3392"/>
      <c r="G5" s="3393" t="s">
        <v>1675</v>
      </c>
      <c r="H5" s="3394"/>
      <c r="I5" s="3393" t="s">
        <v>1676</v>
      </c>
      <c r="J5" s="3394"/>
      <c r="K5" s="537"/>
      <c r="L5" s="2487"/>
      <c r="M5" s="2488"/>
      <c r="N5" s="2488"/>
      <c r="O5" s="2488"/>
      <c r="P5" s="3406"/>
      <c r="Q5" s="3407"/>
      <c r="R5" s="3389"/>
      <c r="S5" s="3390"/>
      <c r="T5" s="3389"/>
      <c r="U5" s="3390"/>
      <c r="V5" s="3412"/>
      <c r="W5" s="3412"/>
      <c r="X5" s="1265"/>
      <c r="Y5" s="3389"/>
      <c r="Z5" s="3390"/>
      <c r="AA5" s="3383"/>
      <c r="AB5" s="3383"/>
      <c r="AC5" s="3383"/>
    </row>
    <row r="6" spans="1:29" ht="15.75" thickBot="1">
      <c r="A6" s="350"/>
      <c r="B6" s="351"/>
      <c r="C6" s="3492" t="s">
        <v>1919</v>
      </c>
      <c r="D6" s="3493"/>
      <c r="E6" s="3494" t="s">
        <v>1919</v>
      </c>
      <c r="F6" s="3495"/>
      <c r="G6" s="3492" t="s">
        <v>1919</v>
      </c>
      <c r="H6" s="3493"/>
      <c r="I6" s="3492" t="s">
        <v>1919</v>
      </c>
      <c r="J6" s="3493"/>
      <c r="K6" s="537" t="s">
        <v>1678</v>
      </c>
      <c r="L6" s="2487"/>
      <c r="M6" s="2488"/>
      <c r="N6" s="2488"/>
      <c r="O6" s="2488"/>
      <c r="P6" s="3408"/>
      <c r="Q6" s="3409"/>
      <c r="R6" s="3389"/>
      <c r="S6" s="3390"/>
      <c r="T6" s="3410"/>
      <c r="U6" s="3411"/>
      <c r="V6" s="3412"/>
      <c r="W6" s="3412"/>
      <c r="X6" s="1265"/>
      <c r="Y6" s="3410"/>
      <c r="Z6" s="3411"/>
      <c r="AA6" s="3384"/>
      <c r="AB6" s="3384"/>
      <c r="AC6" s="3384"/>
    </row>
    <row r="7" spans="1:29" s="102" customFormat="1" ht="15.75" thickBot="1">
      <c r="A7" s="352" t="s">
        <v>1679</v>
      </c>
      <c r="B7" s="353"/>
      <c r="C7" s="354">
        <f>'数据-取费表'!B2</f>
        <v>45952</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85" t="s">
        <v>1680</v>
      </c>
      <c r="Q7" s="3413"/>
      <c r="R7" s="664" t="s">
        <v>14</v>
      </c>
      <c r="S7" s="665">
        <f t="shared" ref="S7:S15" si="0">F7</f>
        <v>0</v>
      </c>
      <c r="T7" s="664" t="s">
        <v>14</v>
      </c>
      <c r="U7" s="665">
        <f t="shared" ref="U7:U15" si="1">H7</f>
        <v>0</v>
      </c>
      <c r="V7" s="664" t="s">
        <v>14</v>
      </c>
      <c r="W7" s="665">
        <f t="shared" ref="W7:W15" si="2">J7</f>
        <v>0</v>
      </c>
      <c r="X7" s="666"/>
      <c r="Y7" s="3385" t="s">
        <v>1680</v>
      </c>
      <c r="Z7" s="338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85" t="s">
        <v>1683</v>
      </c>
      <c r="Q8" s="3386"/>
      <c r="R8" s="664" t="s">
        <v>14</v>
      </c>
      <c r="S8" s="665">
        <f t="shared" si="0"/>
        <v>0</v>
      </c>
      <c r="T8" s="664" t="s">
        <v>14</v>
      </c>
      <c r="U8" s="665">
        <f t="shared" si="1"/>
        <v>0</v>
      </c>
      <c r="V8" s="664" t="s">
        <v>14</v>
      </c>
      <c r="W8" s="665">
        <f t="shared" si="2"/>
        <v>0</v>
      </c>
      <c r="X8" s="666"/>
      <c r="Y8" s="3385" t="s">
        <v>1683</v>
      </c>
      <c r="Z8" s="3386"/>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9" t="s">
        <v>1686</v>
      </c>
      <c r="Q9" s="530" t="str">
        <f t="shared" ref="Q9:Q15" si="6">B9</f>
        <v>用途</v>
      </c>
      <c r="R9" s="664" t="s">
        <v>14</v>
      </c>
      <c r="S9" s="665">
        <f t="shared" si="0"/>
        <v>100</v>
      </c>
      <c r="T9" s="664" t="s">
        <v>14</v>
      </c>
      <c r="U9" s="665">
        <f t="shared" si="1"/>
        <v>100</v>
      </c>
      <c r="V9" s="664" t="s">
        <v>14</v>
      </c>
      <c r="W9" s="665">
        <f t="shared" si="2"/>
        <v>100</v>
      </c>
      <c r="X9" s="666"/>
      <c r="Y9" s="335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100</v>
      </c>
      <c r="G10" s="371"/>
      <c r="H10" s="119">
        <f>ROUND(100/'数据-取费表'!G16,0)</f>
        <v>100</v>
      </c>
      <c r="I10" s="371"/>
      <c r="J10" s="119">
        <f>ROUND(100/'数据-取费表'!G16,0)</f>
        <v>100</v>
      </c>
      <c r="K10" s="592"/>
      <c r="L10" s="2490"/>
      <c r="M10" s="2491"/>
      <c r="N10" s="2491"/>
      <c r="O10" s="2542"/>
      <c r="P10" s="3399"/>
      <c r="Q10" s="530" t="str">
        <f t="shared" si="6"/>
        <v>土地使用年限（年）</v>
      </c>
      <c r="R10" s="664" t="s">
        <v>14</v>
      </c>
      <c r="S10" s="665">
        <f t="shared" si="0"/>
        <v>100</v>
      </c>
      <c r="T10" s="664" t="s">
        <v>14</v>
      </c>
      <c r="U10" s="665">
        <f t="shared" si="1"/>
        <v>100</v>
      </c>
      <c r="V10" s="664" t="s">
        <v>14</v>
      </c>
      <c r="W10" s="665">
        <f t="shared" si="2"/>
        <v>100</v>
      </c>
      <c r="X10" s="666"/>
      <c r="Y10" s="3354"/>
      <c r="Z10" s="50" t="str">
        <f t="shared" si="7"/>
        <v>土地使用年限（年）</v>
      </c>
      <c r="AA10" s="50">
        <f t="shared" si="3"/>
        <v>1</v>
      </c>
      <c r="AB10" s="50">
        <f t="shared" si="4"/>
        <v>1</v>
      </c>
      <c r="AC10" s="50">
        <f t="shared" si="5"/>
        <v>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9"/>
      <c r="Q11" s="530" t="str">
        <f t="shared" si="6"/>
        <v>容积率</v>
      </c>
      <c r="R11" s="664" t="s">
        <v>14</v>
      </c>
      <c r="S11" s="665" t="e">
        <f t="shared" si="0"/>
        <v>#N/A</v>
      </c>
      <c r="T11" s="664" t="s">
        <v>14</v>
      </c>
      <c r="U11" s="665" t="e">
        <f t="shared" si="1"/>
        <v>#N/A</v>
      </c>
      <c r="V11" s="664" t="s">
        <v>14</v>
      </c>
      <c r="W11" s="665" t="e">
        <f t="shared" si="2"/>
        <v>#N/A</v>
      </c>
      <c r="X11" s="666"/>
      <c r="Y11" s="33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9"/>
      <c r="Q12" s="530">
        <f t="shared" si="6"/>
        <v>111</v>
      </c>
      <c r="R12" s="664" t="s">
        <v>14</v>
      </c>
      <c r="S12" s="665">
        <f t="shared" si="0"/>
        <v>100</v>
      </c>
      <c r="T12" s="664" t="s">
        <v>14</v>
      </c>
      <c r="U12" s="665">
        <f t="shared" si="1"/>
        <v>100</v>
      </c>
      <c r="V12" s="664" t="s">
        <v>14</v>
      </c>
      <c r="W12" s="665">
        <f t="shared" si="2"/>
        <v>100</v>
      </c>
      <c r="X12" s="666"/>
      <c r="Y12" s="33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9"/>
      <c r="Q13" s="530">
        <f t="shared" si="6"/>
        <v>111</v>
      </c>
      <c r="R13" s="664" t="s">
        <v>14</v>
      </c>
      <c r="S13" s="665">
        <f t="shared" si="0"/>
        <v>100</v>
      </c>
      <c r="T13" s="664" t="s">
        <v>14</v>
      </c>
      <c r="U13" s="665">
        <f t="shared" si="1"/>
        <v>100</v>
      </c>
      <c r="V13" s="664" t="s">
        <v>14</v>
      </c>
      <c r="W13" s="665">
        <f t="shared" si="2"/>
        <v>100</v>
      </c>
      <c r="X13" s="666"/>
      <c r="Y13" s="335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9"/>
      <c r="Q14" s="530">
        <f t="shared" si="6"/>
        <v>111</v>
      </c>
      <c r="R14" s="664" t="s">
        <v>14</v>
      </c>
      <c r="S14" s="665">
        <f t="shared" si="0"/>
        <v>100</v>
      </c>
      <c r="T14" s="664" t="s">
        <v>14</v>
      </c>
      <c r="U14" s="665">
        <f t="shared" si="1"/>
        <v>100</v>
      </c>
      <c r="V14" s="664" t="s">
        <v>14</v>
      </c>
      <c r="W14" s="665">
        <f t="shared" si="2"/>
        <v>100</v>
      </c>
      <c r="X14" s="666"/>
      <c r="Y14" s="335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4" t="s">
        <v>1691</v>
      </c>
      <c r="Q15" s="1263" t="str">
        <f t="shared" si="6"/>
        <v>产业集聚程度</v>
      </c>
      <c r="R15" s="667" t="s">
        <v>14</v>
      </c>
      <c r="S15" s="668">
        <f t="shared" si="0"/>
        <v>100</v>
      </c>
      <c r="T15" s="667" t="s">
        <v>14</v>
      </c>
      <c r="U15" s="668">
        <f t="shared" si="1"/>
        <v>100</v>
      </c>
      <c r="V15" s="667" t="s">
        <v>14</v>
      </c>
      <c r="W15" s="668">
        <f t="shared" si="2"/>
        <v>100</v>
      </c>
      <c r="X15" s="1265"/>
      <c r="Y15" s="3414"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5"/>
      <c r="Q16" s="1263"/>
      <c r="R16" s="667"/>
      <c r="S16" s="668"/>
      <c r="T16" s="667"/>
      <c r="U16" s="668"/>
      <c r="V16" s="667"/>
      <c r="W16" s="668"/>
      <c r="X16" s="1265"/>
      <c r="Y16" s="3415"/>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5"/>
      <c r="Q17" s="1263" t="str">
        <f>B17</f>
        <v>交通便捷度</v>
      </c>
      <c r="R17" s="667" t="s">
        <v>14</v>
      </c>
      <c r="S17" s="668">
        <f>F17</f>
        <v>100</v>
      </c>
      <c r="T17" s="667" t="s">
        <v>14</v>
      </c>
      <c r="U17" s="668">
        <f>H17</f>
        <v>100</v>
      </c>
      <c r="V17" s="667" t="s">
        <v>14</v>
      </c>
      <c r="W17" s="668">
        <f>J17</f>
        <v>100</v>
      </c>
      <c r="X17" s="1265"/>
      <c r="Y17" s="3415"/>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5"/>
      <c r="Q18" s="1263"/>
      <c r="R18" s="667"/>
      <c r="S18" s="668"/>
      <c r="T18" s="667"/>
      <c r="U18" s="668"/>
      <c r="V18" s="667"/>
      <c r="W18" s="668"/>
      <c r="X18" s="1265"/>
      <c r="Y18" s="3415"/>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5"/>
      <c r="Q19" s="1263" t="str">
        <f t="shared" ref="Q19:Q33" si="8">B19</f>
        <v>区域土地利用方向</v>
      </c>
      <c r="R19" s="667" t="s">
        <v>14</v>
      </c>
      <c r="S19" s="668">
        <f>F19</f>
        <v>100</v>
      </c>
      <c r="T19" s="667" t="s">
        <v>14</v>
      </c>
      <c r="U19" s="668">
        <f>H19</f>
        <v>100</v>
      </c>
      <c r="V19" s="667" t="s">
        <v>14</v>
      </c>
      <c r="W19" s="668">
        <f>J19</f>
        <v>100</v>
      </c>
      <c r="X19" s="1265"/>
      <c r="Y19" s="3415"/>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5"/>
      <c r="Q20" s="1263"/>
      <c r="R20" s="667"/>
      <c r="S20" s="668"/>
      <c r="T20" s="667"/>
      <c r="U20" s="668"/>
      <c r="V20" s="667"/>
      <c r="W20" s="668"/>
      <c r="X20" s="1265"/>
      <c r="Y20" s="3415"/>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5"/>
      <c r="Q21" s="1263" t="str">
        <f t="shared" si="8"/>
        <v>环境状况</v>
      </c>
      <c r="R21" s="667" t="s">
        <v>14</v>
      </c>
      <c r="S21" s="668">
        <f>F21</f>
        <v>100</v>
      </c>
      <c r="T21" s="667" t="s">
        <v>14</v>
      </c>
      <c r="U21" s="668">
        <f>H21</f>
        <v>100</v>
      </c>
      <c r="V21" s="667" t="s">
        <v>14</v>
      </c>
      <c r="W21" s="668">
        <f>J21</f>
        <v>100</v>
      </c>
      <c r="X21" s="1265"/>
      <c r="Y21" s="3415"/>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5"/>
      <c r="Q22" s="1263"/>
      <c r="R22" s="667"/>
      <c r="S22" s="668"/>
      <c r="T22" s="667"/>
      <c r="U22" s="668"/>
      <c r="V22" s="667"/>
      <c r="W22" s="668"/>
      <c r="X22" s="1265"/>
      <c r="Y22" s="3415"/>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5"/>
      <c r="Q23" s="530" t="str">
        <f t="shared" si="8"/>
        <v>公共配套设施</v>
      </c>
      <c r="R23" s="664" t="s">
        <v>14</v>
      </c>
      <c r="S23" s="665">
        <f>F23</f>
        <v>100</v>
      </c>
      <c r="T23" s="664" t="s">
        <v>14</v>
      </c>
      <c r="U23" s="665">
        <f>H23</f>
        <v>100</v>
      </c>
      <c r="V23" s="664" t="s">
        <v>14</v>
      </c>
      <c r="W23" s="665">
        <f>J23</f>
        <v>100</v>
      </c>
      <c r="X23" s="666"/>
      <c r="Y23" s="3415"/>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5"/>
      <c r="Q24" s="530"/>
      <c r="R24" s="664"/>
      <c r="S24" s="665"/>
      <c r="T24" s="664"/>
      <c r="U24" s="665"/>
      <c r="V24" s="664"/>
      <c r="W24" s="665"/>
      <c r="X24" s="666"/>
      <c r="Y24" s="3415"/>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5"/>
      <c r="Q25" s="530" t="str">
        <f t="shared" ref="Q25" si="9">B25</f>
        <v>基础设施水平</v>
      </c>
      <c r="R25" s="664" t="s">
        <v>14</v>
      </c>
      <c r="S25" s="665">
        <f>F25</f>
        <v>100</v>
      </c>
      <c r="T25" s="664" t="s">
        <v>14</v>
      </c>
      <c r="U25" s="665">
        <f>H25</f>
        <v>100</v>
      </c>
      <c r="V25" s="664" t="s">
        <v>14</v>
      </c>
      <c r="W25" s="665">
        <f>J25</f>
        <v>100</v>
      </c>
      <c r="X25" s="666"/>
      <c r="Y25" s="3415"/>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5"/>
      <c r="Q26" s="530"/>
      <c r="R26" s="664"/>
      <c r="S26" s="665"/>
      <c r="T26" s="664"/>
      <c r="U26" s="665"/>
      <c r="V26" s="664"/>
      <c r="W26" s="665"/>
      <c r="X26" s="666"/>
      <c r="Y26" s="3415"/>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5"/>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5"/>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5"/>
      <c r="Q28" s="1263" t="str">
        <f t="shared" si="8"/>
        <v>毗邻道路的类型与等级</v>
      </c>
      <c r="R28" s="667" t="s">
        <v>14</v>
      </c>
      <c r="S28" s="668">
        <f t="shared" si="10"/>
        <v>100</v>
      </c>
      <c r="T28" s="667" t="s">
        <v>14</v>
      </c>
      <c r="U28" s="668">
        <f t="shared" si="11"/>
        <v>100</v>
      </c>
      <c r="V28" s="667" t="s">
        <v>14</v>
      </c>
      <c r="W28" s="668">
        <f t="shared" si="12"/>
        <v>100</v>
      </c>
      <c r="X28" s="1265"/>
      <c r="Y28" s="3415"/>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5"/>
      <c r="Q29" s="1263"/>
      <c r="R29" s="667"/>
      <c r="S29" s="668"/>
      <c r="T29" s="667"/>
      <c r="U29" s="668"/>
      <c r="V29" s="667"/>
      <c r="W29" s="668"/>
      <c r="X29" s="1265"/>
      <c r="Y29" s="3415"/>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5"/>
      <c r="Q30" s="1263" t="str">
        <f t="shared" si="8"/>
        <v>土地级别</v>
      </c>
      <c r="R30" s="667" t="s">
        <v>14</v>
      </c>
      <c r="S30" s="668">
        <f t="shared" si="10"/>
        <v>100</v>
      </c>
      <c r="T30" s="667" t="s">
        <v>14</v>
      </c>
      <c r="U30" s="668">
        <f t="shared" si="11"/>
        <v>100</v>
      </c>
      <c r="V30" s="667" t="s">
        <v>14</v>
      </c>
      <c r="W30" s="668">
        <f t="shared" si="12"/>
        <v>100</v>
      </c>
      <c r="X30" s="1265"/>
      <c r="Y30" s="3415"/>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5"/>
      <c r="Q31" s="1263">
        <f t="shared" si="8"/>
        <v>111</v>
      </c>
      <c r="R31" s="667" t="s">
        <v>14</v>
      </c>
      <c r="S31" s="668">
        <f t="shared" si="10"/>
        <v>100</v>
      </c>
      <c r="T31" s="667" t="s">
        <v>14</v>
      </c>
      <c r="U31" s="668">
        <f t="shared" si="11"/>
        <v>100</v>
      </c>
      <c r="V31" s="667" t="s">
        <v>14</v>
      </c>
      <c r="W31" s="668">
        <f t="shared" si="12"/>
        <v>100</v>
      </c>
      <c r="X31" s="1265"/>
      <c r="Y31" s="3415"/>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16" t="s">
        <v>1696</v>
      </c>
      <c r="Q32" s="1263">
        <f t="shared" si="8"/>
        <v>111</v>
      </c>
      <c r="R32" s="667" t="s">
        <v>14</v>
      </c>
      <c r="S32" s="668">
        <f t="shared" si="10"/>
        <v>100</v>
      </c>
      <c r="T32" s="667" t="s">
        <v>14</v>
      </c>
      <c r="U32" s="668">
        <f t="shared" si="11"/>
        <v>100</v>
      </c>
      <c r="V32" s="667" t="s">
        <v>14</v>
      </c>
      <c r="W32" s="668">
        <f t="shared" si="12"/>
        <v>100</v>
      </c>
      <c r="X32" s="1265"/>
      <c r="Y32" s="3417"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7"/>
      <c r="Q33" s="1263">
        <f t="shared" si="8"/>
        <v>111</v>
      </c>
      <c r="R33" s="669" t="s">
        <v>14</v>
      </c>
      <c r="S33" s="670">
        <f t="shared" si="10"/>
        <v>100</v>
      </c>
      <c r="T33" s="669" t="s">
        <v>14</v>
      </c>
      <c r="U33" s="670">
        <f t="shared" si="11"/>
        <v>100</v>
      </c>
      <c r="V33" s="669" t="s">
        <v>14</v>
      </c>
      <c r="W33" s="670">
        <f t="shared" si="12"/>
        <v>100</v>
      </c>
      <c r="X33" s="671"/>
      <c r="Y33" s="3417"/>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7"/>
      <c r="Q34" s="1263" t="str">
        <f>B34</f>
        <v>宗地面积</v>
      </c>
      <c r="R34" s="667" t="s">
        <v>14</v>
      </c>
      <c r="S34" s="668" t="e">
        <f t="shared" si="10"/>
        <v>#N/A</v>
      </c>
      <c r="T34" s="667" t="s">
        <v>14</v>
      </c>
      <c r="U34" s="668" t="e">
        <f t="shared" si="11"/>
        <v>#N/A</v>
      </c>
      <c r="V34" s="667" t="s">
        <v>14</v>
      </c>
      <c r="W34" s="668" t="e">
        <f t="shared" si="12"/>
        <v>#N/A</v>
      </c>
      <c r="X34" s="1265"/>
      <c r="Y34" s="3417"/>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7"/>
      <c r="Q35" s="1263" t="str">
        <f t="shared" ref="Q35:Q40" si="14">B35</f>
        <v>宗地形状</v>
      </c>
      <c r="R35" s="667" t="s">
        <v>14</v>
      </c>
      <c r="S35" s="668">
        <f t="shared" si="10"/>
        <v>100</v>
      </c>
      <c r="T35" s="667" t="s">
        <v>14</v>
      </c>
      <c r="U35" s="668">
        <f t="shared" si="11"/>
        <v>100</v>
      </c>
      <c r="V35" s="667" t="s">
        <v>14</v>
      </c>
      <c r="W35" s="668">
        <f t="shared" si="12"/>
        <v>100</v>
      </c>
      <c r="X35" s="1265"/>
      <c r="Y35" s="3417"/>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7"/>
      <c r="Q36" s="1263" t="str">
        <f t="shared" si="14"/>
        <v>宗地开发程度</v>
      </c>
      <c r="R36" s="664" t="s">
        <v>14</v>
      </c>
      <c r="S36" s="665">
        <f t="shared" si="10"/>
        <v>100</v>
      </c>
      <c r="T36" s="664" t="s">
        <v>14</v>
      </c>
      <c r="U36" s="665">
        <f t="shared" si="11"/>
        <v>100</v>
      </c>
      <c r="V36" s="664" t="s">
        <v>14</v>
      </c>
      <c r="W36" s="665">
        <f t="shared" si="12"/>
        <v>100</v>
      </c>
      <c r="X36" s="666"/>
      <c r="Y36" s="3417"/>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7" t="s">
        <v>1696</v>
      </c>
      <c r="Q37" s="1263" t="str">
        <f t="shared" si="14"/>
        <v>工程地质条件</v>
      </c>
      <c r="R37" s="667" t="s">
        <v>14</v>
      </c>
      <c r="S37" s="668">
        <f t="shared" si="10"/>
        <v>100</v>
      </c>
      <c r="T37" s="667" t="s">
        <v>14</v>
      </c>
      <c r="U37" s="668">
        <f t="shared" si="11"/>
        <v>100</v>
      </c>
      <c r="V37" s="667" t="s">
        <v>14</v>
      </c>
      <c r="W37" s="668">
        <f t="shared" si="12"/>
        <v>100</v>
      </c>
      <c r="X37" s="1265"/>
      <c r="Y37" s="3417"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7"/>
      <c r="Q38" s="1263">
        <f t="shared" si="14"/>
        <v>111</v>
      </c>
      <c r="R38" s="667" t="s">
        <v>14</v>
      </c>
      <c r="S38" s="668">
        <f t="shared" si="10"/>
        <v>100</v>
      </c>
      <c r="T38" s="667" t="s">
        <v>14</v>
      </c>
      <c r="U38" s="668">
        <f t="shared" si="11"/>
        <v>100</v>
      </c>
      <c r="V38" s="667" t="s">
        <v>14</v>
      </c>
      <c r="W38" s="668">
        <f t="shared" si="12"/>
        <v>100</v>
      </c>
      <c r="X38" s="1265"/>
      <c r="Y38" s="3417"/>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7"/>
      <c r="Q39" s="1263">
        <f t="shared" si="14"/>
        <v>111</v>
      </c>
      <c r="R39" s="667" t="s">
        <v>14</v>
      </c>
      <c r="S39" s="668">
        <f t="shared" si="10"/>
        <v>100</v>
      </c>
      <c r="T39" s="667" t="s">
        <v>14</v>
      </c>
      <c r="U39" s="668">
        <f t="shared" si="11"/>
        <v>100</v>
      </c>
      <c r="V39" s="667" t="s">
        <v>14</v>
      </c>
      <c r="W39" s="668">
        <f t="shared" si="12"/>
        <v>100</v>
      </c>
      <c r="X39" s="1265"/>
      <c r="Y39" s="3417"/>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7"/>
      <c r="Q40" s="1263">
        <f t="shared" si="14"/>
        <v>111</v>
      </c>
      <c r="R40" s="669" t="s">
        <v>14</v>
      </c>
      <c r="S40" s="670">
        <f t="shared" si="10"/>
        <v>100</v>
      </c>
      <c r="T40" s="669" t="s">
        <v>14</v>
      </c>
      <c r="U40" s="670">
        <f t="shared" si="11"/>
        <v>100</v>
      </c>
      <c r="V40" s="669" t="s">
        <v>14</v>
      </c>
      <c r="W40" s="670">
        <f t="shared" si="12"/>
        <v>100</v>
      </c>
      <c r="X40" s="671"/>
      <c r="Y40" s="3417"/>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9" t="str">
        <f>A41</f>
        <v>成交单价</v>
      </c>
      <c r="Q41" s="3399"/>
      <c r="R41" s="3412">
        <f>E41</f>
        <v>0</v>
      </c>
      <c r="S41" s="3412"/>
      <c r="T41" s="3412">
        <f>G41</f>
        <v>0</v>
      </c>
      <c r="U41" s="3412"/>
      <c r="V41" s="3412">
        <f>I41</f>
        <v>0</v>
      </c>
      <c r="W41" s="3412"/>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9" t="str">
        <f>A42</f>
        <v>比较价值（元/平方米）</v>
      </c>
      <c r="Q42" s="3399"/>
      <c r="R42" s="3489" t="e">
        <f>ROUND(PRODUCT(R41,AA7:AA40),0)</f>
        <v>#DIV/0!</v>
      </c>
      <c r="S42" s="3489"/>
      <c r="T42" s="3489" t="e">
        <f>ROUND(PRODUCT(T41,AB7:AB40),0)</f>
        <v>#DIV/0!</v>
      </c>
      <c r="U42" s="3489"/>
      <c r="V42" s="3489" t="e">
        <f>ROUND(PRODUCT(V41,AC7:AC40),0)</f>
        <v>#DIV/0!</v>
      </c>
      <c r="W42" s="3489"/>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18" t="str">
        <f>A43</f>
        <v>估价对象XX用房的比较价值（楼面单价，元/平方米）</v>
      </c>
      <c r="Q43" s="3419"/>
      <c r="R43" s="3490" t="e">
        <f>ROUND(IF(D42="简单平均",AVERAGE(R42:W42),R42*F42+T42*H42+V42*J42),0)</f>
        <v>#DIV/0!</v>
      </c>
      <c r="S43" s="3490"/>
      <c r="T43" s="3490"/>
      <c r="U43" s="3490"/>
      <c r="V43" s="3490"/>
      <c r="W43" s="3490"/>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00" t="s">
        <v>1887</v>
      </c>
      <c r="H50" s="3491"/>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16683.080000000002</v>
      </c>
      <c r="F51" s="611" t="e">
        <f t="shared" ref="F51:F60" si="15">ROUND(B51*E51/10000,0)</f>
        <v>#DIV/0!</v>
      </c>
      <c r="G51" s="3466"/>
      <c r="H51" s="339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SUMIF(修正!A59:A70,H52,修正!B59:B70)</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SUMIF(修正!A59:A70,H53,修正!C59:C70)</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SUMIF(修正!A59:A70,H54,修正!D59:D70)</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6666.7</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01"/>
      <c r="C2" s="3201"/>
      <c r="D2" s="3201"/>
      <c r="E2" s="3201"/>
    </row>
    <row r="3" spans="1:5" ht="18">
      <c r="A3" s="3202" t="str">
        <f>IF(项目基本情况!B9="房地产市场价值","估价结果一览表（市场价值不需“结果表-1”）","估价结果一览表")</f>
        <v>估价结果一览表</v>
      </c>
      <c r="B3" s="3202"/>
      <c r="C3" s="3202"/>
      <c r="D3" s="3202"/>
      <c r="E3" s="3202"/>
    </row>
    <row r="4" spans="1:5" ht="19.5" thickBot="1">
      <c r="A4" s="1391"/>
      <c r="B4" s="3200" t="s">
        <v>917</v>
      </c>
      <c r="C4" s="3200"/>
      <c r="D4" s="3200"/>
      <c r="E4" s="1391"/>
    </row>
    <row r="5" spans="1:5" ht="16.5" thickTop="1">
      <c r="B5" s="3198" t="s">
        <v>909</v>
      </c>
      <c r="C5" s="1392" t="s">
        <v>910</v>
      </c>
      <c r="D5" s="797" t="e">
        <f ca="1">结果表!H101</f>
        <v>#REF!</v>
      </c>
    </row>
    <row r="6" spans="1:5" ht="15.75">
      <c r="B6" s="3198"/>
      <c r="C6" s="1392" t="s">
        <v>911</v>
      </c>
      <c r="D6" s="797" t="e">
        <f ca="1">NUMBERSTRING(INT(D5*10000),2)&amp;"元整"</f>
        <v>#REF!</v>
      </c>
    </row>
    <row r="7" spans="1:5" ht="15.75">
      <c r="B7" s="3203"/>
      <c r="C7" s="1393" t="s">
        <v>912</v>
      </c>
      <c r="D7" s="798" t="e">
        <f ca="1">结果表!H102</f>
        <v>#REF!</v>
      </c>
    </row>
    <row r="8" spans="1:5" ht="15.75">
      <c r="B8" s="3204" t="str">
        <f>结果表!E103</f>
        <v>2.估价师知悉的法定优先受偿款</v>
      </c>
      <c r="C8" s="1394" t="s">
        <v>913</v>
      </c>
      <c r="D8" s="798">
        <f>结果表!H103</f>
        <v>0</v>
      </c>
    </row>
    <row r="9" spans="1:5" ht="15.75">
      <c r="B9" s="3206"/>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7" t="str">
        <f>结果表!E107</f>
        <v>3.房地产抵押价值</v>
      </c>
      <c r="C13" s="1397" t="s">
        <v>910</v>
      </c>
      <c r="D13" s="800" t="e">
        <f ca="1">结果表!H107</f>
        <v>#REF!</v>
      </c>
    </row>
    <row r="14" spans="1:5" ht="15.75">
      <c r="B14" s="3198"/>
      <c r="C14" s="1392" t="s">
        <v>911</v>
      </c>
      <c r="D14" s="797" t="e">
        <f ca="1">NUMBERSTRING(INT(D13*10000),2)&amp;"元整"</f>
        <v>#REF!</v>
      </c>
    </row>
    <row r="15" spans="1:5" ht="15">
      <c r="B15" s="3203"/>
      <c r="C15" s="1393" t="s">
        <v>921</v>
      </c>
      <c r="D15" s="806" t="e">
        <f ca="1">结果表!H108</f>
        <v>#REF!</v>
      </c>
    </row>
    <row r="16" spans="1:5" ht="15">
      <c r="B16" s="3204" t="str">
        <f>结果表!E109</f>
        <v>——</v>
      </c>
      <c r="C16" s="1397" t="s">
        <v>922</v>
      </c>
      <c r="D16" s="1398" t="str">
        <f>结果表!H109</f>
        <v>——</v>
      </c>
    </row>
    <row r="17" spans="1:5" ht="15.75">
      <c r="B17" s="3205"/>
      <c r="C17" s="1392" t="s">
        <v>923</v>
      </c>
      <c r="D17" s="797" t="e">
        <f>NUMBERSTRING(INT(D16*10000),2)&amp;"元整"</f>
        <v>#VALUE!</v>
      </c>
    </row>
    <row r="18" spans="1:5" ht="15">
      <c r="B18" s="3206"/>
      <c r="C18" s="1393" t="s">
        <v>912</v>
      </c>
      <c r="D18" s="806" t="str">
        <f>结果表!H110</f>
        <v>——</v>
      </c>
    </row>
    <row r="19" spans="1:5" ht="15.75">
      <c r="B19" s="3197" t="str">
        <f>结果表!E111</f>
        <v>——</v>
      </c>
      <c r="C19" s="1397" t="s">
        <v>910</v>
      </c>
      <c r="D19" s="798" t="str">
        <f>结果表!H111</f>
        <v>——</v>
      </c>
    </row>
    <row r="20" spans="1:5" ht="15.75">
      <c r="B20" s="3198"/>
      <c r="C20" s="1392" t="s">
        <v>923</v>
      </c>
      <c r="D20" s="797" t="e">
        <f>NUMBERSTRING(INT(D19*10000),2)&amp;"元整"</f>
        <v>#VALUE!</v>
      </c>
    </row>
    <row r="21" spans="1:5" ht="15.75" thickBot="1">
      <c r="B21" s="3199"/>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99" t="s">
        <v>2084</v>
      </c>
      <c r="D1" s="3500"/>
      <c r="E1" s="3500"/>
      <c r="F1" s="3500"/>
      <c r="G1" s="3500"/>
      <c r="H1" s="3500"/>
      <c r="I1" s="3500"/>
      <c r="J1" s="3500"/>
      <c r="K1" s="3500"/>
      <c r="L1" s="3500"/>
      <c r="M1" s="3500"/>
      <c r="N1" s="3500"/>
      <c r="O1" s="3500"/>
      <c r="P1" s="3500"/>
      <c r="Q1" s="3500"/>
      <c r="R1" s="3500"/>
      <c r="S1" s="3501"/>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96" t="s">
        <v>27</v>
      </c>
      <c r="D22" s="3497"/>
      <c r="E22" s="3497"/>
      <c r="F22" s="3497"/>
      <c r="G22" s="3497"/>
      <c r="H22" s="3497"/>
      <c r="I22" s="3497"/>
      <c r="J22" s="3497"/>
      <c r="K22" s="3497"/>
      <c r="L22" s="3497"/>
      <c r="M22" s="3497"/>
      <c r="N22" s="3497"/>
      <c r="O22" s="3497"/>
      <c r="P22" s="3497"/>
      <c r="Q22" s="349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3508</v>
      </c>
      <c r="C2" s="1984" t="s">
        <v>2074</v>
      </c>
      <c r="D2" s="1984" t="s">
        <v>2075</v>
      </c>
      <c r="E2" s="2398">
        <f ca="1">SUMIF(E6:E13,"&lt;&gt;#ref!",E6:E13)</f>
        <v>16683.080000000002</v>
      </c>
      <c r="F2" s="2545"/>
      <c r="G2" s="2545"/>
      <c r="H2" s="2545"/>
      <c r="I2" s="2545"/>
      <c r="J2" s="2545"/>
      <c r="K2" s="2545"/>
      <c r="L2" s="2545"/>
      <c r="M2" s="2545"/>
      <c r="N2" s="2545"/>
      <c r="O2" s="2545"/>
      <c r="P2" s="2545"/>
    </row>
    <row r="3" spans="1:16" ht="15.75">
      <c r="A3" s="1984" t="s">
        <v>2076</v>
      </c>
      <c r="B3" s="2388">
        <f ca="1">ROUND(B2*10000/E2,0)</f>
        <v>2103</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3508</v>
      </c>
      <c r="C6" s="1984" t="s">
        <v>2074</v>
      </c>
      <c r="D6" s="2545"/>
      <c r="E6" s="2398">
        <f ca="1">SUMIF(INDIRECT("'"&amp;A6&amp;"'"&amp;"!C:C"),"建筑面积",INDIRECT("'"&amp;A6&amp;"'"&amp;"!D:D"))</f>
        <v>16683.080000000002</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512" t="s">
        <v>2607</v>
      </c>
      <c r="B20" s="3502" t="s">
        <v>2628</v>
      </c>
      <c r="C20" s="3169" t="s">
        <v>2439</v>
      </c>
      <c r="D20" s="3169"/>
      <c r="E20" s="2845">
        <v>1</v>
      </c>
      <c r="F20" s="2846" t="s">
        <v>2440</v>
      </c>
      <c r="G20" s="2846"/>
    </row>
    <row r="21" spans="1:13" ht="19.5" customHeight="1">
      <c r="A21" s="3513"/>
      <c r="B21" s="3503"/>
      <c r="C21" s="2858" t="s">
        <v>2441</v>
      </c>
      <c r="D21" s="2858"/>
      <c r="E21" s="2849">
        <v>1</v>
      </c>
      <c r="F21" s="2846" t="s">
        <v>2442</v>
      </c>
      <c r="G21" s="2846"/>
    </row>
    <row r="22" spans="1:13" ht="19.5" customHeight="1">
      <c r="A22" s="3513"/>
      <c r="B22" s="3503"/>
      <c r="C22" s="2858" t="s">
        <v>2443</v>
      </c>
      <c r="D22" s="2858"/>
      <c r="E22" s="2849">
        <v>0.9</v>
      </c>
      <c r="F22" s="2846" t="s">
        <v>2444</v>
      </c>
      <c r="G22" s="2846"/>
    </row>
    <row r="23" spans="1:13" ht="19.5" customHeight="1">
      <c r="A23" s="3513"/>
      <c r="B23" s="3503"/>
      <c r="C23" s="2858" t="s">
        <v>2445</v>
      </c>
      <c r="D23" s="2858"/>
      <c r="E23" s="2849">
        <v>0.9</v>
      </c>
      <c r="F23" s="2846" t="s">
        <v>2446</v>
      </c>
      <c r="G23" s="2846"/>
    </row>
    <row r="24" spans="1:13" ht="19.5" customHeight="1">
      <c r="A24" s="3513"/>
      <c r="B24" s="3503"/>
      <c r="C24" s="2858" t="s">
        <v>2447</v>
      </c>
      <c r="D24" s="2858"/>
      <c r="E24" s="2849">
        <v>0.8</v>
      </c>
      <c r="F24" s="2846" t="s">
        <v>2448</v>
      </c>
      <c r="G24" s="2846"/>
    </row>
    <row r="25" spans="1:13" ht="19.5" customHeight="1">
      <c r="A25" s="3513"/>
      <c r="B25" s="3503"/>
      <c r="C25" s="2858" t="s">
        <v>2449</v>
      </c>
      <c r="D25" s="2858"/>
      <c r="E25" s="2849">
        <v>0.8</v>
      </c>
      <c r="F25" s="2846"/>
      <c r="G25" s="2846"/>
    </row>
    <row r="26" spans="1:13" ht="19.5" customHeight="1">
      <c r="A26" s="3513"/>
      <c r="B26" s="3503"/>
      <c r="C26" s="2858" t="s">
        <v>3406</v>
      </c>
      <c r="D26" s="2858"/>
      <c r="E26" s="2849">
        <v>0.43</v>
      </c>
      <c r="F26" s="2846"/>
      <c r="G26" s="2846"/>
    </row>
    <row r="27" spans="1:13" ht="19.5" customHeight="1" thickBot="1">
      <c r="A27" s="3514"/>
      <c r="B27" s="3504"/>
      <c r="C27" s="3165" t="s">
        <v>3407</v>
      </c>
      <c r="D27" s="3165"/>
      <c r="E27" s="2852">
        <f>E26*0.9</f>
        <v>0.38700000000000001</v>
      </c>
      <c r="F27" s="2846" t="s">
        <v>2450</v>
      </c>
      <c r="G27" s="2846"/>
    </row>
    <row r="28" spans="1:13" ht="19.5" customHeight="1" thickBot="1">
      <c r="A28" s="3164" t="s">
        <v>2629</v>
      </c>
      <c r="B28" s="3163" t="s">
        <v>2628</v>
      </c>
      <c r="C28" s="3166" t="s">
        <v>2630</v>
      </c>
      <c r="D28" s="3167"/>
      <c r="E28" s="3168">
        <v>1</v>
      </c>
      <c r="F28" s="2846" t="s">
        <v>2451</v>
      </c>
      <c r="G28" s="2846"/>
    </row>
    <row r="29" spans="1:13" ht="19.5" customHeight="1">
      <c r="A29" s="3505" t="s">
        <v>2631</v>
      </c>
      <c r="B29" s="3508" t="s">
        <v>2612</v>
      </c>
      <c r="C29" s="2843" t="s">
        <v>2452</v>
      </c>
      <c r="D29" s="2844"/>
      <c r="E29" s="2845">
        <v>1</v>
      </c>
      <c r="F29" s="2846" t="s">
        <v>2453</v>
      </c>
      <c r="G29" s="2846"/>
    </row>
    <row r="30" spans="1:13" ht="19.5" customHeight="1">
      <c r="A30" s="3506"/>
      <c r="B30" s="3509"/>
      <c r="C30" s="2847" t="s">
        <v>2454</v>
      </c>
      <c r="D30" s="2848"/>
      <c r="E30" s="2849">
        <v>1</v>
      </c>
      <c r="F30" s="2846" t="s">
        <v>2455</v>
      </c>
      <c r="G30" s="2846"/>
    </row>
    <row r="31" spans="1:13" ht="19.5" customHeight="1">
      <c r="A31" s="3506"/>
      <c r="B31" s="3509"/>
      <c r="C31" s="2847" t="s">
        <v>2456</v>
      </c>
      <c r="D31" s="2848"/>
      <c r="E31" s="2849">
        <v>0.8</v>
      </c>
      <c r="F31" s="2846" t="s">
        <v>2457</v>
      </c>
      <c r="G31" s="2846"/>
    </row>
    <row r="32" spans="1:13" ht="19.5" customHeight="1">
      <c r="A32" s="3506"/>
      <c r="B32" s="3509"/>
      <c r="C32" s="2847" t="s">
        <v>2458</v>
      </c>
      <c r="D32" s="2848"/>
      <c r="E32" s="2849">
        <v>0.8</v>
      </c>
      <c r="F32" s="2846" t="s">
        <v>2459</v>
      </c>
      <c r="G32" s="2846"/>
    </row>
    <row r="33" spans="1:7" ht="19.5" customHeight="1">
      <c r="A33" s="3506"/>
      <c r="B33" s="3509"/>
      <c r="C33" s="2847" t="s">
        <v>2460</v>
      </c>
      <c r="D33" s="2848"/>
      <c r="E33" s="2849">
        <v>0.8</v>
      </c>
      <c r="F33" s="2846" t="s">
        <v>2461</v>
      </c>
      <c r="G33" s="2846"/>
    </row>
    <row r="34" spans="1:7" ht="19.5" customHeight="1">
      <c r="A34" s="3506"/>
      <c r="B34" s="3509"/>
      <c r="C34" s="2847" t="s">
        <v>2462</v>
      </c>
      <c r="D34" s="2848"/>
      <c r="E34" s="2849">
        <v>0.7</v>
      </c>
      <c r="F34" s="2846" t="s">
        <v>2463</v>
      </c>
      <c r="G34" s="2846"/>
    </row>
    <row r="35" spans="1:7" ht="19.5" customHeight="1">
      <c r="A35" s="3506"/>
      <c r="B35" s="3509"/>
      <c r="C35" s="2847" t="s">
        <v>2464</v>
      </c>
      <c r="D35" s="2848"/>
      <c r="E35" s="2849">
        <v>0.8</v>
      </c>
      <c r="F35" s="2846" t="s">
        <v>2465</v>
      </c>
      <c r="G35" s="2846"/>
    </row>
    <row r="36" spans="1:7" ht="19.5" customHeight="1">
      <c r="A36" s="3506"/>
      <c r="B36" s="3509"/>
      <c r="C36" s="2847" t="s">
        <v>2466</v>
      </c>
      <c r="D36" s="2848"/>
      <c r="E36" s="2849">
        <v>0.6</v>
      </c>
      <c r="F36" s="2846" t="s">
        <v>2467</v>
      </c>
      <c r="G36" s="2846"/>
    </row>
    <row r="37" spans="1:7" ht="19.5" customHeight="1">
      <c r="A37" s="3506"/>
      <c r="B37" s="3509"/>
      <c r="C37" s="2847" t="s">
        <v>2468</v>
      </c>
      <c r="D37" s="2848"/>
      <c r="E37" s="2849">
        <v>0.2</v>
      </c>
      <c r="F37" s="2846" t="s">
        <v>2469</v>
      </c>
      <c r="G37" s="2846"/>
    </row>
    <row r="38" spans="1:7" ht="19.5" customHeight="1">
      <c r="A38" s="3506"/>
      <c r="B38" s="3509"/>
      <c r="C38" s="2847" t="s">
        <v>2470</v>
      </c>
      <c r="D38" s="2848"/>
      <c r="E38" s="2849">
        <v>0.2</v>
      </c>
      <c r="F38" s="2846" t="s">
        <v>2471</v>
      </c>
      <c r="G38" s="2846"/>
    </row>
    <row r="39" spans="1:7" ht="19.5" customHeight="1">
      <c r="A39" s="3506"/>
      <c r="B39" s="3510" t="s">
        <v>2632</v>
      </c>
      <c r="C39" s="2847" t="s">
        <v>2472</v>
      </c>
      <c r="D39" s="2848"/>
      <c r="E39" s="2849">
        <v>0.6</v>
      </c>
      <c r="F39" s="2846" t="s">
        <v>2473</v>
      </c>
      <c r="G39" s="2846"/>
    </row>
    <row r="40" spans="1:7" ht="19.5" customHeight="1">
      <c r="A40" s="3506"/>
      <c r="B40" s="3509"/>
      <c r="C40" s="2847" t="s">
        <v>2474</v>
      </c>
      <c r="D40" s="2848"/>
      <c r="E40" s="2849">
        <v>0.6</v>
      </c>
      <c r="F40" s="2846" t="s">
        <v>2475</v>
      </c>
      <c r="G40" s="2846"/>
    </row>
    <row r="41" spans="1:7" ht="19.5" customHeight="1" thickBot="1">
      <c r="A41" s="3507"/>
      <c r="B41" s="3511"/>
      <c r="C41" s="2850" t="s">
        <v>2476</v>
      </c>
      <c r="D41" s="2851"/>
      <c r="E41" s="2852">
        <v>0.6</v>
      </c>
      <c r="F41" s="2846" t="s">
        <v>2477</v>
      </c>
      <c r="G41" s="2846"/>
    </row>
    <row r="42" spans="1:7" ht="19.5" customHeight="1" thickBot="1">
      <c r="A42" s="2853" t="s">
        <v>2609</v>
      </c>
      <c r="B42" s="2854" t="s">
        <v>2609</v>
      </c>
      <c r="C42" s="2855" t="s">
        <v>2633</v>
      </c>
      <c r="D42" s="2856"/>
      <c r="E42" s="2857">
        <v>1</v>
      </c>
      <c r="F42" s="2846" t="s">
        <v>2478</v>
      </c>
      <c r="G42" s="2846"/>
    </row>
    <row r="43" spans="1:7" ht="19.5" customHeight="1">
      <c r="A43" s="3512" t="s">
        <v>2610</v>
      </c>
      <c r="B43" s="3508" t="s">
        <v>2634</v>
      </c>
      <c r="C43" s="2843" t="s">
        <v>2479</v>
      </c>
      <c r="D43" s="2844"/>
      <c r="E43" s="2845">
        <v>1</v>
      </c>
      <c r="F43" s="2846" t="s">
        <v>2480</v>
      </c>
      <c r="G43" s="2846"/>
    </row>
    <row r="44" spans="1:7" ht="19.5" customHeight="1">
      <c r="A44" s="3513"/>
      <c r="B44" s="3509"/>
      <c r="C44" s="2847" t="s">
        <v>2481</v>
      </c>
      <c r="D44" s="2848"/>
      <c r="E44" s="2849">
        <v>1</v>
      </c>
      <c r="F44" s="2846" t="s">
        <v>2482</v>
      </c>
      <c r="G44" s="2846"/>
    </row>
    <row r="45" spans="1:7" ht="19.5" customHeight="1">
      <c r="A45" s="3513"/>
      <c r="B45" s="3515"/>
      <c r="C45" s="2847" t="s">
        <v>2483</v>
      </c>
      <c r="D45" s="2848"/>
      <c r="E45" s="2849">
        <v>1.5</v>
      </c>
      <c r="F45" s="2846" t="s">
        <v>2484</v>
      </c>
      <c r="G45" s="2846"/>
    </row>
    <row r="46" spans="1:7" ht="19.5" customHeight="1">
      <c r="A46" s="3513"/>
      <c r="B46" s="2858" t="s">
        <v>2635</v>
      </c>
      <c r="C46" s="2847" t="s">
        <v>2636</v>
      </c>
      <c r="D46" s="2848"/>
      <c r="E46" s="2849">
        <v>2</v>
      </c>
      <c r="F46" s="2846" t="s">
        <v>2485</v>
      </c>
      <c r="G46" s="2846"/>
    </row>
    <row r="47" spans="1:7" ht="19.5" customHeight="1">
      <c r="A47" s="3513"/>
      <c r="B47" s="3510" t="s">
        <v>2637</v>
      </c>
      <c r="C47" s="2847" t="s">
        <v>2486</v>
      </c>
      <c r="D47" s="2848"/>
      <c r="E47" s="2849">
        <v>1</v>
      </c>
      <c r="F47" s="2846" t="s">
        <v>2487</v>
      </c>
      <c r="G47" s="2846"/>
    </row>
    <row r="48" spans="1:7" ht="19.5" customHeight="1">
      <c r="A48" s="3513"/>
      <c r="B48" s="3509"/>
      <c r="C48" s="2847" t="s">
        <v>2488</v>
      </c>
      <c r="D48" s="2848"/>
      <c r="E48" s="2849">
        <v>1</v>
      </c>
      <c r="F48" s="2846" t="s">
        <v>2489</v>
      </c>
      <c r="G48" s="2846"/>
    </row>
    <row r="49" spans="1:7" ht="19.5" customHeight="1">
      <c r="A49" s="3513"/>
      <c r="B49" s="3509"/>
      <c r="C49" s="2847" t="s">
        <v>2490</v>
      </c>
      <c r="D49" s="2848"/>
      <c r="E49" s="2849">
        <v>1</v>
      </c>
      <c r="F49" s="2846" t="s">
        <v>2491</v>
      </c>
      <c r="G49" s="2846"/>
    </row>
    <row r="50" spans="1:7" ht="19.5" customHeight="1">
      <c r="A50" s="3513"/>
      <c r="B50" s="3509"/>
      <c r="C50" s="2847" t="s">
        <v>2492</v>
      </c>
      <c r="D50" s="2848"/>
      <c r="E50" s="2849">
        <v>1</v>
      </c>
      <c r="F50" s="2846" t="s">
        <v>2493</v>
      </c>
      <c r="G50" s="2846"/>
    </row>
    <row r="51" spans="1:7" ht="19.5" customHeight="1">
      <c r="A51" s="3513"/>
      <c r="B51" s="3509"/>
      <c r="C51" s="2847" t="s">
        <v>2494</v>
      </c>
      <c r="D51" s="2848"/>
      <c r="E51" s="2849">
        <v>1</v>
      </c>
      <c r="F51" s="2846" t="s">
        <v>2495</v>
      </c>
      <c r="G51" s="2846"/>
    </row>
    <row r="52" spans="1:7" ht="19.5" customHeight="1">
      <c r="A52" s="3513"/>
      <c r="B52" s="3509"/>
      <c r="C52" s="2847" t="s">
        <v>2496</v>
      </c>
      <c r="D52" s="2848"/>
      <c r="E52" s="2849">
        <v>1</v>
      </c>
      <c r="F52" s="2846" t="s">
        <v>2497</v>
      </c>
      <c r="G52" s="2846"/>
    </row>
    <row r="53" spans="1:7" ht="19.5" customHeight="1" thickBot="1">
      <c r="A53" s="3514"/>
      <c r="B53" s="3511"/>
      <c r="C53" s="2850" t="s">
        <v>2498</v>
      </c>
      <c r="D53" s="2851"/>
      <c r="E53" s="2852">
        <v>1</v>
      </c>
      <c r="F53" s="2846" t="s">
        <v>2499</v>
      </c>
      <c r="G53" s="2846"/>
    </row>
    <row r="54" spans="1:7" ht="19.5" customHeight="1">
      <c r="A54" s="2859"/>
      <c r="B54" s="2859"/>
      <c r="C54" s="2859"/>
      <c r="D54" s="2859"/>
      <c r="E54" s="2859"/>
      <c r="F54" s="2859"/>
      <c r="G54" s="2859"/>
    </row>
    <row r="56" spans="1:7" ht="19.5" customHeight="1">
      <c r="A56" s="2860"/>
      <c r="B56" s="2832" t="s">
        <v>2638</v>
      </c>
      <c r="C56" s="2832" t="s">
        <v>2638</v>
      </c>
      <c r="D56" s="2832" t="s">
        <v>2638</v>
      </c>
      <c r="E56" s="2835" t="s">
        <v>2638</v>
      </c>
      <c r="F56" s="2835" t="s">
        <v>2639</v>
      </c>
      <c r="G56" s="2835" t="s">
        <v>2640</v>
      </c>
    </row>
    <row r="57" spans="1:7" ht="19.5" customHeight="1">
      <c r="A57" s="2861"/>
      <c r="B57" s="2835" t="s">
        <v>2607</v>
      </c>
      <c r="C57" s="2835" t="s">
        <v>2607</v>
      </c>
      <c r="D57" s="2835" t="s">
        <v>2607</v>
      </c>
      <c r="E57" s="2832" t="s">
        <v>2608</v>
      </c>
      <c r="F57" s="2832" t="s">
        <v>2610</v>
      </c>
      <c r="G57" s="2832" t="s">
        <v>2641</v>
      </c>
    </row>
    <row r="58" spans="1:7" ht="19.5" customHeight="1">
      <c r="A58" s="2862"/>
      <c r="B58" s="2832">
        <v>1</v>
      </c>
      <c r="C58" s="2832">
        <v>2</v>
      </c>
      <c r="D58" s="2832">
        <v>3</v>
      </c>
      <c r="E58" s="2863" t="s">
        <v>2642</v>
      </c>
      <c r="F58" s="2863" t="s">
        <v>2642</v>
      </c>
      <c r="G58" s="2863" t="s">
        <v>2642</v>
      </c>
    </row>
    <row r="59" spans="1:7" ht="19.5" customHeight="1">
      <c r="A59" s="2864" t="s">
        <v>2595</v>
      </c>
      <c r="B59" s="2832">
        <v>0.7</v>
      </c>
      <c r="C59" s="2832">
        <v>0.4</v>
      </c>
      <c r="D59" s="2832">
        <v>0.3</v>
      </c>
      <c r="E59" s="2863">
        <v>0.3</v>
      </c>
      <c r="F59" s="2832">
        <v>0.3</v>
      </c>
      <c r="G59" s="2832">
        <v>0.2</v>
      </c>
    </row>
    <row r="60" spans="1:7" ht="19.5" customHeight="1">
      <c r="A60" s="2864" t="s">
        <v>2596</v>
      </c>
      <c r="B60" s="2832">
        <v>0.7</v>
      </c>
      <c r="C60" s="2832">
        <v>0.4</v>
      </c>
      <c r="D60" s="2832">
        <v>0.3</v>
      </c>
      <c r="E60" s="2832">
        <v>0.3</v>
      </c>
      <c r="F60" s="2832">
        <v>0.3</v>
      </c>
      <c r="G60" s="2832">
        <v>0.2</v>
      </c>
    </row>
    <row r="61" spans="1:7" ht="19.5" customHeight="1">
      <c r="A61" s="2864" t="s">
        <v>2597</v>
      </c>
      <c r="B61" s="2832">
        <v>0.6</v>
      </c>
      <c r="C61" s="2832">
        <v>0.3</v>
      </c>
      <c r="D61" s="2832">
        <v>0.25</v>
      </c>
      <c r="E61" s="2832">
        <v>0.25</v>
      </c>
      <c r="F61" s="2832">
        <v>0.25</v>
      </c>
      <c r="G61" s="2832">
        <v>0.15</v>
      </c>
    </row>
    <row r="62" spans="1:7" ht="19.5" customHeight="1">
      <c r="A62" s="2864" t="s">
        <v>2598</v>
      </c>
      <c r="B62" s="2832">
        <v>0.6</v>
      </c>
      <c r="C62" s="2832">
        <v>0.3</v>
      </c>
      <c r="D62" s="2832">
        <v>0.25</v>
      </c>
      <c r="E62" s="2832">
        <v>0.25</v>
      </c>
      <c r="F62" s="2832">
        <v>0.25</v>
      </c>
      <c r="G62" s="2832">
        <v>0.15</v>
      </c>
    </row>
    <row r="63" spans="1:7" ht="19.5" customHeight="1">
      <c r="A63" s="2864" t="s">
        <v>2599</v>
      </c>
      <c r="B63" s="2832">
        <v>0.6</v>
      </c>
      <c r="C63" s="2832">
        <v>0.3</v>
      </c>
      <c r="D63" s="2832">
        <v>0.25</v>
      </c>
      <c r="E63" s="2832">
        <v>0.25</v>
      </c>
      <c r="F63" s="2832">
        <v>0.25</v>
      </c>
      <c r="G63" s="2832">
        <v>0.15</v>
      </c>
    </row>
    <row r="64" spans="1:7" ht="19.5" customHeight="1">
      <c r="A64" s="2864" t="s">
        <v>2600</v>
      </c>
      <c r="B64" s="2832">
        <v>0.6</v>
      </c>
      <c r="C64" s="2832">
        <v>0.3</v>
      </c>
      <c r="D64" s="2832">
        <v>0.25</v>
      </c>
      <c r="E64" s="2832">
        <v>0.25</v>
      </c>
      <c r="F64" s="2832">
        <v>0.25</v>
      </c>
      <c r="G64" s="2832">
        <v>0.15</v>
      </c>
    </row>
    <row r="65" spans="1:7" ht="19.5" customHeight="1">
      <c r="A65" s="2864" t="s">
        <v>2601</v>
      </c>
      <c r="B65" s="2832">
        <v>0.6</v>
      </c>
      <c r="C65" s="2832">
        <v>0.3</v>
      </c>
      <c r="D65" s="2832">
        <v>0.25</v>
      </c>
      <c r="E65" s="2832">
        <v>0.25</v>
      </c>
      <c r="F65" s="2832">
        <v>0.25</v>
      </c>
      <c r="G65" s="2832">
        <v>0.15</v>
      </c>
    </row>
    <row r="66" spans="1:7" ht="19.5" customHeight="1">
      <c r="A66" s="2864" t="s">
        <v>2602</v>
      </c>
      <c r="B66" s="2832">
        <v>0.5</v>
      </c>
      <c r="C66" s="2832">
        <v>0.2</v>
      </c>
      <c r="D66" s="2832">
        <v>0.2</v>
      </c>
      <c r="E66" s="2832">
        <v>0.2</v>
      </c>
      <c r="F66" s="2832">
        <v>0.2</v>
      </c>
      <c r="G66" s="2832">
        <v>0.1</v>
      </c>
    </row>
    <row r="67" spans="1:7" ht="19.5" customHeight="1">
      <c r="A67" s="2864" t="s">
        <v>2603</v>
      </c>
      <c r="B67" s="2832">
        <v>0.5</v>
      </c>
      <c r="C67" s="2832">
        <v>0.2</v>
      </c>
      <c r="D67" s="2832">
        <v>0.2</v>
      </c>
      <c r="E67" s="2832">
        <v>0.2</v>
      </c>
      <c r="F67" s="2832">
        <v>0.2</v>
      </c>
      <c r="G67" s="2832">
        <v>0.1</v>
      </c>
    </row>
    <row r="68" spans="1:7" ht="19.5" customHeight="1">
      <c r="A68" s="2864" t="s">
        <v>2604</v>
      </c>
      <c r="B68" s="2832">
        <v>0.5</v>
      </c>
      <c r="C68" s="2832">
        <v>0.2</v>
      </c>
      <c r="D68" s="2832">
        <v>0.2</v>
      </c>
      <c r="E68" s="2832">
        <v>0.2</v>
      </c>
      <c r="F68" s="2832">
        <v>0.2</v>
      </c>
      <c r="G68" s="2832">
        <v>0.1</v>
      </c>
    </row>
    <row r="69" spans="1:7" ht="19.5" customHeight="1">
      <c r="A69" s="2864" t="s">
        <v>2605</v>
      </c>
      <c r="B69" s="2832">
        <v>0.5</v>
      </c>
      <c r="C69" s="2832">
        <v>0.2</v>
      </c>
      <c r="D69" s="2832">
        <v>0.2</v>
      </c>
      <c r="E69" s="2832">
        <v>0.2</v>
      </c>
      <c r="F69" s="2832">
        <v>0.2</v>
      </c>
      <c r="G69" s="2832">
        <v>0.1</v>
      </c>
    </row>
    <row r="70" spans="1:7" ht="19.5" customHeight="1">
      <c r="A70" s="2864" t="s">
        <v>2606</v>
      </c>
      <c r="B70" s="2832">
        <v>0.5</v>
      </c>
      <c r="C70" s="2832">
        <v>0.2</v>
      </c>
      <c r="D70" s="2832">
        <v>0.2</v>
      </c>
      <c r="E70" s="2832">
        <v>0.2</v>
      </c>
      <c r="F70" s="2832">
        <v>0.2</v>
      </c>
      <c r="G70" s="2832">
        <v>0.1</v>
      </c>
    </row>
    <row r="72" spans="1:7" ht="19.5" customHeight="1">
      <c r="A72" s="2846"/>
      <c r="B72" s="2865"/>
      <c r="C72" s="2865"/>
      <c r="D72" s="2865" t="s">
        <v>2643</v>
      </c>
      <c r="E72" s="2865"/>
      <c r="F72" s="2865"/>
    </row>
    <row r="73" spans="1:7" ht="19.5" customHeight="1">
      <c r="A73" s="2858" t="s">
        <v>2644</v>
      </c>
      <c r="B73" s="2858" t="s">
        <v>2645</v>
      </c>
      <c r="C73" s="2858" t="s">
        <v>2646</v>
      </c>
      <c r="D73" s="2858" t="s">
        <v>2647</v>
      </c>
      <c r="E73" s="2858" t="s">
        <v>2648</v>
      </c>
      <c r="F73" s="2858" t="s">
        <v>2649</v>
      </c>
    </row>
    <row r="74" spans="1:7" ht="13.5">
      <c r="A74" s="2858"/>
      <c r="B74" s="2858"/>
      <c r="C74" s="2858" t="s">
        <v>2650</v>
      </c>
      <c r="D74" s="2858"/>
      <c r="E74" s="2858" t="s">
        <v>2621</v>
      </c>
      <c r="F74" s="2858" t="s">
        <v>2621</v>
      </c>
    </row>
    <row r="75" spans="1:7" ht="13.5">
      <c r="A75" s="2858">
        <v>1</v>
      </c>
      <c r="B75" s="3510" t="s">
        <v>2651</v>
      </c>
      <c r="C75" s="2832" t="s">
        <v>2652</v>
      </c>
      <c r="D75" s="2832" t="s">
        <v>2653</v>
      </c>
      <c r="E75" s="2858">
        <v>0.2</v>
      </c>
      <c r="F75" s="2858">
        <v>25</v>
      </c>
    </row>
    <row r="76" spans="1:7" ht="24">
      <c r="A76" s="2858">
        <v>2</v>
      </c>
      <c r="B76" s="3509"/>
      <c r="C76" s="2832" t="s">
        <v>2654</v>
      </c>
      <c r="D76" s="2832" t="s">
        <v>2655</v>
      </c>
      <c r="E76" s="2858">
        <v>0.2</v>
      </c>
      <c r="F76" s="2858">
        <v>25</v>
      </c>
    </row>
    <row r="77" spans="1:7" ht="24">
      <c r="A77" s="2858">
        <v>3</v>
      </c>
      <c r="B77" s="3509"/>
      <c r="C77" s="2832" t="s">
        <v>2656</v>
      </c>
      <c r="D77" s="2832" t="s">
        <v>2657</v>
      </c>
      <c r="E77" s="2858">
        <v>0.2</v>
      </c>
      <c r="F77" s="2858">
        <v>25</v>
      </c>
    </row>
    <row r="78" spans="1:7" ht="13.5">
      <c r="A78" s="2858">
        <v>4</v>
      </c>
      <c r="B78" s="3509"/>
      <c r="C78" s="2832" t="s">
        <v>2658</v>
      </c>
      <c r="D78" s="2832" t="s">
        <v>2659</v>
      </c>
      <c r="E78" s="2858">
        <v>0.15</v>
      </c>
      <c r="F78" s="2858">
        <v>20</v>
      </c>
    </row>
    <row r="79" spans="1:7" ht="24">
      <c r="A79" s="2858">
        <v>5</v>
      </c>
      <c r="B79" s="3509"/>
      <c r="C79" s="2832" t="s">
        <v>2660</v>
      </c>
      <c r="D79" s="2832" t="s">
        <v>2661</v>
      </c>
      <c r="E79" s="2858">
        <v>0.15</v>
      </c>
      <c r="F79" s="2858">
        <v>20</v>
      </c>
    </row>
    <row r="80" spans="1:7" ht="24">
      <c r="A80" s="2858">
        <v>6</v>
      </c>
      <c r="B80" s="3509"/>
      <c r="C80" s="2832" t="s">
        <v>2662</v>
      </c>
      <c r="D80" s="2832" t="s">
        <v>2663</v>
      </c>
      <c r="E80" s="2858">
        <v>0.15</v>
      </c>
      <c r="F80" s="2858">
        <v>20</v>
      </c>
    </row>
    <row r="81" spans="1:6" ht="24">
      <c r="A81" s="2858">
        <v>7</v>
      </c>
      <c r="B81" s="3509"/>
      <c r="C81" s="2832" t="s">
        <v>2664</v>
      </c>
      <c r="D81" s="2832" t="s">
        <v>2665</v>
      </c>
      <c r="E81" s="2858">
        <v>0.15</v>
      </c>
      <c r="F81" s="2858">
        <v>20</v>
      </c>
    </row>
    <row r="82" spans="1:6" ht="24">
      <c r="A82" s="2858">
        <v>8</v>
      </c>
      <c r="B82" s="3509"/>
      <c r="C82" s="2832" t="s">
        <v>2666</v>
      </c>
      <c r="D82" s="2832" t="s">
        <v>2667</v>
      </c>
      <c r="E82" s="2858">
        <v>0.1</v>
      </c>
      <c r="F82" s="2858">
        <v>15</v>
      </c>
    </row>
    <row r="83" spans="1:6" ht="24">
      <c r="A83" s="2858">
        <v>9</v>
      </c>
      <c r="B83" s="3509"/>
      <c r="C83" s="2832" t="s">
        <v>2668</v>
      </c>
      <c r="D83" s="2832" t="s">
        <v>2669</v>
      </c>
      <c r="E83" s="2858">
        <v>0.1</v>
      </c>
      <c r="F83" s="2858">
        <v>15</v>
      </c>
    </row>
    <row r="84" spans="1:6" ht="24">
      <c r="A84" s="2858">
        <v>10</v>
      </c>
      <c r="B84" s="3509"/>
      <c r="C84" s="2832" t="s">
        <v>2670</v>
      </c>
      <c r="D84" s="2832" t="s">
        <v>2671</v>
      </c>
      <c r="E84" s="2858">
        <v>0.1</v>
      </c>
      <c r="F84" s="2858">
        <v>15</v>
      </c>
    </row>
    <row r="85" spans="1:6" ht="24">
      <c r="A85" s="2858">
        <v>11</v>
      </c>
      <c r="B85" s="3509"/>
      <c r="C85" s="2832" t="s">
        <v>2672</v>
      </c>
      <c r="D85" s="2832" t="s">
        <v>2673</v>
      </c>
      <c r="E85" s="2858">
        <v>0.1</v>
      </c>
      <c r="F85" s="2858">
        <v>15</v>
      </c>
    </row>
    <row r="86" spans="1:6" ht="24">
      <c r="A86" s="2858">
        <v>12</v>
      </c>
      <c r="B86" s="3509"/>
      <c r="C86" s="2832" t="s">
        <v>2674</v>
      </c>
      <c r="D86" s="2832" t="s">
        <v>2675</v>
      </c>
      <c r="E86" s="2858">
        <v>0.1</v>
      </c>
      <c r="F86" s="2858">
        <v>15</v>
      </c>
    </row>
    <row r="87" spans="1:6" ht="13.5">
      <c r="A87" s="2858">
        <v>13</v>
      </c>
      <c r="B87" s="3509"/>
      <c r="C87" s="2832" t="s">
        <v>2676</v>
      </c>
      <c r="D87" s="2832" t="s">
        <v>2677</v>
      </c>
      <c r="E87" s="2858">
        <v>0.1</v>
      </c>
      <c r="F87" s="2858">
        <v>15</v>
      </c>
    </row>
    <row r="88" spans="1:6" ht="13.5">
      <c r="A88" s="2858">
        <v>14</v>
      </c>
      <c r="B88" s="3509"/>
      <c r="C88" s="2832" t="s">
        <v>2678</v>
      </c>
      <c r="D88" s="2832" t="s">
        <v>2679</v>
      </c>
      <c r="E88" s="2858">
        <v>0.1</v>
      </c>
      <c r="F88" s="2858">
        <v>15</v>
      </c>
    </row>
    <row r="89" spans="1:6" ht="13.5">
      <c r="A89" s="2858">
        <v>15</v>
      </c>
      <c r="B89" s="3509"/>
      <c r="C89" s="2832" t="s">
        <v>2680</v>
      </c>
      <c r="D89" s="2832" t="s">
        <v>2681</v>
      </c>
      <c r="E89" s="2858">
        <v>0.1</v>
      </c>
      <c r="F89" s="2858">
        <v>15</v>
      </c>
    </row>
    <row r="90" spans="1:6" ht="24">
      <c r="A90" s="2858">
        <v>16</v>
      </c>
      <c r="B90" s="3509"/>
      <c r="C90" s="2832" t="s">
        <v>2682</v>
      </c>
      <c r="D90" s="2832" t="s">
        <v>2683</v>
      </c>
      <c r="E90" s="2858">
        <v>0.1</v>
      </c>
      <c r="F90" s="2858">
        <v>15</v>
      </c>
    </row>
    <row r="91" spans="1:6" ht="24">
      <c r="A91" s="2858">
        <v>17</v>
      </c>
      <c r="B91" s="3515"/>
      <c r="C91" s="2832" t="s">
        <v>2684</v>
      </c>
      <c r="D91" s="2832" t="s">
        <v>2685</v>
      </c>
      <c r="E91" s="2858">
        <v>0.1</v>
      </c>
      <c r="F91" s="2858">
        <v>15</v>
      </c>
    </row>
    <row r="92" spans="1:6" ht="13.5">
      <c r="A92" s="2858">
        <v>18</v>
      </c>
      <c r="B92" s="3510" t="s">
        <v>2686</v>
      </c>
      <c r="C92" s="2832" t="s">
        <v>2687</v>
      </c>
      <c r="D92" s="2832" t="s">
        <v>2688</v>
      </c>
      <c r="E92" s="2858">
        <v>0.2</v>
      </c>
      <c r="F92" s="2858">
        <v>25</v>
      </c>
    </row>
    <row r="93" spans="1:6" ht="24">
      <c r="A93" s="2858">
        <v>19</v>
      </c>
      <c r="B93" s="3509"/>
      <c r="C93" s="2832" t="s">
        <v>2689</v>
      </c>
      <c r="D93" s="2832" t="s">
        <v>2690</v>
      </c>
      <c r="E93" s="2858">
        <v>0.2</v>
      </c>
      <c r="F93" s="2858">
        <v>25</v>
      </c>
    </row>
    <row r="94" spans="1:6" ht="13.5">
      <c r="A94" s="2858">
        <v>20</v>
      </c>
      <c r="B94" s="3509"/>
      <c r="C94" s="2832" t="s">
        <v>2691</v>
      </c>
      <c r="D94" s="2832" t="s">
        <v>2692</v>
      </c>
      <c r="E94" s="2858">
        <v>0.15</v>
      </c>
      <c r="F94" s="2858">
        <v>20</v>
      </c>
    </row>
    <row r="95" spans="1:6" ht="13.5">
      <c r="A95" s="2858">
        <v>21</v>
      </c>
      <c r="B95" s="3509"/>
      <c r="C95" s="2832" t="s">
        <v>2693</v>
      </c>
      <c r="D95" s="2832" t="s">
        <v>2694</v>
      </c>
      <c r="E95" s="2858">
        <v>0.15</v>
      </c>
      <c r="F95" s="2858">
        <v>20</v>
      </c>
    </row>
    <row r="96" spans="1:6" ht="13.5">
      <c r="A96" s="2858">
        <v>22</v>
      </c>
      <c r="B96" s="3509"/>
      <c r="C96" s="2832" t="s">
        <v>2695</v>
      </c>
      <c r="D96" s="2832" t="s">
        <v>2696</v>
      </c>
      <c r="E96" s="2858">
        <v>0.15</v>
      </c>
      <c r="F96" s="2858">
        <v>20</v>
      </c>
    </row>
    <row r="97" spans="1:6" ht="36">
      <c r="A97" s="2858">
        <v>23</v>
      </c>
      <c r="B97" s="3509"/>
      <c r="C97" s="2832" t="s">
        <v>2697</v>
      </c>
      <c r="D97" s="2832" t="s">
        <v>2698</v>
      </c>
      <c r="E97" s="2858">
        <v>0.15</v>
      </c>
      <c r="F97" s="2858">
        <v>20</v>
      </c>
    </row>
    <row r="98" spans="1:6" ht="13.5">
      <c r="A98" s="2858">
        <v>24</v>
      </c>
      <c r="B98" s="3509"/>
      <c r="C98" s="2832" t="s">
        <v>2699</v>
      </c>
      <c r="D98" s="2832" t="s">
        <v>2700</v>
      </c>
      <c r="E98" s="2858">
        <v>0.1</v>
      </c>
      <c r="F98" s="2858">
        <v>15</v>
      </c>
    </row>
    <row r="99" spans="1:6" ht="13.5">
      <c r="A99" s="2858">
        <v>25</v>
      </c>
      <c r="B99" s="3509"/>
      <c r="C99" s="2832" t="s">
        <v>2701</v>
      </c>
      <c r="D99" s="2832" t="s">
        <v>2702</v>
      </c>
      <c r="E99" s="2858">
        <v>0.1</v>
      </c>
      <c r="F99" s="2858">
        <v>15</v>
      </c>
    </row>
    <row r="100" spans="1:6" ht="24">
      <c r="A100" s="2858">
        <v>26</v>
      </c>
      <c r="B100" s="3509"/>
      <c r="C100" s="2832" t="s">
        <v>2703</v>
      </c>
      <c r="D100" s="2832" t="s">
        <v>2704</v>
      </c>
      <c r="E100" s="2858">
        <v>0.1</v>
      </c>
      <c r="F100" s="2858">
        <v>15</v>
      </c>
    </row>
    <row r="101" spans="1:6" ht="24">
      <c r="A101" s="2858">
        <v>27</v>
      </c>
      <c r="B101" s="3509"/>
      <c r="C101" s="2832" t="s">
        <v>2705</v>
      </c>
      <c r="D101" s="2832" t="s">
        <v>2706</v>
      </c>
      <c r="E101" s="2858">
        <v>0.1</v>
      </c>
      <c r="F101" s="2858">
        <v>15</v>
      </c>
    </row>
    <row r="102" spans="1:6" ht="13.5">
      <c r="A102" s="2858">
        <v>28</v>
      </c>
      <c r="B102" s="3509"/>
      <c r="C102" s="2832" t="s">
        <v>2707</v>
      </c>
      <c r="D102" s="2832" t="s">
        <v>2708</v>
      </c>
      <c r="E102" s="2858">
        <v>0.1</v>
      </c>
      <c r="F102" s="2858">
        <v>15</v>
      </c>
    </row>
    <row r="103" spans="1:6" ht="13.5">
      <c r="A103" s="2858">
        <v>29</v>
      </c>
      <c r="B103" s="3509"/>
      <c r="C103" s="2832" t="s">
        <v>2709</v>
      </c>
      <c r="D103" s="2832" t="s">
        <v>2710</v>
      </c>
      <c r="E103" s="2858">
        <v>0.1</v>
      </c>
      <c r="F103" s="2858">
        <v>15</v>
      </c>
    </row>
    <row r="104" spans="1:6" ht="13.5">
      <c r="A104" s="2858">
        <v>30</v>
      </c>
      <c r="B104" s="3509"/>
      <c r="C104" s="2832" t="s">
        <v>2711</v>
      </c>
      <c r="D104" s="2832" t="s">
        <v>2712</v>
      </c>
      <c r="E104" s="2858">
        <v>0.1</v>
      </c>
      <c r="F104" s="2858">
        <v>15</v>
      </c>
    </row>
    <row r="105" spans="1:6" ht="24">
      <c r="A105" s="2858">
        <v>31</v>
      </c>
      <c r="B105" s="3509"/>
      <c r="C105" s="2832" t="s">
        <v>2713</v>
      </c>
      <c r="D105" s="2832" t="s">
        <v>2714</v>
      </c>
      <c r="E105" s="2858">
        <v>0.1</v>
      </c>
      <c r="F105" s="2858">
        <v>15</v>
      </c>
    </row>
    <row r="106" spans="1:6" ht="24">
      <c r="A106" s="2858">
        <v>32</v>
      </c>
      <c r="B106" s="3509"/>
      <c r="C106" s="2832" t="s">
        <v>2715</v>
      </c>
      <c r="D106" s="2832" t="s">
        <v>2716</v>
      </c>
      <c r="E106" s="2858">
        <v>0.1</v>
      </c>
      <c r="F106" s="2858">
        <v>15</v>
      </c>
    </row>
    <row r="107" spans="1:6" ht="24">
      <c r="A107" s="2858">
        <v>33</v>
      </c>
      <c r="B107" s="3509"/>
      <c r="C107" s="2832" t="s">
        <v>2717</v>
      </c>
      <c r="D107" s="2832" t="s">
        <v>2718</v>
      </c>
      <c r="E107" s="2858">
        <v>0.1</v>
      </c>
      <c r="F107" s="2858">
        <v>15</v>
      </c>
    </row>
    <row r="108" spans="1:6" ht="24">
      <c r="A108" s="2858">
        <v>34</v>
      </c>
      <c r="B108" s="3515"/>
      <c r="C108" s="2832" t="s">
        <v>2719</v>
      </c>
      <c r="D108" s="2832" t="s">
        <v>2720</v>
      </c>
      <c r="E108" s="2858">
        <v>0.1</v>
      </c>
      <c r="F108" s="2858">
        <v>15</v>
      </c>
    </row>
    <row r="109" spans="1:6" ht="24">
      <c r="A109" s="2858">
        <v>35</v>
      </c>
      <c r="B109" s="3510" t="s">
        <v>2721</v>
      </c>
      <c r="C109" s="2858" t="s">
        <v>2722</v>
      </c>
      <c r="D109" s="2832" t="s">
        <v>2723</v>
      </c>
      <c r="E109" s="2858">
        <v>0.15</v>
      </c>
      <c r="F109" s="2858">
        <v>20</v>
      </c>
    </row>
    <row r="110" spans="1:6" ht="13.5">
      <c r="A110" s="2858">
        <v>36</v>
      </c>
      <c r="B110" s="3509"/>
      <c r="C110" s="2858" t="s">
        <v>2724</v>
      </c>
      <c r="D110" s="2832" t="s">
        <v>2725</v>
      </c>
      <c r="E110" s="2858">
        <v>0.15</v>
      </c>
      <c r="F110" s="2858">
        <v>20</v>
      </c>
    </row>
    <row r="111" spans="1:6" ht="13.5">
      <c r="A111" s="2858">
        <v>37</v>
      </c>
      <c r="B111" s="3509"/>
      <c r="C111" s="2858" t="s">
        <v>2726</v>
      </c>
      <c r="D111" s="2832" t="s">
        <v>2727</v>
      </c>
      <c r="E111" s="2858">
        <v>0.15</v>
      </c>
      <c r="F111" s="2858">
        <v>20</v>
      </c>
    </row>
    <row r="112" spans="1:6" ht="13.5">
      <c r="A112" s="2858">
        <v>38</v>
      </c>
      <c r="B112" s="3509"/>
      <c r="C112" s="2858" t="s">
        <v>2728</v>
      </c>
      <c r="D112" s="2832" t="s">
        <v>2729</v>
      </c>
      <c r="E112" s="2858">
        <v>0.1</v>
      </c>
      <c r="F112" s="2858">
        <v>15</v>
      </c>
    </row>
    <row r="113" spans="1:6" ht="24">
      <c r="A113" s="2858">
        <v>39</v>
      </c>
      <c r="B113" s="3509"/>
      <c r="C113" s="2858" t="s">
        <v>2730</v>
      </c>
      <c r="D113" s="2832" t="s">
        <v>2731</v>
      </c>
      <c r="E113" s="2858">
        <v>0.1</v>
      </c>
      <c r="F113" s="2858">
        <v>15</v>
      </c>
    </row>
    <row r="114" spans="1:6" ht="24">
      <c r="A114" s="2858">
        <v>40</v>
      </c>
      <c r="B114" s="3515"/>
      <c r="C114" s="2858" t="s">
        <v>2732</v>
      </c>
      <c r="D114" s="2832" t="s">
        <v>2733</v>
      </c>
      <c r="E114" s="2858">
        <v>0.1</v>
      </c>
      <c r="F114" s="2858">
        <v>15</v>
      </c>
    </row>
    <row r="115" spans="1:6" ht="13.5">
      <c r="A115" s="2858">
        <v>41</v>
      </c>
      <c r="B115" s="3503" t="s">
        <v>2734</v>
      </c>
      <c r="C115" s="2858" t="s">
        <v>2735</v>
      </c>
      <c r="D115" s="2832" t="s">
        <v>2736</v>
      </c>
      <c r="E115" s="2858">
        <v>0.1</v>
      </c>
      <c r="F115" s="2858">
        <v>15</v>
      </c>
    </row>
    <row r="116" spans="1:6" ht="13.5">
      <c r="A116" s="2858">
        <v>42</v>
      </c>
      <c r="B116" s="3503"/>
      <c r="C116" s="2858" t="s">
        <v>2737</v>
      </c>
      <c r="D116" s="2832" t="s">
        <v>2738</v>
      </c>
      <c r="E116" s="2858">
        <v>0.1</v>
      </c>
      <c r="F116" s="2858">
        <v>15</v>
      </c>
    </row>
    <row r="117" spans="1:6" ht="24">
      <c r="A117" s="2858">
        <v>43</v>
      </c>
      <c r="B117" s="3503"/>
      <c r="C117" s="2858" t="s">
        <v>2739</v>
      </c>
      <c r="D117" s="2832" t="s">
        <v>2740</v>
      </c>
      <c r="E117" s="2858">
        <v>0.1</v>
      </c>
      <c r="F117" s="2858">
        <v>15</v>
      </c>
    </row>
    <row r="118" spans="1:6" ht="13.5">
      <c r="A118" s="2858">
        <v>44</v>
      </c>
      <c r="B118" s="3510" t="s">
        <v>2741</v>
      </c>
      <c r="C118" s="2858" t="s">
        <v>2742</v>
      </c>
      <c r="D118" s="2832" t="s">
        <v>2743</v>
      </c>
      <c r="E118" s="2858">
        <v>0.1</v>
      </c>
      <c r="F118" s="2858">
        <v>15</v>
      </c>
    </row>
    <row r="119" spans="1:6" ht="24">
      <c r="A119" s="2858">
        <v>45</v>
      </c>
      <c r="B119" s="3515"/>
      <c r="C119" s="2832" t="s">
        <v>2744</v>
      </c>
      <c r="D119" s="2832" t="s">
        <v>2745</v>
      </c>
      <c r="E119" s="2858">
        <v>0.1</v>
      </c>
      <c r="F119" s="2858">
        <v>15</v>
      </c>
    </row>
    <row r="120" spans="1:6" ht="24">
      <c r="A120" s="2858">
        <v>46</v>
      </c>
      <c r="B120" s="3510" t="s">
        <v>2746</v>
      </c>
      <c r="C120" s="2858" t="s">
        <v>2747</v>
      </c>
      <c r="D120" s="2832" t="s">
        <v>2748</v>
      </c>
      <c r="E120" s="2858">
        <v>0.1</v>
      </c>
      <c r="F120" s="2858">
        <v>15</v>
      </c>
    </row>
    <row r="121" spans="1:6" ht="24">
      <c r="A121" s="2858">
        <v>47</v>
      </c>
      <c r="B121" s="3515"/>
      <c r="C121" s="2858" t="s">
        <v>2749</v>
      </c>
      <c r="D121" s="2832" t="s">
        <v>2750</v>
      </c>
      <c r="E121" s="2858">
        <v>0.1</v>
      </c>
      <c r="F121" s="2858">
        <v>15</v>
      </c>
    </row>
    <row r="122" spans="1:6" ht="13.5">
      <c r="A122" s="2858">
        <v>48</v>
      </c>
      <c r="B122" s="3510" t="s">
        <v>2751</v>
      </c>
      <c r="C122" s="2858" t="s">
        <v>2752</v>
      </c>
      <c r="D122" s="2832" t="s">
        <v>2753</v>
      </c>
      <c r="E122" s="2858">
        <v>0.1</v>
      </c>
      <c r="F122" s="2858">
        <v>15</v>
      </c>
    </row>
    <row r="123" spans="1:6" ht="13.5">
      <c r="A123" s="2858">
        <v>49</v>
      </c>
      <c r="B123" s="3515"/>
      <c r="C123" s="2858" t="s">
        <v>2754</v>
      </c>
      <c r="D123" s="2832" t="s">
        <v>2755</v>
      </c>
      <c r="E123" s="2858">
        <v>0.1</v>
      </c>
      <c r="F123" s="2858">
        <v>15</v>
      </c>
    </row>
    <row r="124" spans="1:6" ht="24">
      <c r="A124" s="2858">
        <v>50</v>
      </c>
      <c r="B124" s="3503" t="s">
        <v>2756</v>
      </c>
      <c r="C124" s="2858" t="s">
        <v>2757</v>
      </c>
      <c r="D124" s="2832" t="s">
        <v>2758</v>
      </c>
      <c r="E124" s="2858">
        <v>0.1</v>
      </c>
      <c r="F124" s="2858">
        <v>15</v>
      </c>
    </row>
    <row r="125" spans="1:6" ht="24">
      <c r="A125" s="2858">
        <v>51</v>
      </c>
      <c r="B125" s="3503"/>
      <c r="C125" s="2858" t="s">
        <v>2759</v>
      </c>
      <c r="D125" s="2832" t="s">
        <v>2760</v>
      </c>
      <c r="E125" s="2858">
        <v>0.1</v>
      </c>
      <c r="F125" s="2858">
        <v>15</v>
      </c>
    </row>
    <row r="126" spans="1:6" ht="24">
      <c r="A126" s="2858">
        <v>52</v>
      </c>
      <c r="B126" s="3503" t="s">
        <v>2761</v>
      </c>
      <c r="C126" s="2858" t="s">
        <v>2762</v>
      </c>
      <c r="D126" s="2832" t="s">
        <v>2763</v>
      </c>
      <c r="E126" s="2858">
        <v>0.1</v>
      </c>
      <c r="F126" s="2858">
        <v>15</v>
      </c>
    </row>
    <row r="127" spans="1:6" ht="24">
      <c r="A127" s="2858">
        <v>53</v>
      </c>
      <c r="B127" s="3503"/>
      <c r="C127" s="2858" t="s">
        <v>2764</v>
      </c>
      <c r="D127" s="2832" t="s">
        <v>2765</v>
      </c>
      <c r="E127" s="2858">
        <v>0.1</v>
      </c>
      <c r="F127" s="2858">
        <v>15</v>
      </c>
    </row>
    <row r="128" spans="1:6" ht="13.5">
      <c r="A128" s="2858">
        <v>54</v>
      </c>
      <c r="B128" s="2858" t="s">
        <v>2766</v>
      </c>
      <c r="C128" s="2858" t="s">
        <v>2767</v>
      </c>
      <c r="D128" s="2832" t="s">
        <v>2768</v>
      </c>
      <c r="E128" s="2858">
        <v>0.1</v>
      </c>
      <c r="F128" s="2858">
        <v>15</v>
      </c>
    </row>
    <row r="129" spans="1:6" ht="13.5">
      <c r="A129" s="2858">
        <v>55</v>
      </c>
      <c r="B129" s="3503" t="s">
        <v>2769</v>
      </c>
      <c r="C129" s="2858" t="s">
        <v>2770</v>
      </c>
      <c r="D129" s="2832" t="s">
        <v>2771</v>
      </c>
      <c r="E129" s="2858">
        <v>0.1</v>
      </c>
      <c r="F129" s="2858">
        <v>15</v>
      </c>
    </row>
    <row r="130" spans="1:6" ht="13.5">
      <c r="A130" s="2858">
        <v>56</v>
      </c>
      <c r="B130" s="3503"/>
      <c r="C130" s="2858" t="s">
        <v>2772</v>
      </c>
      <c r="D130" s="2832" t="s">
        <v>2773</v>
      </c>
      <c r="E130" s="2858">
        <v>0.1</v>
      </c>
      <c r="F130" s="2858">
        <v>15</v>
      </c>
    </row>
    <row r="131" spans="1:6" ht="24">
      <c r="A131" s="2858">
        <v>57</v>
      </c>
      <c r="B131" s="3503"/>
      <c r="C131" s="2858" t="s">
        <v>2774</v>
      </c>
      <c r="D131" s="2832" t="s">
        <v>2775</v>
      </c>
      <c r="E131" s="2858">
        <v>0.1</v>
      </c>
      <c r="F131" s="2858">
        <v>15</v>
      </c>
    </row>
    <row r="132" spans="1:6" ht="24">
      <c r="A132" s="2858">
        <v>58</v>
      </c>
      <c r="B132" s="3503" t="s">
        <v>2776</v>
      </c>
      <c r="C132" s="2858" t="s">
        <v>2777</v>
      </c>
      <c r="D132" s="2832" t="s">
        <v>2778</v>
      </c>
      <c r="E132" s="2858">
        <v>0.1</v>
      </c>
      <c r="F132" s="2858">
        <v>15</v>
      </c>
    </row>
    <row r="133" spans="1:6" ht="13.5">
      <c r="A133" s="2858">
        <v>59</v>
      </c>
      <c r="B133" s="3503"/>
      <c r="C133" s="2858" t="s">
        <v>2779</v>
      </c>
      <c r="D133" s="2832" t="s">
        <v>2780</v>
      </c>
      <c r="E133" s="2858">
        <v>0.1</v>
      </c>
      <c r="F133" s="2858">
        <v>15</v>
      </c>
    </row>
    <row r="134" spans="1:6" ht="13.5">
      <c r="A134" s="2858">
        <v>60</v>
      </c>
      <c r="B134" s="3510" t="s">
        <v>2781</v>
      </c>
      <c r="C134" s="2858" t="s">
        <v>2782</v>
      </c>
      <c r="D134" s="2832" t="s">
        <v>2783</v>
      </c>
      <c r="E134" s="2858">
        <v>0.1</v>
      </c>
      <c r="F134" s="2858">
        <v>15</v>
      </c>
    </row>
    <row r="135" spans="1:6" ht="13.5">
      <c r="A135" s="2858">
        <v>61</v>
      </c>
      <c r="B135" s="3515"/>
      <c r="C135" s="2858" t="s">
        <v>2784</v>
      </c>
      <c r="D135" s="2832" t="s">
        <v>2785</v>
      </c>
      <c r="E135" s="2858">
        <v>0.1</v>
      </c>
      <c r="F135" s="2858">
        <v>15</v>
      </c>
    </row>
    <row r="136" spans="1:6" ht="24">
      <c r="A136" s="2858">
        <v>62</v>
      </c>
      <c r="B136" s="2858" t="s">
        <v>2786</v>
      </c>
      <c r="C136" s="2858" t="s">
        <v>2787</v>
      </c>
      <c r="D136" s="2832" t="s">
        <v>2788</v>
      </c>
      <c r="E136" s="2858">
        <v>0.1</v>
      </c>
      <c r="F136" s="2858">
        <v>15</v>
      </c>
    </row>
    <row r="137" spans="1:6" ht="13.5">
      <c r="A137" s="2858">
        <v>63</v>
      </c>
      <c r="B137" s="3503" t="s">
        <v>2789</v>
      </c>
      <c r="C137" s="2858" t="s">
        <v>2790</v>
      </c>
      <c r="D137" s="2832" t="s">
        <v>2791</v>
      </c>
      <c r="E137" s="2858">
        <v>0.1</v>
      </c>
      <c r="F137" s="2858">
        <v>15</v>
      </c>
    </row>
    <row r="138" spans="1:6" ht="13.5">
      <c r="A138" s="2858">
        <v>64</v>
      </c>
      <c r="B138" s="3503"/>
      <c r="C138" s="2858" t="s">
        <v>2792</v>
      </c>
      <c r="D138" s="2832" t="s">
        <v>2793</v>
      </c>
      <c r="E138" s="2858">
        <v>0.1</v>
      </c>
      <c r="F138" s="2858">
        <v>15</v>
      </c>
    </row>
    <row r="139" spans="1:6" ht="13.5">
      <c r="A139" s="2858">
        <v>65</v>
      </c>
      <c r="B139" s="2858" t="s">
        <v>2794</v>
      </c>
      <c r="C139" s="2858" t="s">
        <v>2795</v>
      </c>
      <c r="D139" s="2832" t="s">
        <v>2796</v>
      </c>
      <c r="E139" s="2858">
        <v>0.1</v>
      </c>
      <c r="F139" s="2858">
        <v>15</v>
      </c>
    </row>
    <row r="140" spans="1:6" ht="13.5">
      <c r="A140" s="2858"/>
      <c r="B140" s="2858"/>
      <c r="C140" s="2858"/>
      <c r="D140" s="2858"/>
      <c r="E140" s="2858" t="s">
        <v>2797</v>
      </c>
      <c r="F140" s="2858"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0.95120000000000005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32688</v>
      </c>
      <c r="C2" s="2" t="s">
        <v>106</v>
      </c>
      <c r="D2" s="191"/>
      <c r="E2" s="191"/>
      <c r="F2" s="191"/>
      <c r="G2" s="191"/>
    </row>
    <row r="3" spans="1:7" s="192" customFormat="1" ht="18" customHeight="1" thickBot="1">
      <c r="A3" s="195" t="s">
        <v>58</v>
      </c>
      <c r="B3" s="196">
        <f ca="1">ROUND(B2*10000/'数据-汇总表'!E3,0)</f>
        <v>19594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334</v>
      </c>
      <c r="D10" s="795">
        <f>'数据-汇总表'!E6</f>
        <v>16683.080000000002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526</v>
      </c>
      <c r="D19" s="204">
        <f>'数据-汇总表'!E3</f>
        <v>16683.080000000002</v>
      </c>
      <c r="E19" s="203">
        <f>'数据-取费表'!B31</f>
        <v>315</v>
      </c>
      <c r="F19" s="223"/>
      <c r="G19" s="1" t="s">
        <v>436</v>
      </c>
    </row>
    <row r="20" spans="1:7" s="206" customFormat="1" ht="13.5" customHeight="1">
      <c r="A20" s="731" t="s">
        <v>419</v>
      </c>
      <c r="B20" s="202" t="s">
        <v>77</v>
      </c>
      <c r="C20" s="224">
        <f>ROUND((C5+C19)*F20,0)</f>
        <v>423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987</v>
      </c>
      <c r="D22" s="227">
        <f ca="1">C26</f>
        <v>5.0000000000000001E-4</v>
      </c>
      <c r="E22" s="228" t="s">
        <v>99</v>
      </c>
      <c r="F22" s="229">
        <f ca="1">'数据-取费表'!B40</f>
        <v>3.0599999999999999E-2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953</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24</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2156</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2156</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26701</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5689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5005</v>
      </c>
      <c r="D34" s="209"/>
      <c r="E34" s="212"/>
      <c r="F34" s="249">
        <f>IF('数据-取费表'!B24=0,1,'数据-取费表'!N16)</f>
        <v>1</v>
      </c>
      <c r="G34" s="211" t="s">
        <v>89</v>
      </c>
    </row>
    <row r="35" spans="1:7" ht="13.5" customHeight="1">
      <c r="A35" s="734" t="s">
        <v>351</v>
      </c>
      <c r="B35" s="207" t="s">
        <v>33</v>
      </c>
      <c r="C35" s="212">
        <f>ROUND(C34*F35,0)</f>
        <v>250</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334</v>
      </c>
      <c r="D37" s="209">
        <f>'数据-汇总表'!E3</f>
        <v>16683.080000000002</v>
      </c>
      <c r="E37" s="241">
        <f>'数据-取费表'!B35</f>
        <v>200</v>
      </c>
      <c r="F37" s="251"/>
      <c r="G37" s="253" t="s">
        <v>92</v>
      </c>
    </row>
    <row r="38" spans="1:7" ht="13.5" customHeight="1">
      <c r="A38" s="734" t="s">
        <v>354</v>
      </c>
      <c r="B38" s="207" t="s">
        <v>36</v>
      </c>
      <c r="C38" s="212">
        <f>ROUND(C34*F38,0)</f>
        <v>100</v>
      </c>
      <c r="D38" s="212"/>
      <c r="E38" s="212"/>
      <c r="F38" s="251">
        <f>'数据-取费表'!B36</f>
        <v>0.02</v>
      </c>
      <c r="G38" s="211" t="s">
        <v>90</v>
      </c>
    </row>
    <row r="39" spans="1:7" s="206" customFormat="1" ht="13.5" customHeight="1">
      <c r="A39" s="731" t="s">
        <v>338</v>
      </c>
      <c r="B39" s="202" t="s">
        <v>77</v>
      </c>
      <c r="C39" s="224">
        <f>ROUND(C33*F20,0)</f>
        <v>114</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133</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130</v>
      </c>
      <c r="D42" s="230"/>
      <c r="E42" s="230"/>
      <c r="F42" s="231"/>
      <c r="G42" s="3378" t="s">
        <v>94</v>
      </c>
    </row>
    <row r="43" spans="1:7" ht="13.5" customHeight="1">
      <c r="A43" s="734" t="s">
        <v>347</v>
      </c>
      <c r="B43" s="207" t="s">
        <v>426</v>
      </c>
      <c r="C43" s="230">
        <f ca="1">ROUND(IF('数据-取费表'!B22&lt;=1,C39*F22*'数据-取费表'!B21/2,C39*(POWER((1+F22),'数据-取费表'!B21/2)-1)),0)</f>
        <v>3</v>
      </c>
      <c r="D43" s="230"/>
      <c r="E43" s="230"/>
      <c r="F43" s="231"/>
      <c r="G43" s="3379"/>
    </row>
    <row r="44" spans="1:7" ht="13.5" customHeight="1">
      <c r="A44" s="734" t="s">
        <v>348</v>
      </c>
      <c r="B44" s="207" t="s">
        <v>428</v>
      </c>
      <c r="C44" s="230">
        <f ca="1">ROUND(IF('数据-取费表'!B22&lt;=1,C40*F22*'数据-取费表'!B21/2,C40*(POWER((1+F22),'数据-取费表'!B21/2)-1)),4)</f>
        <v>5.0000000000000001E-4</v>
      </c>
      <c r="D44" s="230"/>
      <c r="E44" s="230"/>
      <c r="F44" s="231"/>
      <c r="G44" s="3380"/>
    </row>
    <row r="45" spans="1:7" s="206" customFormat="1" ht="13.5" customHeight="1">
      <c r="A45" s="731" t="s">
        <v>341</v>
      </c>
      <c r="B45" s="236" t="s">
        <v>85</v>
      </c>
      <c r="C45" s="237">
        <f>C46</f>
        <v>580</v>
      </c>
      <c r="D45" s="227">
        <f>C47</f>
        <v>2E-3</v>
      </c>
      <c r="E45" s="228" t="s">
        <v>102</v>
      </c>
      <c r="F45" s="238"/>
      <c r="G45" s="239" t="s">
        <v>434</v>
      </c>
    </row>
    <row r="46" spans="1:7" s="206" customFormat="1" ht="13.5" customHeight="1">
      <c r="A46" s="734" t="s">
        <v>349</v>
      </c>
      <c r="B46" s="240" t="s">
        <v>427</v>
      </c>
      <c r="C46" s="241">
        <f>ROUND((C33+C39)*F27,0)</f>
        <v>580</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7043</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5987</v>
      </c>
      <c r="D51" s="224"/>
      <c r="E51" s="224"/>
      <c r="F51" s="256"/>
      <c r="G51" s="226" t="s">
        <v>37</v>
      </c>
    </row>
    <row r="52" spans="1:7" s="200" customFormat="1" ht="16.5" thickBot="1">
      <c r="A52" s="257" t="s">
        <v>38</v>
      </c>
      <c r="B52" s="258"/>
      <c r="C52" s="259">
        <f ca="1">C31+C51</f>
        <v>32688</v>
      </c>
      <c r="D52" s="258"/>
      <c r="E52" s="258"/>
      <c r="F52" s="258"/>
      <c r="G52" s="260"/>
    </row>
    <row r="55" spans="1:7" ht="15">
      <c r="B55" s="262" t="s">
        <v>39</v>
      </c>
      <c r="C55" s="263"/>
    </row>
    <row r="56" spans="1:7">
      <c r="B56" s="265" t="s">
        <v>40</v>
      </c>
      <c r="C56" s="266">
        <f ca="1">ROUND(C51/C52,3)</f>
        <v>0.183</v>
      </c>
    </row>
    <row r="57" spans="1:7">
      <c r="B57" s="265" t="s">
        <v>41</v>
      </c>
      <c r="C57" s="267">
        <f ca="1">1-C56</f>
        <v>0.81699999999999995</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516" t="s">
        <v>3181</v>
      </c>
      <c r="B1" s="351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4"/>
  </cols>
  <sheetData>
    <row r="1" spans="1:6">
      <c r="A1" s="3517" t="s">
        <v>3232</v>
      </c>
      <c r="B1" s="3517"/>
      <c r="C1" s="3517"/>
      <c r="D1" s="3517"/>
      <c r="E1" s="3517"/>
      <c r="F1" s="3518"/>
    </row>
    <row r="2" spans="1:6">
      <c r="A2" s="3003" t="s">
        <v>3233</v>
      </c>
    </row>
    <row r="3" spans="1:6">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8">
        <f>基准地价修正!G23</f>
        <v>45952</v>
      </c>
      <c r="B1" s="2930" t="s">
        <v>3375</v>
      </c>
      <c r="C1" s="2931"/>
      <c r="D1" s="2931"/>
      <c r="E1" s="2931"/>
      <c r="F1" s="2931"/>
      <c r="G1" s="2931"/>
      <c r="H1" s="2931"/>
      <c r="I1" s="2931"/>
      <c r="J1" s="2897"/>
      <c r="K1" s="2931" t="s">
        <v>454</v>
      </c>
      <c r="L1" s="2931"/>
      <c r="M1" s="2931"/>
      <c r="N1" s="2931"/>
      <c r="O1" s="2931"/>
      <c r="P1" s="2931"/>
      <c r="Q1" s="2897"/>
      <c r="R1" s="3519" t="s">
        <v>456</v>
      </c>
      <c r="S1" s="3520"/>
      <c r="T1" s="3520"/>
      <c r="U1" s="3520"/>
      <c r="V1" s="3520"/>
      <c r="W1" s="3520"/>
      <c r="X1" s="2897"/>
      <c r="Y1" s="3519" t="s">
        <v>457</v>
      </c>
      <c r="Z1" s="3520"/>
      <c r="AA1" s="3520"/>
      <c r="AB1" s="3520"/>
      <c r="AC1" s="3520"/>
      <c r="AD1" s="3520"/>
    </row>
    <row r="2" spans="1:44"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c r="AF2" t="s">
        <v>3400</v>
      </c>
      <c r="AG2" t="s">
        <v>673</v>
      </c>
      <c r="AH2" t="s">
        <v>21</v>
      </c>
      <c r="AI2" t="s">
        <v>3401</v>
      </c>
      <c r="AJ2" t="s">
        <v>3</v>
      </c>
      <c r="AK2" t="s">
        <v>3402</v>
      </c>
      <c r="AM2" t="s">
        <v>3400</v>
      </c>
      <c r="AN2" t="s">
        <v>673</v>
      </c>
      <c r="AO2" t="s">
        <v>21</v>
      </c>
      <c r="AP2" t="s">
        <v>3401</v>
      </c>
      <c r="AQ2" t="s">
        <v>3</v>
      </c>
      <c r="AR2" t="s">
        <v>3402</v>
      </c>
    </row>
    <row r="3" spans="1:44" s="2887" customFormat="1" ht="12.75">
      <c r="A3" s="2885" t="s">
        <v>2819</v>
      </c>
      <c r="B3" s="2886"/>
      <c r="D3" s="2887">
        <f>ROUND(AVERAGEIF(D4:D24,"&lt;&gt;0"),2)</f>
        <v>0.33</v>
      </c>
      <c r="E3" s="2887">
        <f t="shared" ref="E3:H3" si="0">ROUND(AVERAGEIF(E4:E24,"&lt;&gt;0"),2)</f>
        <v>0.14000000000000001</v>
      </c>
      <c r="F3" s="2887">
        <f t="shared" si="0"/>
        <v>-0.16</v>
      </c>
      <c r="G3" s="2887">
        <f t="shared" si="0"/>
        <v>0.39</v>
      </c>
      <c r="H3" s="2887">
        <f t="shared" si="0"/>
        <v>0.47</v>
      </c>
      <c r="I3" s="2887">
        <f>F3</f>
        <v>-0.16</v>
      </c>
      <c r="J3" s="2888"/>
      <c r="K3" s="2889">
        <f>ROUND(AVERAGEIF(K4:K24,"&lt;&gt;0"),4)</f>
        <v>3.3E-3</v>
      </c>
      <c r="L3" s="2890">
        <f t="shared" ref="L3:O3" si="1">ROUND(AVERAGEIF(L4:L24,"&lt;&gt;0"),4)</f>
        <v>1.4E-3</v>
      </c>
      <c r="M3" s="2890">
        <f t="shared" si="1"/>
        <v>-1.6000000000000001E-3</v>
      </c>
      <c r="N3" s="2890">
        <f t="shared" si="1"/>
        <v>3.8999999999999998E-3</v>
      </c>
      <c r="O3" s="2890">
        <f t="shared" si="1"/>
        <v>4.7000000000000002E-3</v>
      </c>
      <c r="P3" s="2890">
        <f>M3</f>
        <v>-1.6000000000000001E-3</v>
      </c>
      <c r="Q3" s="2888"/>
      <c r="R3" s="2891">
        <f>ROUND(SUMPRODUCT(PRODUCT(1+K4:K24)),4)</f>
        <v>1.0631999999999999</v>
      </c>
      <c r="S3" s="2892">
        <f t="shared" ref="S3:V3" si="2">ROUND(SUMPRODUCT(PRODUCT(1+L4:L24)),4)</f>
        <v>1.0268999999999999</v>
      </c>
      <c r="T3" s="2892">
        <f t="shared" si="2"/>
        <v>0.97040000000000004</v>
      </c>
      <c r="U3" s="2892">
        <f t="shared" si="2"/>
        <v>1.0765</v>
      </c>
      <c r="V3" s="2892">
        <f t="shared" si="2"/>
        <v>1.0933999999999999</v>
      </c>
      <c r="W3" s="2891">
        <f>T3</f>
        <v>0.97040000000000004</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3399</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105.3</v>
      </c>
      <c r="AG5" s="3154">
        <f t="shared" ref="AG5:AK5" si="18">$AF$24*S5</f>
        <v>102.51999999999998</v>
      </c>
      <c r="AH5" s="3154">
        <f t="shared" si="18"/>
        <v>97.289999999999992</v>
      </c>
      <c r="AI5" s="3154">
        <f t="shared" si="18"/>
        <v>106.47</v>
      </c>
      <c r="AJ5" s="3154">
        <f t="shared" si="18"/>
        <v>108.94999999999999</v>
      </c>
      <c r="AK5" s="3154">
        <f t="shared" si="18"/>
        <v>97.289999999999992</v>
      </c>
      <c r="AM5" s="3160">
        <v>100</v>
      </c>
      <c r="AN5" s="3160">
        <v>100</v>
      </c>
      <c r="AO5" s="3160">
        <v>100</v>
      </c>
      <c r="AP5" s="3160">
        <v>100</v>
      </c>
      <c r="AQ5" s="3160">
        <v>100</v>
      </c>
      <c r="AR5" s="3160">
        <v>100</v>
      </c>
    </row>
    <row r="6" spans="1:44" s="2917" customFormat="1" ht="12.75">
      <c r="A6" s="2908" t="s">
        <v>3413</v>
      </c>
      <c r="B6" s="2909">
        <v>2025</v>
      </c>
      <c r="C6" s="2910">
        <v>3</v>
      </c>
      <c r="D6" s="2911">
        <v>-0.45</v>
      </c>
      <c r="E6" s="2911">
        <v>-0.22</v>
      </c>
      <c r="F6" s="2911">
        <v>-0.82</v>
      </c>
      <c r="G6" s="2911">
        <v>-0.39</v>
      </c>
      <c r="H6" s="2912">
        <v>0.04</v>
      </c>
      <c r="I6" s="2913">
        <f t="shared" ref="I6" si="19">F6</f>
        <v>-0.82</v>
      </c>
      <c r="J6" s="2914"/>
      <c r="K6" s="2915">
        <f t="shared" ref="K6" si="20">D6/100</f>
        <v>-4.5000000000000005E-3</v>
      </c>
      <c r="L6" s="2916">
        <f t="shared" ref="L6" si="21">E6/100</f>
        <v>-2.2000000000000001E-3</v>
      </c>
      <c r="M6" s="2916">
        <f t="shared" ref="M6" si="22">F6/100</f>
        <v>-8.199999999999999E-3</v>
      </c>
      <c r="N6" s="2916">
        <f t="shared" ref="N6" si="23">G6/100</f>
        <v>-3.9000000000000003E-3</v>
      </c>
      <c r="O6" s="2916">
        <f t="shared" ref="O6" si="24">H6/100</f>
        <v>4.0000000000000002E-4</v>
      </c>
      <c r="P6" s="2916">
        <f t="shared" si="10"/>
        <v>-8.199999999999999E-3</v>
      </c>
      <c r="Q6" s="2914"/>
      <c r="R6" s="2914">
        <f>ROUND(IF(项目基本情况!$B$8="出让",SUMPRODUCT(PRODUCT(1+K6:$K$24)),SUMPRODUCT(PRODUCT(1+K6:$K$23))),4)</f>
        <v>1.0529999999999999</v>
      </c>
      <c r="S6" s="2914">
        <f>ROUND(IF(项目基本情况!$B$8="出让",SUMPRODUCT(PRODUCT(1+L6:$L$24)),SUMPRODUCT(PRODUCT(1+L6:$L$23))),4)</f>
        <v>1.0251999999999999</v>
      </c>
      <c r="T6" s="2914">
        <f>ROUND(IF(项目基本情况!$B$8="出让",SUMPRODUCT(PRODUCT(1+M6:$M$24)),SUMPRODUCT(PRODUCT(1+M6:$M$23))),4)</f>
        <v>0.97289999999999999</v>
      </c>
      <c r="U6" s="2914">
        <f>ROUND(IF(项目基本情况!$B$8="出让",SUMPRODUCT(PRODUCT(1+N6:$N$24)),SUMPRODUCT(PRODUCT(1+N6:$N$23))),4)</f>
        <v>1.0647</v>
      </c>
      <c r="V6" s="2914">
        <f>ROUND(IF(项目基本情况!$B$8="出让",SUMPRODUCT(PRODUCT(1+O6:$O$24)),SUMPRODUCT(PRODUCT(1+O6:$O$23))),4)</f>
        <v>1.0894999999999999</v>
      </c>
      <c r="W6" s="2914">
        <f t="shared" si="11"/>
        <v>0.97289999999999999</v>
      </c>
      <c r="X6" s="2914"/>
      <c r="Y6" s="2916">
        <f t="shared" si="12"/>
        <v>1.4E-3</v>
      </c>
      <c r="Z6" s="2916">
        <f t="shared" ref="Z6" si="25">IF(E6=0,0,ROUND(AVERAGE(E6:E19)/100,4))</f>
        <v>5.0000000000000001E-4</v>
      </c>
      <c r="AA6" s="2916">
        <f t="shared" ref="AA6" si="26">IF(F6=0,0,ROUND(AVERAGE(F6:F19)/100,4))</f>
        <v>-2.7000000000000001E-3</v>
      </c>
      <c r="AB6" s="2916">
        <f t="shared" ref="AB6" si="27">IF(G6=0,0,ROUND(AVERAGE(G6:G19)/100,4))</f>
        <v>2E-3</v>
      </c>
      <c r="AC6" s="2916">
        <f t="shared" ref="AC6" si="28">IF(H6=0,0,ROUND(AVERAGE(H6:H19)/100,4))</f>
        <v>4.1999999999999997E-3</v>
      </c>
      <c r="AD6" s="2916">
        <f t="shared" ref="AD6" si="29">AA6</f>
        <v>-2.7000000000000001E-3</v>
      </c>
      <c r="AF6" s="3155">
        <f t="shared" ref="AF6:AF23" si="30">$AF$24*R6</f>
        <v>105.3</v>
      </c>
      <c r="AG6" s="3155">
        <f t="shared" ref="AG6:AG23" si="31">$AF$24*S6</f>
        <v>102.51999999999998</v>
      </c>
      <c r="AH6" s="3155">
        <f t="shared" ref="AH6:AH23" si="32">$AF$24*T6</f>
        <v>97.289999999999992</v>
      </c>
      <c r="AI6" s="3155">
        <f t="shared" ref="AI6:AI23" si="33">$AF$24*U6</f>
        <v>106.47</v>
      </c>
      <c r="AJ6" s="3155">
        <f t="shared" ref="AJ6:AJ23" si="34">$AF$24*V6</f>
        <v>108.94999999999999</v>
      </c>
      <c r="AK6" s="3155">
        <f t="shared" ref="AK6:AK23" si="35">$AF$24*W6</f>
        <v>97.289999999999992</v>
      </c>
      <c r="AM6" s="3155">
        <f>AM5/(1+D5/100)</f>
        <v>100</v>
      </c>
      <c r="AN6" s="3155">
        <f t="shared" ref="AN6:AR6" si="36">AN5/(1+E5/100)</f>
        <v>100</v>
      </c>
      <c r="AO6" s="3155">
        <f t="shared" si="36"/>
        <v>100</v>
      </c>
      <c r="AP6" s="3155">
        <f t="shared" si="36"/>
        <v>100</v>
      </c>
      <c r="AQ6" s="3155">
        <f t="shared" si="36"/>
        <v>100</v>
      </c>
      <c r="AR6" s="3155">
        <f t="shared" si="36"/>
        <v>100</v>
      </c>
    </row>
    <row r="7" spans="1:44" s="2045" customFormat="1" ht="12.75">
      <c r="A7" s="2040" t="s">
        <v>3414</v>
      </c>
      <c r="B7" s="2031">
        <v>2025</v>
      </c>
      <c r="C7" s="2042">
        <v>2</v>
      </c>
      <c r="D7" s="2007">
        <v>0.05</v>
      </c>
      <c r="E7" s="2007">
        <v>-0.62</v>
      </c>
      <c r="F7" s="2007">
        <v>-1.05</v>
      </c>
      <c r="G7" s="2007">
        <v>0.09</v>
      </c>
      <c r="H7" s="2007">
        <v>0.17</v>
      </c>
      <c r="I7" s="2008">
        <f t="shared" ref="I7" si="37">F7</f>
        <v>-1.05</v>
      </c>
      <c r="J7" s="2907"/>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7"/>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7"/>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4">
        <f t="shared" si="30"/>
        <v>105.77000000000001</v>
      </c>
      <c r="AG7" s="3154">
        <f t="shared" si="31"/>
        <v>102.75000000000001</v>
      </c>
      <c r="AH7" s="3154">
        <f t="shared" si="32"/>
        <v>98.09</v>
      </c>
      <c r="AI7" s="3154">
        <f t="shared" si="33"/>
        <v>106.89</v>
      </c>
      <c r="AJ7" s="3154">
        <f t="shared" si="34"/>
        <v>108.91</v>
      </c>
      <c r="AK7" s="3154">
        <f t="shared" si="35"/>
        <v>98.09</v>
      </c>
      <c r="AM7" s="3154">
        <f t="shared" ref="AM7:AM24" si="48">AM6/(1+D6/100)</f>
        <v>100.45203415369161</v>
      </c>
      <c r="AN7" s="3154">
        <f t="shared" ref="AN7:AN24" si="49">AN6/(1+E6/100)</f>
        <v>100.22048506714772</v>
      </c>
      <c r="AO7" s="3154">
        <f t="shared" ref="AO7:AO24" si="50">AO6/(1+F6/100)</f>
        <v>100.8267795926598</v>
      </c>
      <c r="AP7" s="3154">
        <f t="shared" ref="AP7:AP24" si="51">AP6/(1+G6/100)</f>
        <v>100.39152695512499</v>
      </c>
      <c r="AQ7" s="3154">
        <f t="shared" ref="AQ7:AQ24" si="52">AQ6/(1+H6/100)</f>
        <v>99.960015993602568</v>
      </c>
      <c r="AR7" s="3154">
        <f t="shared" ref="AR7:AR24" si="53">AR6/(1+I6/100)</f>
        <v>100.8267795926598</v>
      </c>
    </row>
    <row r="8" spans="1:44" s="2045" customFormat="1" ht="12.75">
      <c r="A8" s="2040" t="s">
        <v>3405</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100.40183323707308</v>
      </c>
      <c r="AN8" s="3154">
        <f t="shared" si="49"/>
        <v>100.84572858437082</v>
      </c>
      <c r="AO8" s="3154">
        <f t="shared" si="50"/>
        <v>101.89669488899423</v>
      </c>
      <c r="AP8" s="3154">
        <f t="shared" si="51"/>
        <v>100.3012558248826</v>
      </c>
      <c r="AQ8" s="3154">
        <f t="shared" si="52"/>
        <v>99.790372360589558</v>
      </c>
      <c r="AR8" s="3154">
        <f t="shared" si="53"/>
        <v>101.89669488899423</v>
      </c>
    </row>
    <row r="9" spans="1:44" s="2045" customFormat="1" ht="12.75">
      <c r="A9" s="2040" t="s">
        <v>3404</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99.832786354850427</v>
      </c>
      <c r="AN9" s="3154">
        <f t="shared" si="49"/>
        <v>101.42384449800947</v>
      </c>
      <c r="AO9" s="3154">
        <f t="shared" si="50"/>
        <v>102.82209373258752</v>
      </c>
      <c r="AP9" s="3154">
        <f t="shared" si="51"/>
        <v>99.190324193910797</v>
      </c>
      <c r="AQ9" s="3154">
        <f t="shared" si="52"/>
        <v>99.373005736496282</v>
      </c>
      <c r="AR9" s="3154">
        <f t="shared" si="53"/>
        <v>102.82209373258752</v>
      </c>
    </row>
    <row r="10" spans="1:44" s="2045" customFormat="1" ht="12.75">
      <c r="A10" s="2040" t="s">
        <v>3379</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100.86157441387192</v>
      </c>
      <c r="AN10" s="3154">
        <f t="shared" si="49"/>
        <v>101.91302702774264</v>
      </c>
      <c r="AO10" s="3154">
        <f t="shared" si="50"/>
        <v>103.59908688421916</v>
      </c>
      <c r="AP10" s="3154">
        <f t="shared" si="51"/>
        <v>100.24287437484668</v>
      </c>
      <c r="AQ10" s="3154">
        <f t="shared" si="52"/>
        <v>99.293570879792455</v>
      </c>
      <c r="AR10" s="3154">
        <f t="shared" si="53"/>
        <v>103.59908688421916</v>
      </c>
    </row>
    <row r="11" spans="1:44" s="2045" customFormat="1" ht="12.75">
      <c r="A11" s="2906" t="s">
        <v>3373</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102.07628217171533</v>
      </c>
      <c r="AN11" s="3154">
        <f t="shared" si="49"/>
        <v>102.39428014442143</v>
      </c>
      <c r="AO11" s="3154">
        <f t="shared" si="50"/>
        <v>103.90039803853091</v>
      </c>
      <c r="AP11" s="3154">
        <f t="shared" si="51"/>
        <v>100.99020186867487</v>
      </c>
      <c r="AQ11" s="3154">
        <f t="shared" si="52"/>
        <v>99.502526184780493</v>
      </c>
      <c r="AR11" s="3154">
        <f t="shared" si="53"/>
        <v>103.90039803853091</v>
      </c>
    </row>
    <row r="12" spans="1:44" s="2045" customFormat="1" ht="12.75">
      <c r="A12" s="2906" t="s">
        <v>3372</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102.68210660065922</v>
      </c>
      <c r="AN12" s="3154">
        <f t="shared" si="49"/>
        <v>102.60976064176914</v>
      </c>
      <c r="AO12" s="3154">
        <f t="shared" si="50"/>
        <v>105.35428720191737</v>
      </c>
      <c r="AP12" s="3154">
        <f t="shared" si="51"/>
        <v>102.25820359323093</v>
      </c>
      <c r="AQ12" s="3154">
        <f t="shared" si="52"/>
        <v>99.165363947359467</v>
      </c>
      <c r="AR12" s="3154">
        <f t="shared" si="53"/>
        <v>105.35428720191737</v>
      </c>
    </row>
    <row r="13" spans="1:44" s="2045" customFormat="1" ht="12.75">
      <c r="A13" s="2906" t="s">
        <v>3368</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102.60002657939572</v>
      </c>
      <c r="AN13" s="3154">
        <f t="shared" si="49"/>
        <v>102.13991702346122</v>
      </c>
      <c r="AO13" s="3154">
        <f t="shared" si="50"/>
        <v>105.52312420063839</v>
      </c>
      <c r="AP13" s="3154">
        <f t="shared" si="51"/>
        <v>101.99302173671548</v>
      </c>
      <c r="AQ13" s="3154">
        <f t="shared" si="52"/>
        <v>98.583719999363225</v>
      </c>
      <c r="AR13" s="3154">
        <f t="shared" si="53"/>
        <v>105.52312420063839</v>
      </c>
    </row>
    <row r="14" spans="1:44" s="2045" customFormat="1" ht="12.75">
      <c r="A14" s="2906" t="s">
        <v>3367</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102.40545621259179</v>
      </c>
      <c r="AN14" s="3154">
        <f t="shared" si="49"/>
        <v>101.89536813992541</v>
      </c>
      <c r="AO14" s="3154">
        <f t="shared" si="50"/>
        <v>105.69223177147275</v>
      </c>
      <c r="AP14" s="3154">
        <f t="shared" si="51"/>
        <v>101.81992785935456</v>
      </c>
      <c r="AQ14" s="3154">
        <f t="shared" si="52"/>
        <v>97.986005366626799</v>
      </c>
      <c r="AR14" s="3154">
        <f t="shared" si="53"/>
        <v>105.69223177147275</v>
      </c>
    </row>
    <row r="15" spans="1:44" s="2045" customFormat="1" ht="12.75">
      <c r="A15" s="2906" t="s">
        <v>3365</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102.15008101006663</v>
      </c>
      <c r="AN15" s="3154">
        <f t="shared" si="49"/>
        <v>101.38842600987604</v>
      </c>
      <c r="AO15" s="3154">
        <f t="shared" si="50"/>
        <v>105.36559841638196</v>
      </c>
      <c r="AP15" s="3154">
        <f t="shared" si="51"/>
        <v>101.60655409575348</v>
      </c>
      <c r="AQ15" s="3154">
        <f t="shared" si="52"/>
        <v>97.56646954757224</v>
      </c>
      <c r="AR15" s="3154">
        <f t="shared" si="53"/>
        <v>105.36559841638196</v>
      </c>
    </row>
    <row r="16" spans="1:44" s="2045" customFormat="1" ht="12.75">
      <c r="A16" s="2906" t="s">
        <v>3364</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101.22889803792152</v>
      </c>
      <c r="AN16" s="3154">
        <f t="shared" si="49"/>
        <v>100.7236499204014</v>
      </c>
      <c r="AO16" s="3154">
        <f t="shared" si="50"/>
        <v>104.87269674169599</v>
      </c>
      <c r="AP16" s="3154">
        <f t="shared" si="51"/>
        <v>100.6404061962693</v>
      </c>
      <c r="AQ16" s="3154">
        <f t="shared" si="52"/>
        <v>96.878631265586563</v>
      </c>
      <c r="AR16" s="3154">
        <f t="shared" si="53"/>
        <v>104.87269674169599</v>
      </c>
    </row>
    <row r="17" spans="1:44" s="2045" customFormat="1" ht="12.75">
      <c r="A17" s="2906" t="s">
        <v>3363</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100.33590845269256</v>
      </c>
      <c r="AN17" s="3154">
        <f t="shared" si="49"/>
        <v>99.98377002223684</v>
      </c>
      <c r="AO17" s="3154">
        <f t="shared" si="50"/>
        <v>104.27831037257232</v>
      </c>
      <c r="AP17" s="3154">
        <f t="shared" si="51"/>
        <v>99.722955010175667</v>
      </c>
      <c r="AQ17" s="3154">
        <f t="shared" si="52"/>
        <v>96.396648025459271</v>
      </c>
      <c r="AR17" s="3154">
        <f t="shared" si="53"/>
        <v>104.27831037257232</v>
      </c>
    </row>
    <row r="18" spans="1:44" s="2045" customFormat="1" ht="12.75">
      <c r="A18" s="2906" t="s">
        <v>3361</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99.717658967096568</v>
      </c>
      <c r="AN18" s="3154">
        <f t="shared" si="49"/>
        <v>99.784201618998836</v>
      </c>
      <c r="AO18" s="3154">
        <f t="shared" si="50"/>
        <v>104.1637302692761</v>
      </c>
      <c r="AP18" s="3154">
        <f t="shared" si="51"/>
        <v>99.039581895099488</v>
      </c>
      <c r="AQ18" s="3154">
        <f t="shared" si="52"/>
        <v>95.888439297184192</v>
      </c>
      <c r="AR18" s="3154">
        <f t="shared" si="53"/>
        <v>104.1637302692761</v>
      </c>
    </row>
    <row r="19" spans="1:44" s="2045" customFormat="1" ht="12.75">
      <c r="A19" s="2906" t="s">
        <v>3352</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99.063837638681278</v>
      </c>
      <c r="AN19" s="3154">
        <f t="shared" si="49"/>
        <v>99.465910704743649</v>
      </c>
      <c r="AO19" s="3154">
        <f t="shared" si="50"/>
        <v>103.92470345133803</v>
      </c>
      <c r="AP19" s="3154">
        <f t="shared" si="51"/>
        <v>98.331594415309254</v>
      </c>
      <c r="AQ19" s="3154">
        <f t="shared" si="52"/>
        <v>95.288124115258071</v>
      </c>
      <c r="AR19" s="3154">
        <f t="shared" si="53"/>
        <v>103.92470345133803</v>
      </c>
    </row>
    <row r="20" spans="1:44" s="2045" customFormat="1" ht="12.75">
      <c r="A20" s="2906" t="s">
        <v>2820</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98.151033031488424</v>
      </c>
      <c r="AN20" s="3154">
        <f t="shared" si="49"/>
        <v>99.316935301790963</v>
      </c>
      <c r="AO20" s="3154">
        <f t="shared" si="50"/>
        <v>103.91431202013602</v>
      </c>
      <c r="AP20" s="3154">
        <f t="shared" si="51"/>
        <v>97.309841083928021</v>
      </c>
      <c r="AQ20" s="3154">
        <f t="shared" si="52"/>
        <v>94.270008028549739</v>
      </c>
      <c r="AR20" s="3154">
        <f t="shared" si="53"/>
        <v>103.91431202013602</v>
      </c>
    </row>
    <row r="21" spans="1:44" s="2045" customFormat="1" ht="12.75">
      <c r="A21" s="2906" t="s">
        <v>2821</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97.285194797788122</v>
      </c>
      <c r="AN21" s="3154">
        <f t="shared" si="49"/>
        <v>98.881855139178583</v>
      </c>
      <c r="AO21" s="3154">
        <f t="shared" si="50"/>
        <v>103.53124640842485</v>
      </c>
      <c r="AP21" s="3154">
        <f t="shared" si="51"/>
        <v>96.384549409595891</v>
      </c>
      <c r="AQ21" s="3154">
        <f t="shared" si="52"/>
        <v>93.670516721531939</v>
      </c>
      <c r="AR21" s="3154">
        <f t="shared" si="53"/>
        <v>103.53124640842485</v>
      </c>
    </row>
    <row r="22" spans="1:44" s="2045" customFormat="1" ht="12.75">
      <c r="A22" s="2906" t="s">
        <v>2822</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96.293373055318341</v>
      </c>
      <c r="AN22" s="3154">
        <f t="shared" si="49"/>
        <v>98.645106882660201</v>
      </c>
      <c r="AO22" s="3154">
        <f t="shared" si="50"/>
        <v>103.45882523076332</v>
      </c>
      <c r="AP22" s="3154">
        <f t="shared" si="51"/>
        <v>95.269891676975277</v>
      </c>
      <c r="AQ22" s="3154">
        <f t="shared" si="52"/>
        <v>93.158146913507636</v>
      </c>
      <c r="AR22" s="3154">
        <f t="shared" si="53"/>
        <v>103.45882523076332</v>
      </c>
    </row>
    <row r="23" spans="1:44" s="2045" customFormat="1" ht="12.75">
      <c r="A23" s="2906" t="s">
        <v>2823</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95.842911371870557</v>
      </c>
      <c r="AN23" s="3154">
        <f t="shared" si="49"/>
        <v>98.242313397729504</v>
      </c>
      <c r="AO23" s="3154">
        <f t="shared" si="50"/>
        <v>103.21111854625232</v>
      </c>
      <c r="AP23" s="3154">
        <f t="shared" si="51"/>
        <v>94.81478072947381</v>
      </c>
      <c r="AQ23" s="3154">
        <f t="shared" si="52"/>
        <v>92.713123918697889</v>
      </c>
      <c r="AR23" s="3154">
        <f t="shared" si="53"/>
        <v>103.21111854625232</v>
      </c>
    </row>
    <row r="24" spans="1:44" s="2929" customFormat="1" ht="14.25" thickBot="1">
      <c r="A24" s="2919" t="s">
        <v>2824</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94.969194779895503</v>
      </c>
      <c r="AN24" s="3161">
        <f t="shared" si="49"/>
        <v>97.540025216173049</v>
      </c>
      <c r="AO24" s="3161">
        <f t="shared" si="50"/>
        <v>102.78968085474786</v>
      </c>
      <c r="AP24" s="3161">
        <f t="shared" si="51"/>
        <v>93.922516819686777</v>
      </c>
      <c r="AQ24" s="3161">
        <f t="shared" si="52"/>
        <v>91.78608446559538</v>
      </c>
      <c r="AR24" s="3161">
        <f t="shared" si="53"/>
        <v>102.78968085474786</v>
      </c>
    </row>
    <row r="25" spans="1:44" ht="14.25" thickTop="1"/>
    <row r="26" spans="1:44">
      <c r="A26" s="3144" t="s">
        <v>3378</v>
      </c>
    </row>
    <row r="27" spans="1:44">
      <c r="I27" s="1405" t="s">
        <v>2825</v>
      </c>
    </row>
    <row r="29" spans="1:44" s="2009" customFormat="1" ht="12.75">
      <c r="B29" s="2930" t="s">
        <v>3376</v>
      </c>
      <c r="C29" s="2931"/>
      <c r="D29" s="2931"/>
      <c r="E29" s="2931"/>
      <c r="F29" s="2931"/>
      <c r="G29" s="2931"/>
      <c r="H29" s="2931"/>
      <c r="I29" s="2931"/>
      <c r="J29" s="2897"/>
      <c r="K29" s="2931" t="s">
        <v>2826</v>
      </c>
      <c r="L29" s="2931"/>
      <c r="M29" s="2931"/>
      <c r="N29" s="2931"/>
      <c r="O29" s="2931"/>
      <c r="P29" s="2931"/>
      <c r="Q29" s="2897"/>
      <c r="R29" s="3519" t="s">
        <v>2827</v>
      </c>
      <c r="S29" s="3520"/>
      <c r="T29" s="3520"/>
      <c r="U29" s="3520"/>
      <c r="V29" s="3520"/>
      <c r="W29" s="3520"/>
      <c r="X29" s="2897"/>
      <c r="Y29" s="3519" t="s">
        <v>2828</v>
      </c>
      <c r="Z29" s="3520"/>
      <c r="AA29" s="3520"/>
      <c r="AB29" s="3520"/>
      <c r="AC29" s="3520"/>
      <c r="AD29" s="3520"/>
    </row>
    <row r="30" spans="1:44" s="2010" customFormat="1" ht="14.25" thickBot="1">
      <c r="B30" s="2882"/>
      <c r="C30" s="2883"/>
      <c r="D30" s="2011" t="s">
        <v>2829</v>
      </c>
      <c r="E30" s="2012" t="s">
        <v>2830</v>
      </c>
      <c r="F30" s="2012" t="s">
        <v>2831</v>
      </c>
      <c r="G30" s="2012" t="s">
        <v>2832</v>
      </c>
      <c r="H30" s="2012"/>
      <c r="I30" s="2012" t="s">
        <v>2833</v>
      </c>
      <c r="J30" s="2884"/>
      <c r="K30" s="2011" t="s">
        <v>2829</v>
      </c>
      <c r="L30" s="2012" t="s">
        <v>2830</v>
      </c>
      <c r="M30" s="2012" t="s">
        <v>2831</v>
      </c>
      <c r="N30" s="2012" t="s">
        <v>2832</v>
      </c>
      <c r="O30" s="2012"/>
      <c r="P30" s="2012" t="s">
        <v>2833</v>
      </c>
      <c r="Q30" s="2884"/>
      <c r="R30" s="2011" t="s">
        <v>2829</v>
      </c>
      <c r="S30" s="2012" t="s">
        <v>2830</v>
      </c>
      <c r="T30" s="2012" t="s">
        <v>2831</v>
      </c>
      <c r="U30" s="2012" t="s">
        <v>2832</v>
      </c>
      <c r="V30" s="2012"/>
      <c r="W30" s="2012" t="s">
        <v>2833</v>
      </c>
      <c r="X30" s="2884"/>
      <c r="Y30" s="2011" t="s">
        <v>2829</v>
      </c>
      <c r="Z30" s="2012" t="s">
        <v>2830</v>
      </c>
      <c r="AA30" s="2012" t="s">
        <v>2831</v>
      </c>
      <c r="AB30" s="2012" t="s">
        <v>2832</v>
      </c>
      <c r="AC30" s="2012"/>
      <c r="AD30" s="2012" t="s">
        <v>2833</v>
      </c>
      <c r="AG30" t="s">
        <v>673</v>
      </c>
      <c r="AH30" t="s">
        <v>21</v>
      </c>
      <c r="AI30" t="s">
        <v>3401</v>
      </c>
      <c r="AJ30"/>
      <c r="AK30" t="s">
        <v>3402</v>
      </c>
      <c r="AN30" t="s">
        <v>673</v>
      </c>
      <c r="AO30" t="s">
        <v>21</v>
      </c>
      <c r="AP30" t="s">
        <v>3401</v>
      </c>
      <c r="AQ30"/>
      <c r="AR30" t="s">
        <v>3402</v>
      </c>
    </row>
    <row r="31" spans="1:44" s="2887" customFormat="1" ht="12.75">
      <c r="A31" s="2885" t="s">
        <v>2834</v>
      </c>
      <c r="B31" s="2886"/>
      <c r="E31" s="2887">
        <f t="shared" ref="E31:G31" si="115">ROUND(AVERAGEIF(E32:E52,"&lt;&gt;0"),2)</f>
        <v>0.04</v>
      </c>
      <c r="F31" s="2887">
        <f t="shared" si="115"/>
        <v>-7.0000000000000007E-2</v>
      </c>
      <c r="G31" s="2887">
        <f t="shared" si="115"/>
        <v>0.2</v>
      </c>
      <c r="I31" s="2887">
        <f>F31</f>
        <v>-7.0000000000000007E-2</v>
      </c>
      <c r="J31" s="2888"/>
      <c r="K31" s="2889"/>
      <c r="L31" s="2890">
        <f t="shared" ref="L31:N31" si="116">ROUND(AVERAGEIF(L32:L52,"&lt;&gt;0"),4)</f>
        <v>4.0000000000000002E-4</v>
      </c>
      <c r="M31" s="2890">
        <f t="shared" si="116"/>
        <v>-6.9999999999999999E-4</v>
      </c>
      <c r="N31" s="2890">
        <f t="shared" si="116"/>
        <v>2E-3</v>
      </c>
      <c r="O31" s="2890"/>
      <c r="P31" s="2890">
        <f>M31</f>
        <v>-6.9999999999999999E-4</v>
      </c>
      <c r="Q31" s="2888"/>
      <c r="R31" s="2891"/>
      <c r="S31" s="2892">
        <f>ROUND(SUMPRODUCT(PRODUCT(1+L32:L52)),4)</f>
        <v>1.0072000000000001</v>
      </c>
      <c r="T31" s="2892">
        <f t="shared" ref="T31:U31" si="117">ROUND(SUMPRODUCT(PRODUCT(1+M32:M52)),4)</f>
        <v>0.98699999999999999</v>
      </c>
      <c r="U31" s="2892">
        <f t="shared" si="117"/>
        <v>1.0375000000000001</v>
      </c>
      <c r="V31" s="2892"/>
      <c r="W31" s="2891">
        <f>T31</f>
        <v>0.98699999999999999</v>
      </c>
      <c r="X31" s="2888"/>
      <c r="Y31" s="2893"/>
      <c r="Z31" s="2894">
        <f t="shared" ref="Z31:AB31" si="118">ROUND(AVERAGEIF(Z32:Z52,"&lt;&gt;0"),4)</f>
        <v>2.8999999999999998E-3</v>
      </c>
      <c r="AA31" s="2895">
        <f t="shared" si="118"/>
        <v>2.3E-3</v>
      </c>
      <c r="AB31" s="2893">
        <f t="shared" si="118"/>
        <v>6.0000000000000001E-3</v>
      </c>
      <c r="AC31" s="2896"/>
      <c r="AD31" s="2893">
        <f>AA31</f>
        <v>2.3E-3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3399</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100.37</v>
      </c>
      <c r="AH33" s="3154">
        <f t="shared" ref="AH33:AH50" si="130">$AG$52*T33</f>
        <v>98.22999999999999</v>
      </c>
      <c r="AI33" s="3154">
        <f t="shared" ref="AI33:AI50" si="131">$AG$52*U33</f>
        <v>102.74000000000001</v>
      </c>
      <c r="AJ33" s="3156"/>
      <c r="AK33" s="3154">
        <f t="shared" ref="AK33:AK50" si="132">$AG$52*W33</f>
        <v>98.22999999999999</v>
      </c>
      <c r="AN33" s="3159">
        <v>100</v>
      </c>
      <c r="AO33" s="3159">
        <v>100</v>
      </c>
      <c r="AP33" s="3159">
        <v>100</v>
      </c>
      <c r="AQ33" s="3159"/>
      <c r="AR33" s="3159">
        <v>100</v>
      </c>
    </row>
    <row r="34" spans="1:44" s="2917" customFormat="1" ht="12.75">
      <c r="A34" s="2908" t="s">
        <v>3415</v>
      </c>
      <c r="B34" s="2909">
        <v>2025</v>
      </c>
      <c r="C34" s="2910">
        <v>3</v>
      </c>
      <c r="D34" s="2911"/>
      <c r="E34" s="2911">
        <v>-0.8</v>
      </c>
      <c r="F34" s="2911">
        <v>-1.45</v>
      </c>
      <c r="G34" s="2911">
        <v>-0.62</v>
      </c>
      <c r="H34" s="2912"/>
      <c r="I34" s="2913">
        <f t="shared" ref="I34" si="133">F34</f>
        <v>-1.45</v>
      </c>
      <c r="J34" s="2914"/>
      <c r="K34" s="2915"/>
      <c r="L34" s="2916">
        <f t="shared" ref="L34" si="134">E34/100</f>
        <v>-8.0000000000000002E-3</v>
      </c>
      <c r="M34" s="2916">
        <f t="shared" ref="M34" si="135">F34/100</f>
        <v>-1.4499999999999999E-2</v>
      </c>
      <c r="N34" s="2916">
        <f t="shared" ref="N34" si="136">G34/100</f>
        <v>-6.1999999999999998E-3</v>
      </c>
      <c r="O34" s="2916"/>
      <c r="P34" s="2916">
        <f t="shared" si="123"/>
        <v>-1.4499999999999999E-2</v>
      </c>
      <c r="Q34" s="2914"/>
      <c r="R34" s="2914"/>
      <c r="S34" s="2914">
        <f>ROUND(IF(项目基本情况!$B$8="出让",SUMPRODUCT(PRODUCT(1+L34:L$52)),SUMPRODUCT(PRODUCT(1+L34:L$51))),4)</f>
        <v>1.0037</v>
      </c>
      <c r="T34" s="2914">
        <f>ROUND(IF(项目基本情况!$B$8="出让",SUMPRODUCT(PRODUCT(1+M34:M$52)),SUMPRODUCT(PRODUCT(1+M34:M$51))),4)</f>
        <v>0.98229999999999995</v>
      </c>
      <c r="U34" s="2914">
        <f>ROUND(IF(项目基本情况!$B$8="出让",SUMPRODUCT(PRODUCT(1+N34:N$52)),SUMPRODUCT(PRODUCT(1+N34:N$51))),4)</f>
        <v>1.0274000000000001</v>
      </c>
      <c r="V34" s="2914"/>
      <c r="W34" s="2914">
        <f t="shared" si="124"/>
        <v>0.98229999999999995</v>
      </c>
      <c r="X34" s="2914"/>
      <c r="Y34" s="2916"/>
      <c r="Z34" s="2932">
        <f t="shared" ref="Z34" si="137">IF(E34=0,0,ROUND(AVERAGE(E34:E47)/100,4))</f>
        <v>-1.2999999999999999E-3</v>
      </c>
      <c r="AA34" s="2933">
        <f t="shared" ref="AA34" si="138">IF(F34=0,0,ROUND(AVERAGE(F34:F47)/100,4))</f>
        <v>-2.2000000000000001E-3</v>
      </c>
      <c r="AB34" s="2916">
        <f t="shared" ref="AB34" si="139">IF(G34=0,0,ROUND(AVERAGE(G34:G47)/100,4))</f>
        <v>-2.9999999999999997E-4</v>
      </c>
      <c r="AC34" s="2934"/>
      <c r="AD34" s="2916">
        <f t="shared" si="128"/>
        <v>-2.2000000000000001E-3</v>
      </c>
      <c r="AG34" s="3155">
        <f t="shared" si="129"/>
        <v>100.37</v>
      </c>
      <c r="AH34" s="3155">
        <f t="shared" si="130"/>
        <v>98.22999999999999</v>
      </c>
      <c r="AI34" s="3155">
        <f t="shared" si="131"/>
        <v>102.74000000000001</v>
      </c>
      <c r="AJ34" s="3157"/>
      <c r="AK34" s="3155">
        <f t="shared" si="132"/>
        <v>98.22999999999999</v>
      </c>
      <c r="AN34" s="3155">
        <f>AN33/(1+E33/100)</f>
        <v>100</v>
      </c>
      <c r="AO34" s="3155">
        <f t="shared" ref="AO34:AR34" si="140">AO33/(1+F33/100)</f>
        <v>100</v>
      </c>
      <c r="AP34" s="3155">
        <f t="shared" si="140"/>
        <v>100</v>
      </c>
      <c r="AQ34" s="3155"/>
      <c r="AR34" s="3155">
        <f t="shared" si="140"/>
        <v>100</v>
      </c>
    </row>
    <row r="35" spans="1:44" s="2045" customFormat="1" ht="12.75">
      <c r="A35" s="2040" t="s">
        <v>3414</v>
      </c>
      <c r="B35" s="2031">
        <v>2025</v>
      </c>
      <c r="C35" s="2042">
        <v>2</v>
      </c>
      <c r="D35" s="2007"/>
      <c r="E35" s="2007">
        <v>-0.31</v>
      </c>
      <c r="F35" s="2007">
        <v>-1.03</v>
      </c>
      <c r="G35" s="2007">
        <v>0.03</v>
      </c>
      <c r="H35" s="2007"/>
      <c r="I35" s="2008">
        <f t="shared" ref="I35" si="141">F35</f>
        <v>-1.03</v>
      </c>
      <c r="J35" s="2907"/>
      <c r="K35" s="2043"/>
      <c r="L35" s="2028">
        <f t="shared" ref="L35" si="142">E35/100</f>
        <v>-3.0999999999999999E-3</v>
      </c>
      <c r="M35" s="2028">
        <f t="shared" ref="M35" si="143">F35/100</f>
        <v>-1.03E-2</v>
      </c>
      <c r="N35" s="2028">
        <f t="shared" ref="N35" si="144">G35/100</f>
        <v>2.9999999999999997E-4</v>
      </c>
      <c r="O35" s="2028"/>
      <c r="P35" s="2028">
        <f t="shared" si="123"/>
        <v>-1.03E-2</v>
      </c>
      <c r="Q35" s="2907"/>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7"/>
      <c r="Y35" s="2028"/>
      <c r="Z35" s="2903">
        <f t="shared" ref="Z35" si="145">IF(E35=0,0,ROUND(AVERAGE(E35:E48)/100,4))</f>
        <v>-2.9999999999999997E-4</v>
      </c>
      <c r="AA35" s="2903">
        <f t="shared" ref="AA35" si="146">IF(F35=0,0,ROUND(AVERAGE(F35:F48)/100,4))</f>
        <v>-8.0000000000000004E-4</v>
      </c>
      <c r="AB35" s="2903">
        <f t="shared" ref="AB35" si="147">IF(G35=0,0,ROUND(AVERAGE(G35:G48)/100,4))</f>
        <v>5.0000000000000001E-4</v>
      </c>
      <c r="AC35" s="2905"/>
      <c r="AD35" s="2028">
        <f t="shared" si="128"/>
        <v>-8.0000000000000004E-4</v>
      </c>
      <c r="AG35" s="3154">
        <f t="shared" si="129"/>
        <v>101.18</v>
      </c>
      <c r="AH35" s="3154">
        <f t="shared" si="130"/>
        <v>99.68</v>
      </c>
      <c r="AI35" s="3154">
        <f t="shared" si="131"/>
        <v>103.38000000000001</v>
      </c>
      <c r="AJ35" s="3156"/>
      <c r="AK35" s="3154">
        <f t="shared" si="132"/>
        <v>99.68</v>
      </c>
      <c r="AN35" s="3154">
        <f t="shared" ref="AN35:AN52" si="148">AN34/(1+E34/100)</f>
        <v>100.80645161290323</v>
      </c>
      <c r="AO35" s="3154">
        <f t="shared" ref="AO35" si="149">AO34/(1+F34/100)</f>
        <v>101.47133434804667</v>
      </c>
      <c r="AP35" s="3154">
        <f t="shared" ref="AP35" si="150">AP34/(1+G34/100)</f>
        <v>100.6238679814852</v>
      </c>
      <c r="AQ35" s="3154"/>
      <c r="AR35" s="3154">
        <f t="shared" ref="AR35" si="151">AR34/(1+I34/100)</f>
        <v>101.47133434804667</v>
      </c>
    </row>
    <row r="36" spans="1:44" s="2045" customFormat="1" ht="12.75">
      <c r="A36" s="2040" t="s">
        <v>3403</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101.11992337536687</v>
      </c>
      <c r="AO36" s="3154">
        <f t="shared" ref="AO36:AO52" si="159">AO35/(1+F35/100)</f>
        <v>102.52736622011383</v>
      </c>
      <c r="AP36" s="3154">
        <f t="shared" ref="AP36:AP52" si="160">AP35/(1+G35/100)</f>
        <v>100.59368987452285</v>
      </c>
      <c r="AQ36" s="3154"/>
      <c r="AR36" s="3154">
        <f t="shared" ref="AR36:AR52" si="161">AR35/(1+I35/100)</f>
        <v>102.52736622011383</v>
      </c>
    </row>
    <row r="37" spans="1:44" s="2045" customFormat="1" ht="12.75">
      <c r="A37" s="2040" t="s">
        <v>3404</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102.62856325521858</v>
      </c>
      <c r="AO37" s="3154">
        <f t="shared" si="159"/>
        <v>103.54207859029877</v>
      </c>
      <c r="AP37" s="3154">
        <f t="shared" si="160"/>
        <v>101.10934754701262</v>
      </c>
      <c r="AQ37" s="3154"/>
      <c r="AR37" s="3154">
        <f t="shared" si="161"/>
        <v>103.54207859029877</v>
      </c>
    </row>
    <row r="38" spans="1:44" s="2045" customFormat="1" ht="12.75">
      <c r="A38" s="2040" t="s">
        <v>3370</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103.25843973761805</v>
      </c>
      <c r="AO38" s="3154">
        <f t="shared" si="159"/>
        <v>104.28248422831984</v>
      </c>
      <c r="AP38" s="3154">
        <f t="shared" si="160"/>
        <v>102.00700922822097</v>
      </c>
      <c r="AQ38" s="3154"/>
      <c r="AR38" s="3154">
        <f t="shared" si="161"/>
        <v>104.28248422831984</v>
      </c>
    </row>
    <row r="39" spans="1:44" s="2045" customFormat="1" ht="12.75">
      <c r="A39" s="2906" t="s">
        <v>3374</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103.94447326114158</v>
      </c>
      <c r="AO39" s="3154">
        <f t="shared" si="159"/>
        <v>104.82758768427809</v>
      </c>
      <c r="AP39" s="3154">
        <f t="shared" si="160"/>
        <v>105.02111523547921</v>
      </c>
      <c r="AQ39" s="3154"/>
      <c r="AR39" s="3154">
        <f t="shared" si="161"/>
        <v>104.82758768427809</v>
      </c>
    </row>
    <row r="40" spans="1:44" s="2045" customFormat="1" ht="12.75">
      <c r="A40" s="2906" t="s">
        <v>3371</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104.2677031408783</v>
      </c>
      <c r="AO40" s="3154">
        <f t="shared" si="159"/>
        <v>105.23801594646932</v>
      </c>
      <c r="AP40" s="3154">
        <f t="shared" si="160"/>
        <v>103.74505110686478</v>
      </c>
      <c r="AQ40" s="3154"/>
      <c r="AR40" s="3154">
        <f t="shared" si="161"/>
        <v>105.23801594646932</v>
      </c>
    </row>
    <row r="41" spans="1:44" s="2045" customFormat="1" ht="12.75">
      <c r="A41" s="2906" t="s">
        <v>3369</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104.00768393105068</v>
      </c>
      <c r="AO41" s="3154">
        <f t="shared" si="159"/>
        <v>104.81874098253915</v>
      </c>
      <c r="AP41" s="3154">
        <f t="shared" si="160"/>
        <v>104.40278867552055</v>
      </c>
      <c r="AQ41" s="3154"/>
      <c r="AR41" s="3154">
        <f t="shared" si="161"/>
        <v>104.81874098253915</v>
      </c>
    </row>
    <row r="42" spans="1:44" s="2045" customFormat="1" ht="12.75">
      <c r="A42" s="2906" t="s">
        <v>3367</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103.9349294804144</v>
      </c>
      <c r="AO42" s="3154">
        <f t="shared" si="159"/>
        <v>104.72448894249092</v>
      </c>
      <c r="AP42" s="3154">
        <f t="shared" si="160"/>
        <v>104.37147723235086</v>
      </c>
      <c r="AQ42" s="3154"/>
      <c r="AR42" s="3154">
        <f t="shared" si="161"/>
        <v>104.72448894249092</v>
      </c>
    </row>
    <row r="43" spans="1:44" s="2045" customFormat="1" ht="12.75">
      <c r="A43" s="2906" t="s">
        <v>3366</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103.5724259894513</v>
      </c>
      <c r="AO43" s="3154">
        <f t="shared" si="159"/>
        <v>104.5467594514235</v>
      </c>
      <c r="AP43" s="3154">
        <f t="shared" si="160"/>
        <v>103.83155315593996</v>
      </c>
      <c r="AQ43" s="3154"/>
      <c r="AR43" s="3154">
        <f t="shared" si="161"/>
        <v>104.5467594514235</v>
      </c>
    </row>
    <row r="44" spans="1:44" s="2045" customFormat="1" ht="12.75">
      <c r="A44" s="2906" t="s">
        <v>3364</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103.05714028801125</v>
      </c>
      <c r="AO44" s="3154">
        <f t="shared" si="159"/>
        <v>104.07840662162619</v>
      </c>
      <c r="AP44" s="3154">
        <f t="shared" si="160"/>
        <v>102.91560427786695</v>
      </c>
      <c r="AQ44" s="3154"/>
      <c r="AR44" s="3154">
        <f t="shared" si="161"/>
        <v>104.07840662162619</v>
      </c>
    </row>
    <row r="45" spans="1:44" s="2045" customFormat="1" ht="12.75">
      <c r="A45" s="2906" t="s">
        <v>3363</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102.49342644257707</v>
      </c>
      <c r="AO45" s="3154">
        <f t="shared" si="159"/>
        <v>103.46794574174986</v>
      </c>
      <c r="AP45" s="3154">
        <f t="shared" si="160"/>
        <v>102.26113302649736</v>
      </c>
      <c r="AQ45" s="3154"/>
      <c r="AR45" s="3154">
        <f t="shared" si="161"/>
        <v>103.46794574174986</v>
      </c>
    </row>
    <row r="46" spans="1:44" s="2045" customFormat="1" ht="12.75">
      <c r="A46" s="2906" t="s">
        <v>3362</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102.03427221759789</v>
      </c>
      <c r="AO46" s="3154">
        <f t="shared" si="159"/>
        <v>103.26142289595795</v>
      </c>
      <c r="AP46" s="3154">
        <f t="shared" si="160"/>
        <v>101.87401178172679</v>
      </c>
      <c r="AQ46" s="3154"/>
      <c r="AR46" s="3154">
        <f t="shared" si="161"/>
        <v>103.26142289595795</v>
      </c>
    </row>
    <row r="47" spans="1:44" s="2045" customFormat="1" ht="12.75">
      <c r="A47" s="2906" t="s">
        <v>3352</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101.72908496270976</v>
      </c>
      <c r="AO47" s="3154">
        <f t="shared" si="159"/>
        <v>102.96283068696576</v>
      </c>
      <c r="AP47" s="3154">
        <f t="shared" si="160"/>
        <v>101.03541781387166</v>
      </c>
      <c r="AQ47" s="3154"/>
      <c r="AR47" s="3154">
        <f t="shared" si="161"/>
        <v>102.96283068696576</v>
      </c>
    </row>
    <row r="48" spans="1:44" s="2045" customFormat="1" ht="12.75">
      <c r="A48" s="2906" t="s">
        <v>2835</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101.84111018391206</v>
      </c>
      <c r="AO48" s="3154">
        <f t="shared" si="159"/>
        <v>103.09685660054646</v>
      </c>
      <c r="AP48" s="3154">
        <f t="shared" si="160"/>
        <v>100.50275322179613</v>
      </c>
      <c r="AQ48" s="3154"/>
      <c r="AR48" s="3154">
        <f t="shared" si="161"/>
        <v>103.09685660054646</v>
      </c>
    </row>
    <row r="49" spans="1:44" s="2045" customFormat="1" ht="12.75">
      <c r="A49" s="2906" t="s">
        <v>2836</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101.23370793629429</v>
      </c>
      <c r="AO49" s="3154">
        <f t="shared" si="159"/>
        <v>102.63499910457587</v>
      </c>
      <c r="AP49" s="3154">
        <f t="shared" si="160"/>
        <v>99.972896868393633</v>
      </c>
      <c r="AQ49" s="3154"/>
      <c r="AR49" s="3154">
        <f t="shared" si="161"/>
        <v>102.63499910457587</v>
      </c>
    </row>
    <row r="50" spans="1:44" s="2045" customFormat="1" ht="12.75">
      <c r="A50" s="2906" t="s">
        <v>2837</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100.649938294188</v>
      </c>
      <c r="AO50" s="3154">
        <f t="shared" si="159"/>
        <v>102.55295673918452</v>
      </c>
      <c r="AP50" s="3154">
        <f t="shared" si="160"/>
        <v>99.297672694073938</v>
      </c>
      <c r="AQ50" s="3154"/>
      <c r="AR50" s="3154">
        <f t="shared" si="161"/>
        <v>102.55295673918452</v>
      </c>
    </row>
    <row r="51" spans="1:44" s="2045" customFormat="1" ht="12.75">
      <c r="A51" s="2906" t="s">
        <v>2838</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100.1790965404479</v>
      </c>
      <c r="AO51" s="3154">
        <f t="shared" si="159"/>
        <v>102.26661023053903</v>
      </c>
      <c r="AP51" s="3154">
        <f t="shared" si="160"/>
        <v>98.402212559779926</v>
      </c>
      <c r="AQ51" s="3154"/>
      <c r="AR51" s="3154">
        <f t="shared" si="161"/>
        <v>102.26661023053903</v>
      </c>
    </row>
    <row r="52" spans="1:44" s="2929" customFormat="1" ht="14.25" thickBot="1">
      <c r="A52" s="2919" t="s">
        <v>2824</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99.631125351017303</v>
      </c>
      <c r="AO52" s="3161">
        <f t="shared" si="159"/>
        <v>101.79833787630803</v>
      </c>
      <c r="AP52" s="3161">
        <f t="shared" si="160"/>
        <v>97.331565341028622</v>
      </c>
      <c r="AQ52" s="3161"/>
      <c r="AR52" s="3161">
        <f t="shared" si="161"/>
        <v>101.79833787630803</v>
      </c>
    </row>
    <row r="53" spans="1:44" ht="14.25" thickTop="1"/>
    <row r="54" spans="1:44">
      <c r="A54" s="3144" t="s">
        <v>3377</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24" t="s">
        <v>452</v>
      </c>
      <c r="C1" s="3524"/>
      <c r="D1" s="3524"/>
      <c r="E1" s="3524"/>
      <c r="F1" s="3524"/>
      <c r="G1" s="3520" t="s">
        <v>453</v>
      </c>
      <c r="H1" s="3520"/>
      <c r="I1" s="3520"/>
      <c r="J1" s="3520"/>
      <c r="K1" s="3520"/>
      <c r="L1" s="3520"/>
      <c r="N1" s="3520" t="s">
        <v>454</v>
      </c>
      <c r="O1" s="3520"/>
      <c r="P1" s="3520"/>
      <c r="Q1" s="3520"/>
      <c r="S1" s="3520" t="s">
        <v>455</v>
      </c>
      <c r="T1" s="3520"/>
      <c r="U1" s="3520"/>
      <c r="V1" s="3520"/>
      <c r="X1" s="3519" t="s">
        <v>456</v>
      </c>
      <c r="Y1" s="3520"/>
      <c r="Z1" s="3520"/>
      <c r="AA1" s="3520"/>
      <c r="AB1" s="3520"/>
      <c r="AD1" s="3519" t="s">
        <v>457</v>
      </c>
      <c r="AE1" s="3520"/>
      <c r="AF1" s="3520"/>
      <c r="AG1" s="3520"/>
      <c r="AH1" s="352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2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2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2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2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2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2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2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2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2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2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2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2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2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2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2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2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2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2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2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2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2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2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2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2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2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2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2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2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2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2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2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2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2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2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2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2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2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2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2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2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2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2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2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2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2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2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2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2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2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2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2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2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2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2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2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2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2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2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2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2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2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2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2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2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2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2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2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2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532" t="s">
        <v>2839</v>
      </c>
      <c r="B1" s="3532"/>
      <c r="C1" s="3532"/>
      <c r="D1" s="3532"/>
      <c r="E1" s="3532"/>
      <c r="F1" s="3532"/>
      <c r="G1" s="3533"/>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530"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531"/>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7" t="str">
        <f>IF(项目基本情况!B9="房地产市场价值","估价结果一览表","结果表-2")</f>
        <v>结果表-2</v>
      </c>
      <c r="B1" s="3207"/>
      <c r="C1" s="3207"/>
      <c r="D1" s="3207"/>
      <c r="E1" s="3207"/>
      <c r="F1" s="3207"/>
      <c r="G1" s="3207"/>
      <c r="H1" s="3207"/>
      <c r="I1" s="3207"/>
    </row>
    <row r="2" spans="1:9" ht="30" customHeight="1" thickTop="1">
      <c r="A2" s="3208" t="s">
        <v>928</v>
      </c>
      <c r="B2" s="3208" t="s">
        <v>929</v>
      </c>
      <c r="C2" s="3208" t="s">
        <v>930</v>
      </c>
      <c r="D2" s="3208" t="str">
        <f>结果表!D116</f>
        <v>出让国有建设用地使用权价值</v>
      </c>
      <c r="E2" s="3208"/>
      <c r="F2" s="3208" t="str">
        <f>结果表!F116</f>
        <v>在建建筑物价值</v>
      </c>
      <c r="G2" s="3208"/>
      <c r="H2" s="3208" t="str">
        <f>IF(项目基本情况!B9="房地产市场价值","房地产市场价值","房地产价值")</f>
        <v>房地产价值</v>
      </c>
      <c r="I2" s="3208"/>
    </row>
    <row r="3" spans="1:9" ht="15">
      <c r="A3" s="3209"/>
      <c r="B3" s="3209"/>
      <c r="C3" s="3209"/>
      <c r="D3" s="801" t="s">
        <v>925</v>
      </c>
      <c r="E3" s="801" t="s">
        <v>931</v>
      </c>
      <c r="F3" s="801" t="s">
        <v>925</v>
      </c>
      <c r="G3" s="801" t="s">
        <v>926</v>
      </c>
      <c r="H3" s="801" t="s">
        <v>925</v>
      </c>
      <c r="I3" s="801" t="s">
        <v>926</v>
      </c>
    </row>
    <row r="4" spans="1:9" ht="15">
      <c r="A4" s="1403" t="str">
        <f>项目基本情况!S2</f>
        <v>房地产</v>
      </c>
      <c r="B4" s="801">
        <f>项目基本情况!C17</f>
        <v>16683.080000000002</v>
      </c>
      <c r="C4" s="801">
        <f>项目基本情况!C18</f>
        <v>6666.7</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9" t="s">
        <v>927</v>
      </c>
      <c r="B5" s="3209"/>
      <c r="C5" s="3209"/>
      <c r="D5" s="3209" t="e">
        <f ca="1">结果表!D119</f>
        <v>#REF!</v>
      </c>
      <c r="E5" s="3209"/>
      <c r="F5" s="3209" t="e">
        <f ca="1">结果表!F119</f>
        <v>#REF!</v>
      </c>
      <c r="G5" s="3209"/>
      <c r="H5" s="3209" t="e">
        <f ca="1">结果表!H119</f>
        <v>#REF!</v>
      </c>
      <c r="I5" s="3209"/>
    </row>
    <row r="6" spans="1:9" ht="15.75">
      <c r="A6" s="3210" t="str">
        <f>结果表!A120</f>
        <v>估价师知悉的法定优先受偿款</v>
      </c>
      <c r="B6" s="3210"/>
      <c r="C6" s="3210"/>
      <c r="D6" s="3210">
        <f>结果表!D120</f>
        <v>0</v>
      </c>
      <c r="E6" s="3210"/>
      <c r="F6" s="3210"/>
      <c r="G6" s="3210"/>
      <c r="H6" s="3210"/>
      <c r="I6" s="3210"/>
    </row>
    <row r="7" spans="1:9" ht="15">
      <c r="A7" s="3209" t="s">
        <v>927</v>
      </c>
      <c r="B7" s="3209"/>
      <c r="C7" s="3209"/>
      <c r="D7" s="3211" t="str">
        <f>结果表!D121</f>
        <v>零元整</v>
      </c>
      <c r="E7" s="3212"/>
      <c r="F7" s="3212"/>
      <c r="G7" s="3212"/>
      <c r="H7" s="3212"/>
      <c r="I7" s="3213"/>
    </row>
    <row r="8" spans="1:9" ht="15.75">
      <c r="A8" s="3210" t="str">
        <f>结果表!A122</f>
        <v>房地产抵押价值</v>
      </c>
      <c r="B8" s="3210"/>
      <c r="C8" s="3210"/>
      <c r="D8" s="3210" t="e">
        <f ca="1">结果表!D122</f>
        <v>#REF!</v>
      </c>
      <c r="E8" s="3210"/>
      <c r="F8" s="3210"/>
      <c r="G8" s="3210"/>
      <c r="H8" s="3210"/>
      <c r="I8" s="3210"/>
    </row>
    <row r="9" spans="1:9" ht="15">
      <c r="A9" s="3209" t="s">
        <v>927</v>
      </c>
      <c r="B9" s="3209"/>
      <c r="C9" s="3209"/>
      <c r="D9" s="3209" t="e">
        <f ca="1">结果表!D123</f>
        <v>#REF!</v>
      </c>
      <c r="E9" s="3209"/>
      <c r="F9" s="3209"/>
      <c r="G9" s="3209"/>
      <c r="H9" s="3209"/>
      <c r="I9" s="3209"/>
    </row>
    <row r="10" spans="1:9" ht="15.75">
      <c r="A10" s="3210" t="str">
        <f>结果表!A124</f>
        <v/>
      </c>
      <c r="B10" s="3210"/>
      <c r="C10" s="3210"/>
      <c r="D10" s="3210" t="str">
        <f>结果表!D124</f>
        <v>——</v>
      </c>
      <c r="E10" s="3210"/>
      <c r="F10" s="3210"/>
      <c r="G10" s="3210"/>
      <c r="H10" s="3210"/>
      <c r="I10" s="3210"/>
    </row>
    <row r="11" spans="1:9" ht="15">
      <c r="A11" s="3209" t="s">
        <v>927</v>
      </c>
      <c r="B11" s="3209"/>
      <c r="C11" s="3209"/>
      <c r="D11" s="3209" t="e">
        <f>结果表!D125</f>
        <v>#VALUE!</v>
      </c>
      <c r="E11" s="3209"/>
      <c r="F11" s="3209"/>
      <c r="G11" s="3209"/>
      <c r="H11" s="3209"/>
      <c r="I11" s="3209"/>
    </row>
    <row r="12" spans="1:9" ht="15.75">
      <c r="A12" s="3210" t="str">
        <f>结果表!A126</f>
        <v/>
      </c>
      <c r="B12" s="3210"/>
      <c r="C12" s="3210"/>
      <c r="D12" s="3210" t="str">
        <f>结果表!D126</f>
        <v>——</v>
      </c>
      <c r="E12" s="3210"/>
      <c r="F12" s="3210"/>
      <c r="G12" s="3210"/>
      <c r="H12" s="3210"/>
      <c r="I12" s="3210"/>
    </row>
    <row r="13" spans="1:9" ht="15.75" thickBot="1">
      <c r="A13" s="3214" t="s">
        <v>927</v>
      </c>
      <c r="B13" s="3214"/>
      <c r="C13" s="3214"/>
      <c r="D13" s="3214" t="e">
        <f>结果表!D127</f>
        <v>#VALUE!</v>
      </c>
      <c r="E13" s="3214"/>
      <c r="F13" s="3214"/>
      <c r="G13" s="3214"/>
      <c r="H13" s="3214"/>
      <c r="I13" s="3214"/>
    </row>
    <row r="14" spans="1:9" ht="15" thickTop="1">
      <c r="A14" s="3215" t="s">
        <v>932</v>
      </c>
      <c r="B14" s="3215"/>
      <c r="C14" s="3215"/>
      <c r="D14" s="3215"/>
      <c r="E14" s="3215"/>
      <c r="F14" s="3215"/>
      <c r="G14" s="3215"/>
      <c r="H14" s="3215"/>
      <c r="I14" s="3215"/>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45952</v>
      </c>
      <c r="D1" s="1217" t="s">
        <v>603</v>
      </c>
      <c r="E1" s="1212">
        <f>'数据-取费表'!B22</f>
        <v>1.5</v>
      </c>
      <c r="F1" s="1217" t="s">
        <v>604</v>
      </c>
      <c r="G1" s="1213">
        <f ca="1">IF(OR(C1&lt;C27,E1&lt;=1),INDIRECT("d"&amp;$K$1)/100,ROUND((D5+(E1-C5)*(D7-D5)/(C7-C5))/100,4))</f>
        <v>3.0599999999999999E-2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6" t="s">
        <v>949</v>
      </c>
      <c r="B1" s="3216"/>
      <c r="C1" s="3216"/>
      <c r="D1" s="3216"/>
    </row>
    <row r="2" spans="1:4" ht="18">
      <c r="A2" s="3217" t="s">
        <v>933</v>
      </c>
      <c r="B2" s="3217"/>
      <c r="C2" s="3217"/>
      <c r="D2" s="3217"/>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7" t="s">
        <v>939</v>
      </c>
      <c r="B6" s="3217"/>
      <c r="C6" s="3217"/>
      <c r="D6" s="3217"/>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8" t="s">
        <v>942</v>
      </c>
      <c r="B11" s="3219"/>
      <c r="C11" s="3219"/>
      <c r="D11" s="3219"/>
    </row>
    <row r="12" spans="1:4" ht="15.75">
      <c r="A12" s="32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20"/>
      <c r="C12" s="3220"/>
      <c r="D12" s="3220"/>
    </row>
    <row r="13" spans="1:4" ht="30" customHeight="1">
      <c r="A13" s="3219" t="str">
        <f>IF(项目基本情况!B8="抵押","3.抵押双方在办理抵押登记手续时，应使用本公司出具的正式《房地产评估报告》，特提醒报告使用者注意。","——")</f>
        <v>——</v>
      </c>
      <c r="B13" s="3220"/>
      <c r="C13" s="3220"/>
      <c r="D13" s="3220"/>
    </row>
    <row r="14" spans="1:4" ht="15.75" customHeight="1">
      <c r="A14" s="3219" t="str">
        <f>IF(项目基本情况!B8="抵押","4.本次评估估价师所知悉的法定优先受偿款情况说明如下：","——")</f>
        <v>——</v>
      </c>
      <c r="B14" s="3220"/>
      <c r="C14" s="3220"/>
      <c r="D14" s="3220"/>
    </row>
    <row r="15" spans="1:4" ht="42" customHeight="1">
      <c r="A15" s="3219" t="str">
        <f>IF(项目基本情况!B8="抵押","（1）"&amp;CONCATENATE(项目基本情况!L20,项目基本情况!L21,项目基本情况!L22),"——")</f>
        <v>——</v>
      </c>
      <c r="B15" s="3219"/>
      <c r="C15" s="3219"/>
      <c r="D15" s="3219"/>
    </row>
    <row r="16" spans="1:4" ht="30" customHeight="1">
      <c r="A16" s="3222" t="s">
        <v>943</v>
      </c>
      <c r="B16" s="3222"/>
      <c r="C16" s="3222"/>
      <c r="D16" s="3222"/>
    </row>
    <row r="17" spans="1:4" ht="144" customHeight="1">
      <c r="A17" s="3222" t="s">
        <v>944</v>
      </c>
      <c r="B17" s="3222"/>
      <c r="C17" s="3222"/>
      <c r="D17" s="3222"/>
    </row>
    <row r="18" spans="1:4" ht="15.75" customHeight="1">
      <c r="A18" s="3219" t="str">
        <f>IF(项目基本情况!B8="抵押",结果表!K120,"——")</f>
        <v>——</v>
      </c>
      <c r="B18" s="3219"/>
      <c r="C18" s="3219"/>
      <c r="D18" s="3219"/>
    </row>
    <row r="19" spans="1:4" ht="46.5" customHeight="1">
      <c r="A19" s="32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9"/>
      <c r="C19" s="3219"/>
      <c r="D19" s="3219"/>
    </row>
    <row r="20" spans="1:4" ht="57.75" customHeight="1">
      <c r="A20" s="32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9"/>
      <c r="C20" s="3219"/>
      <c r="D20" s="3219"/>
    </row>
    <row r="21" spans="1:4" ht="57.75" customHeight="1">
      <c r="A21" s="32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23"/>
      <c r="C21" s="3223"/>
      <c r="D21" s="3223"/>
    </row>
    <row r="22" spans="1:4" ht="18.75" customHeight="1">
      <c r="A22" s="3224" t="s">
        <v>945</v>
      </c>
      <c r="B22" s="3224"/>
      <c r="C22" s="3224"/>
      <c r="D22" s="3224"/>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1">
        <v>42551</v>
      </c>
      <c r="D31" s="32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30" t="s">
        <v>956</v>
      </c>
      <c r="B15" s="3225" t="s">
        <v>109</v>
      </c>
      <c r="C15" s="3226"/>
    </row>
    <row r="16" spans="1:7" ht="13.5">
      <c r="A16" s="3231"/>
      <c r="B16" s="3225" t="s">
        <v>42</v>
      </c>
      <c r="C16" s="3226"/>
    </row>
    <row r="17" spans="1:3" ht="13.5">
      <c r="A17" s="3231"/>
      <c r="B17" s="3228" t="s">
        <v>957</v>
      </c>
      <c r="C17" s="1429" t="s">
        <v>956</v>
      </c>
    </row>
    <row r="18" spans="1:3" ht="13.5">
      <c r="A18" s="3231"/>
      <c r="B18" s="3228"/>
      <c r="C18" s="1429" t="s">
        <v>958</v>
      </c>
    </row>
    <row r="19" spans="1:3" ht="13.5">
      <c r="A19" s="3231"/>
      <c r="B19" s="3228"/>
      <c r="C19" s="1429" t="s">
        <v>959</v>
      </c>
    </row>
    <row r="20" spans="1:3" ht="13.5">
      <c r="A20" s="3232"/>
      <c r="B20" s="3227" t="s">
        <v>960</v>
      </c>
      <c r="C20" s="3226"/>
    </row>
    <row r="21" spans="1:3" ht="13.5">
      <c r="A21" s="1430" t="s">
        <v>961</v>
      </c>
      <c r="B21" s="1431"/>
      <c r="C21" s="1432"/>
    </row>
    <row r="22" spans="1:3" ht="13.5">
      <c r="A22" s="3229" t="s">
        <v>962</v>
      </c>
      <c r="B22" s="3227" t="s">
        <v>963</v>
      </c>
      <c r="C22" s="3226"/>
    </row>
    <row r="23" spans="1:3" ht="13.5">
      <c r="A23" s="3229"/>
      <c r="B23" s="3227" t="s">
        <v>964</v>
      </c>
      <c r="C23" s="3226"/>
    </row>
    <row r="24" spans="1:3" ht="13.5">
      <c r="A24" s="3229"/>
      <c r="B24" s="3227" t="s">
        <v>965</v>
      </c>
      <c r="C24" s="3226"/>
    </row>
    <row r="25" spans="1:3" ht="13.5">
      <c r="A25" s="3229"/>
      <c r="B25" s="3228" t="s">
        <v>966</v>
      </c>
      <c r="C25" s="1429" t="s">
        <v>967</v>
      </c>
    </row>
    <row r="26" spans="1:3" ht="13.5">
      <c r="A26" s="3229"/>
      <c r="B26" s="3228"/>
      <c r="C26" s="1429" t="s">
        <v>968</v>
      </c>
    </row>
    <row r="27" spans="1:3" ht="13.5">
      <c r="A27" s="3229"/>
      <c r="B27" s="3228"/>
      <c r="C27" s="1429" t="s">
        <v>969</v>
      </c>
    </row>
    <row r="28" spans="1:3" ht="13.5">
      <c r="A28" s="3229"/>
      <c r="B28" s="3228"/>
      <c r="C28" s="1429" t="s">
        <v>970</v>
      </c>
    </row>
    <row r="29" spans="1:3" ht="13.5">
      <c r="A29" s="3229"/>
      <c r="B29" s="3228"/>
      <c r="C29" s="1429" t="s">
        <v>971</v>
      </c>
    </row>
    <row r="30" spans="1:3" ht="13.5">
      <c r="A30" s="3229"/>
      <c r="B30" s="3228"/>
      <c r="C30" s="1429" t="s">
        <v>972</v>
      </c>
    </row>
    <row r="31" spans="1:3" ht="13.5">
      <c r="A31" s="3229"/>
      <c r="B31" s="3228"/>
      <c r="C31" s="1429" t="s">
        <v>973</v>
      </c>
    </row>
    <row r="32" spans="1:3" ht="13.5">
      <c r="A32" s="3229"/>
      <c r="B32" s="3228"/>
      <c r="C32" s="1429" t="s">
        <v>974</v>
      </c>
    </row>
    <row r="33" spans="1:3" ht="13.5">
      <c r="A33" s="3229"/>
      <c r="B33" s="3228"/>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45954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33" t="s">
        <v>2160</v>
      </c>
      <c r="B17" s="3233"/>
      <c r="C17" s="3233"/>
      <c r="D17" s="3233"/>
      <c r="E17" s="3233"/>
      <c r="F17" s="3233"/>
      <c r="G17" s="3233"/>
      <c r="H17" s="3233"/>
    </row>
    <row r="18" spans="1:8" ht="24" customHeight="1">
      <c r="A18" s="3234" t="s">
        <v>2161</v>
      </c>
      <c r="B18" s="3234"/>
      <c r="C18" s="3234"/>
      <c r="D18" s="2160"/>
      <c r="E18" s="3235" t="s">
        <v>2162</v>
      </c>
      <c r="F18" s="3234"/>
      <c r="G18" s="3234"/>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成本分析</vt:lpstr>
      <vt:lpstr>结果</vt:lpstr>
      <vt:lpstr>比较法-仓储</vt:lpstr>
      <vt:lpstr>Sheet4</vt:lpstr>
      <vt:lpstr>成本法 (元)</vt:lpstr>
      <vt:lpstr>基准地价修正</vt:lpstr>
      <vt:lpstr>Sheet2</vt:lpstr>
      <vt:lpstr>Sheet1</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皓源 许</cp:lastModifiedBy>
  <cp:lastPrinted>2017-03-01T09:15:43Z</cp:lastPrinted>
  <dcterms:created xsi:type="dcterms:W3CDTF">2015-07-13T07:17:23Z</dcterms:created>
  <dcterms:modified xsi:type="dcterms:W3CDTF">2025-10-24T08:41:56Z</dcterms:modified>
</cp:coreProperties>
</file>