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D26" i="43" s="1"/>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5" i="62"/>
  <c r="A14" i="62"/>
  <c r="A13" i="62"/>
  <c r="B59" i="72" s="1"/>
  <c r="A19" i="62"/>
  <c r="B65" i="72" s="1"/>
  <c r="A12" i="62"/>
  <c r="B58" i="72" s="1"/>
  <c r="A120" i="9"/>
  <c r="K120" i="9" s="1"/>
  <c r="A18" i="62" s="1"/>
  <c r="B64" i="72" s="1"/>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E109" i="9"/>
  <c r="A124" i="9"/>
  <c r="A10" i="52" s="1"/>
  <c r="B55" i="72" s="1"/>
  <c r="B44" i="72"/>
  <c r="B42" i="72"/>
  <c r="B69" i="72"/>
  <c r="B68" i="72"/>
  <c r="B63" i="72"/>
  <c r="B62" i="72"/>
  <c r="B16" i="72"/>
  <c r="B60" i="72"/>
  <c r="B66" i="72"/>
  <c r="B10" i="72"/>
  <c r="C53" i="10"/>
  <c r="B51" i="10"/>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s="1"/>
  <c r="B11" i="72" s="1"/>
  <c r="S1" i="4"/>
  <c r="B1" i="4"/>
  <c r="B37" i="48" s="1"/>
  <c r="B2" i="72" s="1"/>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R35" i="4"/>
  <c r="Q35" i="4"/>
  <c r="P35" i="4"/>
  <c r="O35" i="4"/>
  <c r="N35" i="4"/>
  <c r="M35" i="4"/>
  <c r="L35" i="4"/>
  <c r="K34" i="4"/>
  <c r="T34" i="4"/>
  <c r="G11" i="1"/>
  <c r="I15" i="4"/>
  <c r="H15" i="4"/>
  <c r="G15" i="4"/>
  <c r="E15" i="4"/>
  <c r="D15" i="4"/>
  <c r="F7" i="1"/>
  <c r="L21" i="4"/>
  <c r="F19" i="4"/>
  <c r="F2" i="52"/>
  <c r="B50" i="72"/>
  <c r="D2" i="52"/>
  <c r="B46" i="72"/>
  <c r="B8" i="53"/>
  <c r="B23" i="72"/>
  <c r="L4" i="9"/>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C28"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D124" i="9" s="1"/>
  <c r="H110" i="9"/>
  <c r="D18" i="53" s="1"/>
  <c r="B35" i="72" s="1"/>
  <c r="D16" i="53"/>
  <c r="B34" i="72" s="1"/>
  <c r="H112" i="9"/>
  <c r="D21" i="53"/>
  <c r="B39" i="72" s="1"/>
  <c r="H111" i="9"/>
  <c r="D126" i="9" s="1"/>
  <c r="D19" i="53"/>
  <c r="B38" i="72" s="1"/>
  <c r="D20" i="53"/>
  <c r="B40" i="72" s="1"/>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B11" i="76"/>
  <c r="M8" i="15"/>
  <c r="F13" i="67"/>
  <c r="C76" i="15"/>
  <c r="F42" i="15"/>
  <c r="E11" i="76"/>
  <c r="F40" i="67"/>
  <c r="AO11" i="1"/>
  <c r="F4" i="73"/>
  <c r="B9" i="76"/>
  <c r="M23" i="67"/>
  <c r="M22" i="15"/>
  <c r="E13" i="76"/>
  <c r="F5" i="73"/>
  <c r="E12" i="76"/>
  <c r="F6" i="67"/>
  <c r="B13" i="76"/>
  <c r="M27" i="15"/>
  <c r="F38" i="15"/>
  <c r="F16" i="15"/>
  <c r="D20" i="9"/>
  <c r="F7" i="67"/>
  <c r="F8" i="15"/>
  <c r="D7" i="73"/>
  <c r="M6" i="67"/>
  <c r="F20" i="31"/>
  <c r="F38" i="67"/>
  <c r="M23" i="15"/>
  <c r="M8" i="67"/>
  <c r="F37" i="15"/>
  <c r="M6" i="15"/>
  <c r="J15" i="15"/>
  <c r="D5" i="73"/>
  <c r="E8" i="76"/>
  <c r="M29" i="15"/>
  <c r="AO10" i="1"/>
  <c r="F43" i="67"/>
  <c r="M28" i="15"/>
  <c r="AO13" i="1"/>
  <c r="F40" i="15"/>
  <c r="F41" i="15"/>
  <c r="D2" i="37"/>
  <c r="D2" i="36"/>
  <c r="F3" i="73"/>
  <c r="AO7" i="1"/>
  <c r="F13" i="15"/>
  <c r="D34" i="9"/>
  <c r="M9" i="15"/>
  <c r="D2" i="34"/>
  <c r="AO12" i="1"/>
  <c r="L48" i="15"/>
  <c r="E7" i="76"/>
  <c r="D10" i="52" l="1"/>
  <c r="D125" i="9"/>
  <c r="D11" i="52" s="1"/>
  <c r="H14" i="74"/>
  <c r="B7" i="74" s="1"/>
  <c r="I14" i="74"/>
  <c r="B8" i="74" s="1"/>
  <c r="D127" i="9"/>
  <c r="D13" i="52" s="1"/>
  <c r="D12" i="52"/>
  <c r="D17" i="53"/>
  <c r="B36" i="72" s="1"/>
  <c r="B13" i="53"/>
  <c r="B29" i="72" s="1"/>
  <c r="A6" i="52"/>
  <c r="B57" i="72"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Q70" i="15"/>
  <c r="M21" i="15"/>
  <c r="F35" i="15"/>
  <c r="F35" i="67"/>
  <c r="M21" i="67"/>
  <c r="C37" i="15" l="1"/>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3" i="9"/>
  <c r="D52" i="9"/>
  <c r="H4" i="52"/>
  <c r="C104" i="9"/>
  <c r="C105" i="9"/>
  <c r="I4" i="52"/>
  <c r="F14" i="74"/>
  <c r="E14" i="74"/>
  <c r="C6" i="74"/>
  <c r="D6" i="74"/>
  <c r="N58" i="9"/>
  <c r="P57" i="9"/>
  <c r="D5" i="74"/>
  <c r="D14" i="74"/>
  <c r="B5" i="74"/>
  <c r="C5" i="74"/>
  <c r="N60" i="9"/>
  <c r="N61" i="9"/>
  <c r="N59" i="9"/>
  <c r="M54" i="9"/>
  <c r="B30" i="72"/>
  <c r="D8" i="52"/>
  <c r="D54" i="9"/>
  <c r="B53" i="72"/>
  <c r="L65" i="9"/>
  <c r="M65" i="9"/>
  <c r="C78" i="9"/>
  <c r="C73" i="9"/>
  <c r="L66" i="9"/>
  <c r="M66" i="9"/>
  <c r="D123" i="9"/>
  <c r="D9" i="52"/>
  <c r="B22" i="72"/>
  <c r="F119" i="9"/>
  <c r="F5" i="52"/>
  <c r="C81" i="9"/>
  <c r="D56" i="9"/>
  <c r="L64" i="9"/>
  <c r="M64" i="9"/>
  <c r="L67" i="9"/>
  <c r="M67" i="9"/>
  <c r="B20" i="72"/>
  <c r="D6" i="53"/>
  <c r="B48" i="72"/>
  <c r="D58" i="9"/>
  <c r="N69" i="9"/>
  <c r="M55" i="9"/>
  <c r="B47" i="72"/>
  <c r="B31" i="72"/>
  <c r="E4" i="52"/>
  <c r="M48" i="9"/>
  <c r="D5" i="53"/>
  <c r="D13" i="53"/>
  <c r="D14" i="53"/>
  <c r="B32" i="72"/>
  <c r="H119" i="9"/>
  <c r="H5" i="52"/>
  <c r="F4" i="52"/>
  <c r="B51" i="72"/>
  <c r="F118" i="9"/>
  <c r="G118" i="9"/>
  <c r="G4" i="52"/>
  <c r="B52" i="72"/>
  <c r="C93" i="9"/>
  <c r="C86" i="9"/>
  <c r="C68" i="9"/>
  <c r="C67" i="9"/>
  <c r="D59" i="9"/>
  <c r="D5" i="52"/>
  <c r="B49" i="72"/>
  <c r="B21" i="72"/>
  <c r="L68" i="9"/>
  <c r="M68" i="9"/>
  <c r="D122" i="9"/>
  <c r="G14" i="74"/>
  <c r="B6" i="74"/>
  <c r="H102" i="9"/>
  <c r="D7" i="53"/>
  <c r="E96" i="9"/>
  <c r="E97" i="9"/>
  <c r="M49" i="9"/>
  <c r="L63" i="9"/>
  <c r="M63" i="9"/>
  <c r="M69" i="9"/>
  <c r="C64" i="9"/>
  <c r="C63" i="9"/>
  <c r="D4" i="52"/>
  <c r="E118" i="9"/>
  <c r="D118" i="9"/>
  <c r="D119" i="9"/>
  <c r="H107" i="9"/>
  <c r="H108" i="9"/>
  <c r="D15" i="53"/>
  <c r="D55" i="9"/>
  <c r="M53" i="9"/>
  <c r="N57" i="9"/>
  <c r="C97" i="9"/>
  <c r="C85" i="9"/>
  <c r="C95" i="9"/>
  <c r="C96"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<sst xmlns="http://schemas.openxmlformats.org/spreadsheetml/2006/main" count="7730" uniqueCount="3115">
  <si>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</si>
  <si>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</si>
  <si>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</si>
  <si>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</si>
  <si>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</si>
  <si>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</si>
  <si>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</si>
  <si>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</si>
  <si>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</si>
  <si>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</si>
  <si>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</si>
  <si>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</si>
  <si>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</si>
  <si>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</si>
  <si>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</si>
  <si>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</si>
  <si>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</si>
  <si>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</si>
  <si>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</si>
  <si>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</si>
  <si>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</si>
  <si>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</si>
  <si>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</si>
  <si>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</si>
  <si>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</si>
  <si>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</si>
  <si>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</si>
  <si>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</si>
  <si>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</si>
  <si>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</si>
  <si>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</si>
  <si>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</si>
  <si>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</si>
  <si>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</si>
  <si>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</si>
  <si>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</si>
  <si>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</si>
  <si>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</si>
  <si>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</si>
  <si>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</si>
  <si>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</si>
  <si>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</si>
  <si>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</si>
  <si>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</si>
  <si>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</si>
  <si>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</si>
  <si>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</si>
  <si>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</si>
  <si>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</si>
  <si>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</si>
  <si>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</si>
  <si>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</si>
  <si>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</si>
  <si>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</si>
  <si>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</si>
  <si>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</si>
  <si>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</si>
  <si>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</si>
  <si>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</si>
  <si>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</si>
  <si>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</si>
  <si>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</si>
  <si>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</si>
  <si>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</si>
  <si>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</si>
  <si>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</si>
  <si>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</si>
  <si>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</si>
  <si>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</si>
  <si>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</si>
  <si>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</si>
  <si>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</si>
  <si>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</si>
  <si>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</si>
  <si>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</si>
  <si>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</si>
  <si>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</si>
  <si>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</si>
  <si>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</si>
  <si>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</si>
  <si>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</si>
  <si>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</si>
  <si>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</si>
  <si>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</si>
  <si>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</si>
  <si>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</si>
  <si>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</si>
  <si>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</si>
  <si>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</si>
  <si>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</si>
  <si>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</si>
  <si>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</si>
  <si>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</si>
  <si>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</si>
  <si>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</si>
  <si>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</si>
  <si>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</si>
  <si>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</si>
  <si>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</si>
  <si>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</si>
  <si>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</si>
  <si>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</si>
  <si>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</si>
  <si>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</si>
  <si>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</si>
  <si>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</si>
  <si>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</si>
  <si>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</si>
  <si>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</si>
  <si>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</si>
  <si>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</si>
  <si>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</si>
  <si>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</si>
  <si>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</si>
  <si>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</si>
  <si>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</si>
  <si>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</si>
  <si>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</si>
  <si>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</si>
  <si>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</si>
  <si>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</si>
  <si>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</si>
  <si>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</si>
  <si>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</si>
  <si>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</si>
  <si>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</si>
  <si>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</si>
  <si>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</si>
  <si>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</si>
  <si>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</si>
  <si>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</si>
  <si>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</si>
  <si>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</si>
  <si>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</si>
  <si>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</si>
  <si>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</si>
  <si>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</si>
  <si>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</si>
  <si>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</si>
  <si>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</si>
  <si>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</si>
  <si>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</si>
  <si>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</si>
  <si>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</si>
  <si>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</si>
  <si>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</si>
  <si>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</si>
  <si>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</si>
  <si>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</si>
  <si>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</si>
  <si>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</si>
  <si>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</si>
  <si>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</si>
  <si>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</si>
  <si>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</si>
  <si>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</si>
  <si>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</si>
  <si>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</si>
  <si>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</si>
  <si>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</si>
  <si>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</si>
  <si>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</si>
  <si>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</si>
  <si>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</si>
  <si>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</si>
  <si>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</si>
  <si>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</si>
  <si>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</si>
  <si>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</si>
  <si>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</si>
  <si>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</si>
  <si>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</si>
  <si>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</si>
  <si>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</si>
  <si>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</si>
  <si>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</si>
  <si>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</si>
  <si>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</si>
  <si>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</si>
  <si>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</si>
  <si>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</si>
  <si>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</si>
  <si>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</si>
  <si>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</si>
  <si>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</si>
  <si>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</si>
  <si>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</si>
  <si>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</si>
  <si>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</si>
  <si>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</si>
  <si>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</si>
  <si>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</si>
  <si>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</si>
  <si>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</si>
  <si>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</si>
  <si>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</si>
  <si>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</si>
  <si>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</si>
  <si>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</si>
  <si>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</si>
  <si>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</si>
  <si>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</si>
  <si>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</si>
  <si>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</si>
  <si>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</si>
  <si>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</si>
  <si>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</si>
  <si>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</si>
  <si>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</si>
  <si>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</si>
  <si>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</si>
  <si>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</si>
  <si>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</si>
  <si>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</si>
  <si>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</si>
  <si>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</si>
  <si>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</si>
  <si>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</si>
  <si>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</si>
  <si>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</si>
  <si>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</si>
  <si>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</si>
  <si>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</si>
  <si>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</si>
  <si>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</si>
  <si>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</si>
  <si>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</si>
  <si>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</si>
  <si>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</si>
  <si>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</si>
  <si>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</si>
  <si>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</si>
  <si>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</si>
  <si>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</si>
  <si>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</si>
  <si>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</si>
  <si>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</si>
  <si>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</si>
  <si>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</si>
  <si>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</si>
  <si>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</si>
  <si>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</si>
  <si>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</si>
  <si>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</si>
  <si>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</si>
  <si>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</si>
  <si>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</si>
  <si>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</si>
  <si>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</si>
  <si>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</si>
  <si>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</si>
  <si>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</si>
  <si>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</si>
  <si>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</si>
  <si>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</si>
  <si>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</si>
  <si>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</si>
  <si>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</si>
  <si>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</si>
  <si>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</si>
  <si>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</si>
  <si>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</si>
  <si>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</si>
  <si>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</si>
  <si>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</si>
  <si>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</si>
  <si>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</si>
  <si>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</si>
  <si>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</si>
  <si>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</si>
  <si>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</si>
  <si>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</si>
  <si>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</si>
  <si>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</si>
  <si>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</si>
  <si>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</si>
  <si>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</si>
  <si>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</si>
  <si>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</si>
  <si>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</si>
  <si>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</si>
  <si>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</si>
  <si>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</si>
  <si>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</si>
  <si>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</si>
  <si>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</si>
  <si>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</si>
  <si>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</si>
  <si>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</si>
  <si>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</si>
  <si>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</si>
  <si>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</si>
  <si>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</si>
  <si>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</si>
  <si>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</si>
  <si>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</si>
  <si>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</si>
  <si>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</si>
  <si>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</si>
  <si>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</si>
  <si>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</si>
  <si>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</si>
  <si>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</si>
  <si>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</si>
  <si>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</si>
  <si>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</si>
  <si>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</si>
  <si>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</si>
  <si>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</si>
  <si>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</si>
  <si>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</si>
  <si>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</si>
  <si>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</si>
  <si>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</si>
  <si>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</si>
  <si>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</si>
  <si>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</si>
  <si>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</si>
  <si>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</si>
  <si>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</si>
  <si>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</si>
  <si>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</si>
  <si>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</si>
  <si>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</si>
  <si>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</si>
  <si>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</si>
  <si>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</si>
  <si>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</si>
  <si>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</si>
  <si>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</si>
  <si>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</si>
  <si>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</si>
  <si>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</si>
  <si>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</si>
  <si>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</si>
  <si>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</si>
  <si>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</si>
  <si>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</si>
  <si>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</si>
  <si>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</si>
  <si>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</si>
  <si>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</si>
  <si>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</si>
  <si>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</si>
  <si>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</si>
  <si>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</si>
  <si>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</si>
  <si>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</si>
  <si>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</si>
  <si>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</si>
  <si>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</si>
  <si>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</si>
  <si>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</si>
  <si>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</si>
  <si>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</si>
  <si>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</si>
  <si>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</si>
  <si>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</si>
  <si>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</si>
  <si>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</si>
  <si>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</si>
  <si>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</si>
  <si>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</si>
  <si>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</si>
  <si>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</si>
  <si>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</si>
  <si>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</si>
  <si>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</si>
  <si>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</si>
  <si>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</si>
  <si>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</si>
  <si>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</si>
  <si>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</si>
  <si>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</si>
  <si>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</si>
  <si>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</si>
  <si>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</si>
  <si>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</si>
  <si>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</si>
  <si>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</si>
  <si>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</si>
  <si>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</si>
  <si>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</si>
  <si>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</si>
  <si>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</si>
  <si>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</si>
  <si>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</si>
  <si>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</si>
  <si>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</si>
  <si>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</si>
  <si>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</si>
  <si>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</si>
  <si>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</si>
  <si>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</si>
  <si>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</si>
  <si>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</si>
  <si>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</si>
  <si>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</si>
  <si>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</si>
  <si>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</si>
  <si>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</si>
  <si>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</si>
  <si>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</si>
  <si>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</si>
  <si>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</si>
  <si>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</si>
  <si>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</si>
  <si>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</si>
  <si>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</si>
  <si>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</si>
  <si>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</si>
  <si>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</si>
  <si>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</si>
  <si>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</si>
  <si>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</si>
  <si>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</si>
  <si>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</si>
  <si>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</si>
  <si>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</si>
  <si>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</si>
  <si>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</si>
  <si>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</si>
  <si>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</si>
  <si>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</si>
  <si>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</si>
  <si>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</si>
  <si>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</si>
  <si>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</si>
  <si>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</si>
  <si>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</si>
  <si>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</si>
  <si>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</si>
  <si>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</si>
  <si>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</si>
  <si>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</si>
  <si>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</si>
  <si>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</si>
  <si>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</si>
  <si>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</si>
  <si>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</si>
  <si>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</si>
  <si>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</si>
  <si>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</si>
  <si>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</si>
  <si>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</si>
  <si>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</si>
  <si>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</si>
  <si>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</si>
  <si>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</si>
  <si>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</si>
  <si>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</si>
  <si>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</si>
  <si>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</si>
  <si>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</si>
  <si>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</si>
  <si>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</si>
  <si>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</si>
  <si>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</si>
  <si>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</si>
  <si>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</si>
  <si>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</si>
  <si>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</si>
  <si>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</si>
  <si>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</si>
  <si>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</si>
  <si>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</si>
  <si>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</si>
  <si>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</si>
  <si>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</si>
  <si>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</si>
  <si>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</si>
  <si>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</si>
  <si>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</si>
  <si>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</si>
  <si>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</si>
  <si>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</si>
  <si>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</si>
  <si>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</si>
  <si>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</si>
  <si>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</si>
  <si>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</si>
  <si>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</si>
  <si>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</si>
  <si>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</si>
  <si>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</si>
  <si>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</si>
  <si>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</si>
  <si>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</si>
  <si>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</si>
  <si>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</si>
  <si>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</si>
  <si>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</si>
  <si>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</si>
  <si>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</si>
  <si>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</si>
  <si>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</si>
  <si>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</si>
  <si>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</si>
  <si>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</si>
  <si>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</si>
  <si>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</si>
  <si>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</si>
  <si>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</si>
  <si>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</si>
  <si>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</si>
  <si>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</si>
  <si>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</si>
  <si>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</si>
  <si>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</si>
  <si>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</si>
  <si>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</si>
  <si>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</si>
  <si>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</si>
  <si>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</si>
  <si>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</si>
  <si>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</si>
  <si>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</si>
  <si>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</si>
  <si>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</si>
  <si>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</si>
  <si>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</si>
  <si>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</si>
  <si>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</si>
  <si>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</si>
  <si>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</si>
  <si>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</si>
  <si>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</si>
  <si>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</si>
  <si>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</si>
  <si>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</si>
  <si>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</si>
  <si>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</si>
  <si>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</si>
  <si>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</si>
  <si>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</si>
  <si>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</si>
  <si>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</si>
  <si>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</si>
  <si>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</si>
  <si>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</si>
  <si>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</si>
  <si>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</si>
  <si>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</si>
  <si>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</si>
  <si>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</si>
  <si>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</si>
  <si>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</si>
  <si>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</si>
  <si>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</si>
  <si>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</si>
  <si>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</si>
  <si>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</si>
  <si>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</si>
  <si>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</si>
  <si>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</si>
  <si>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</si>
  <si>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</si>
  <si>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</si>
  <si>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</si>
  <si>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</si>
  <si>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</si>
  <si>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</si>
  <si>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</si>
  <si>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</si>
  <si>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</si>
  <si>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</si>
  <si>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</si>
  <si>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</si>
  <si>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</si>
  <si>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</si>
  <si>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</si>
  <si>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</si>
  <si>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</si>
  <si>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</si>
  <si>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</si>
  <si>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</si>
  <si>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</si>
  <si>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</si>
  <si>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</si>
  <si>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</si>
  <si>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</si>
  <si>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</si>
  <si>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</si>
  <si>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</si>
  <si>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</si>
  <si>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</si>
  <si>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</si>
  <si>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</si>
  <si>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</si>
  <si>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</si>
  <si>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</si>
  <si>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</si>
  <si>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</si>
  <si>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</si>
  <si>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</si>
  <si>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</si>
  <si>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</si>
  <si>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</si>
  <si>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</si>
  <si>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</si>
  <si>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</si>
  <si>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</si>
  <si>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</si>
  <si>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</si>
  <si>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</si>
  <si>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</si>
  <si>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</si>
  <si>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</si>
  <si>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</si>
  <si>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</si>
  <si>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</si>
  <si>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</si>
  <si>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</si>
  <si>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</si>
  <si>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</si>
  <si>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</si>
  <si>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</si>
  <si>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</si>
  <si>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</si>
  <si>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</si>
  <si>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</si>
  <si>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</si>
  <si>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</si>
  <si>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</si>
  <si>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</si>
  <si>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</si>
  <si>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</si>
  <si>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</si>
  <si>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</si>
  <si>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</si>
  <si>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</si>
  <si>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</si>
  <si>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</si>
  <si>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</si>
  <si>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</si>
  <si>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</si>
  <si>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</si>
  <si>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</si>
  <si>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</si>
  <si>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</si>
  <si>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</si>
  <si>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</si>
  <si>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</si>
  <si>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</si>
  <si>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</si>
  <si>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</si>
  <si>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</si>
  <si>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</si>
  <si>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</si>
  <si>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</si>
  <si>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</si>
  <si>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</si>
  <si>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</si>
  <si>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</si>
  <si>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</si>
  <si>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</si>
  <si>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</si>
  <si>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</si>
  <si>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</si>
  <si>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</si>
  <si>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</si>
  <si>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</si>
  <si>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</si>
  <si>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</si>
  <si>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</si>
  <si>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</si>
  <si>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</si>
  <si>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</si>
  <si>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</si>
  <si>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</si>
  <si>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</si>
  <si>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</si>
  <si>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</si>
  <si>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</si>
  <si>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</si>
  <si>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</si>
  <si>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</si>
  <si>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</si>
  <si>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</si>
  <si>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</si>
  <si>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</si>
  <si>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</si>
  <si>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</si>
  <si>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</si>
  <si>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</si>
  <si>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</si>
  <si>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</si>
  <si>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</si>
  <si>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</si>
  <si>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</si>
  <si>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</si>
  <si>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</si>
  <si>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</si>
  <si>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</si>
  <si>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</si>
  <si>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</si>
  <si>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</si>
  <si>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</si>
  <si>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</si>
  <si>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</si>
  <si>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</si>
  <si>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</si>
  <si>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</si>
  <si>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</si>
  <si>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</si>
  <si>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</si>
  <si>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</si>
  <si>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</si>
  <si>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</si>
  <si>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</si>
  <si>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</si>
  <si>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</si>
  <si>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</si>
  <si>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</si>
  <si>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</si>
  <si>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</si>
  <si>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</si>
  <si>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</si>
  <si>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</si>
  <si>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</si>
  <si>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</si>
  <si>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</si>
  <si>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</si>
  <si>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</si>
  <si>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</si>
  <si>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</si>
  <si>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</si>
  <si>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</si>
  <si>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</si>
  <si>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</si>
  <si>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</si>
  <si>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</si>
  <si>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</si>
  <si>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</si>
  <si>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</si>
  <si>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</si>
  <si>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</si>
  <si>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</si>
  <si>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</si>
  <si>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</si>
  <si>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</si>
  <si>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</si>
  <si>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</si>
  <si>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</si>
  <si>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</si>
  <si>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</si>
  <si>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</si>
  <si>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</si>
  <si>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</si>
  <si>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</si>
  <si>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</si>
  <si>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</si>
  <si>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</si>
  <si>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</si>
  <si>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</si>
  <si>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</si>
  <si>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</si>
  <si>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</si>
  <si>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</si>
  <si>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</si>
  <si>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</si>
  <si>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</si>
  <si>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</si>
  <si>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</si>
  <si>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</si>
  <si>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</si>
  <si>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</si>
  <si>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</si>
  <si>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</si>
  <si>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</si>
  <si>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</si>
  <si>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</si>
  <si>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</si>
  <si>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</si>
  <si>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</si>
  <si>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</si>
  <si>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</si>
  <si>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</si>
  <si>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</si>
  <si>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</si>
  <si>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</si>
  <si>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</si>
  <si>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</si>
  <si>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</si>
  <si>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</si>
  <si>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</si>
  <si>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</si>
  <si>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</si>
  <si>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</si>
  <si>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</si>
  <si>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</si>
  <si>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</si>
  <si>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</si>
  <si>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</si>
  <si>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</si>
  <si>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</si>
  <si>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</si>
  <si>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</si>
  <si>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</si>
  <si>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</si>
  <si>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</si>
  <si>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</si>
  <si>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</si>
  <si>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</si>
  <si>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</si>
  <si>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</si>
  <si>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</si>
  <si>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</si>
  <si>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</si>
  <si>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</si>
  <si>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</si>
  <si>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</si>
  <si>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</si>
  <si>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</si>
  <si>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</si>
  <si>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</si>
  <si>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</si>
  <si>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</si>
  <si>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</si>
  <si>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</si>
  <si>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</si>
  <si>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</si>
  <si>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</si>
  <si>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</si>
  <si>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</si>
  <si>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</si>
  <si>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</si>
  <si>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</si>
  <si>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</si>
  <si>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</si>
  <si>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</si>
  <si>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</si>
  <si>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</si>
  <si>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</si>
  <si>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</si>
  <si>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</si>
  <si>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</si>
  <si>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</si>
  <si>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</si>
  <si>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</si>
  <si>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</si>
  <si>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</si>
  <si>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</si>
  <si>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</si>
  <si>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</si>
  <si>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</si>
  <si>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</si>
  <si>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</si>
  <si>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</si>
  <si>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</si>
  <si>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</si>
  <si>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</si>
  <si>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</si>
  <si>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</si>
  <si>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</si>
  <si>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</si>
  <si>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</si>
  <si>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</si>
  <si>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</si>
  <si>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</si>
  <si>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</si>
  <si>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</si>
  <si>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</si>
  <si>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</si>
  <si>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</si>
  <si>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</si>
  <si>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</si>
  <si>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</si>
  <si>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</si>
  <si>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</si>
  <si>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</si>
  <si>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</si>
  <si>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</si>
  <si>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</si>
  <si>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</si>
  <si>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</si>
  <si>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</si>
  <si>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</si>
  <si>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</si>
  <si>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</si>
  <si>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</si>
  <si>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</si>
  <si>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</si>
  <si>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</si>
  <si>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</si>
  <si>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</si>
  <si>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</si>
  <si>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</si>
  <si>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</si>
  <si>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</si>
  <si>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</si>
  <si>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</si>
  <si>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</si>
  <si>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</si>
  <si>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</si>
  <si>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</si>
  <si>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</si>
  <si>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</si>
  <si>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</si>
  <si>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</si>
  <si>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</si>
  <si>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</si>
  <si>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</si>
  <si>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</si>
  <si>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</si>
  <si>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</si>
  <si>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</si>
  <si>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</si>
  <si>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</si>
  <si>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</si>
  <si>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</si>
  <si>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</si>
  <si>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</si>
  <si>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</si>
  <si>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</si>
  <si>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</si>
  <si>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</si>
  <si>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</si>
  <si>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</si>
  <si>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</si>
  <si>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</si>
  <si>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</si>
  <si>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</si>
  <si>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</si>
  <si>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</si>
  <si>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</si>
  <si>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</si>
  <si>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</si>
  <si>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</si>
  <si>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</si>
  <si>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</si>
  <si>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</si>
  <si>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</si>
  <si>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</si>
  <si>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</si>
  <si>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</si>
  <si>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</si>
  <si>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</si>
  <si>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</si>
  <si>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</si>
  <si>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</si>
  <si>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</si>
  <si>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</si>
  <si>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</si>
  <si>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</si>
  <si>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</si>
  <si>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</si>
  <si>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</si>
  <si>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</si>
  <si>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</si>
  <si>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</si>
  <si>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</si>
  <si>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</si>
  <si>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</si>
  <si>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</si>
  <si>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</si>
  <si>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</si>
  <si>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</si>
  <si>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</si>
  <si>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</si>
  <si>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</si>
  <si>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</si>
  <si>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</si>
  <si>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</si>
  <si>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</si>
  <si>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</si>
  <si>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</si>
  <si>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</si>
  <si>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</si>
  <si>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</si>
  <si>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</si>
  <si>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</si>
  <si>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</si>
  <si>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</si>
  <si>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</si>
  <si>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</si>
  <si>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</si>
  <si>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</si>
  <si>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</si>
  <si>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</si>
  <si>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</si>
  <si>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</si>
  <si>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</si>
  <si>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</si>
  <si>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</si>
  <si>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</si>
  <si>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</si>
  <si>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</si>
  <si>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</si>
  <si>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</si>
  <si>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</si>
  <si>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</si>
  <si>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</si>
  <si>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</si>
  <si>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</si>
  <si>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</si>
  <si>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</si>
  <si>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</si>
  <si>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</si>
  <si>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</si>
  <si>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</si>
  <si>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</si>
  <si>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</si>
  <si>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</si>
  <si>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</si>
  <si>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</si>
  <si>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</si>
  <si>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</si>
  <si>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</si>
  <si>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</si>
  <si>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</si>
  <si>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</si>
  <si>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</si>
  <si>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</si>
  <si>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</si>
  <si>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</si>
  <si>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</si>
  <si>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</si>
  <si>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</si>
  <si>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</si>
  <si>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</si>
  <si>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</si>
  <si>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</si>
  <si>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</si>
  <si>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</si>
  <si>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</si>
  <si>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</si>
  <si>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</si>
  <si>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</si>
  <si>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</si>
  <si>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</si>
  <si>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</si>
  <si>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</si>
  <si>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</si>
  <si>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</si>
  <si>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</si>
  <si>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</si>
  <si>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</si>
  <si>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</si>
  <si>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</si>
  <si>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</si>
  <si>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</si>
  <si>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</si>
  <si>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</si>
  <si>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</si>
  <si>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</si>
  <si>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</si>
  <si>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</si>
  <si>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</si>
  <si>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</si>
  <si>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</si>
  <si>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</si>
  <si>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</si>
  <si>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</si>
  <si>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</si>
  <si>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</si>
  <si>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</si>
  <si>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</si>
  <si>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</si>
  <si>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</si>
  <si>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</si>
  <si>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</si>
  <si>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</si>
  <si>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</si>
  <si>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</si>
  <si>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</si>
  <si>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</si>
  <si>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</si>
  <si>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</si>
  <si>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</si>
  <si>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</si>
  <si>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</si>
  <si>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</si>
  <si>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</si>
  <si>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</si>
  <si>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</si>
  <si>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</si>
  <si>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</si>
  <si>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</si>
  <si>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</si>
  <si>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</si>
  <si>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</si>
  <si>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</si>
  <si>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</si>
  <si>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</si>
  <si>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</si>
  <si>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</si>
  <si>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</si>
  <si>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</si>
  <si>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</si>
  <si>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</si>
  <si>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</si>
  <si>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</si>
  <si>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</si>
  <si>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</si>
  <si>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</si>
  <si>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</si>
  <si>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</si>
  <si>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</si>
  <si>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</si>
  <si>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</si>
  <si>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</si>
  <si>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</si>
  <si>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</si>
  <si>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</si>
  <si>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</si>
  <si>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</si>
  <si>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</si>
  <si>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</si>
  <si>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</si>
  <si>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</si>
  <si>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</si>
  <si>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</si>
  <si>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</si>
  <si>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</si>
  <si>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</si>
  <si>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</si>
  <si>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</si>
  <si>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</si>
  <si>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</si>
  <si>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</si>
  <si>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</si>
  <si>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</si>
  <si>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</si>
  <si>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</si>
  <si>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</si>
  <si>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</si>
  <si>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</si>
  <si>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</si>
  <si>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</si>
  <si>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</si>
  <si>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</si>
  <si>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</si>
  <si>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</si>
  <si>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</si>
  <si>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</si>
  <si>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</si>
  <si>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</si>
  <si>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</si>
  <si>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</si>
  <si>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</si>
  <si>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</si>
  <si>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</si>
  <si>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</si>
  <si>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</si>
  <si>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</si>
  <si>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</si>
  <si>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</si>
  <si>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</si>
  <si>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</si>
  <si>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</si>
  <si>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</si>
  <si>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</si>
  <si>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</si>
  <si>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</si>
  <si>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</si>
  <si>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</si>
  <si>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</si>
  <si>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</si>
  <si>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</si>
  <si>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</si>
  <si>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</si>
  <si>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</si>
  <si>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</si>
  <si>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</si>
  <si>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</si>
  <si>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</si>
  <si>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</si>
  <si>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</si>
  <si>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</si>
  <si>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</si>
  <si>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</si>
  <si>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</si>
  <si>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</si>
  <si>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</si>
  <si>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</si>
  <si>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</si>
  <si>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</si>
  <si>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</si>
  <si>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</si>
  <si>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</si>
  <si>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</si>
  <si>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</si>
  <si>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</si>
  <si>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</si>
  <si>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</si>
  <si>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</si>
  <si>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</si>
  <si>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</si>
  <si>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</si>
  <si>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</si>
  <si>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</si>
  <si>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</si>
  <si>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</si>
  <si>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</si>
  <si>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</si>
  <si>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</si>
  <si>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</si>
  <si>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</si>
  <si>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</si>
  <si>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</si>
  <si>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</si>
  <si>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</si>
  <si>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</si>
  <si>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</si>
  <si>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</si>
  <si>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</si>
  <si>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</si>
  <si>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</si>
  <si>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</si>
  <si>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</si>
  <si>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</si>
  <si>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</si>
  <si>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</si>
  <si>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</si>
  <si>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</si>
  <si>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</si>
  <si>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</si>
  <si>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</si>
  <si>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</si>
  <si>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</si>
  <si>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</si>
  <si>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</si>
  <si>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</si>
  <si>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</si>
  <si>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</si>
  <si>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</si>
  <si>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</si>
  <si>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</si>
  <si>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</si>
  <si>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</si>
  <si>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</si>
  <si>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</si>
  <si>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</si>
  <si>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</si>
  <si>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</si>
  <si>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</si>
  <si>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</si>
  <si>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</si>
  <si>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</si>
  <si>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</si>
  <si>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</si>
  <si>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</si>
  <si>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</si>
  <si>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</si>
  <si>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</si>
  <si>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</si>
  <si>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</si>
  <si>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</si>
  <si>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</si>
  <si>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</si>
  <si>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</si>
  <si>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</si>
  <si>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</si>
  <si>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</si>
  <si>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</si>
  <si>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</si>
  <si>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</si>
  <si>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</si>
  <si>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</si>
  <si>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</si>
  <si>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</si>
  <si>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</si>
  <si>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</si>
  <si>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</si>
  <si>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</si>
  <si>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</si>
  <si>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</si>
  <si>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</si>
  <si>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</si>
  <si>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</si>
  <si>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</si>
  <si>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</si>
  <si>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</si>
  <si>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</si>
  <si>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</si>
  <si>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</si>
  <si>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</si>
  <si>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</si>
  <si>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</si>
  <si>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</si>
  <si>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</si>
  <si>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</si>
  <si>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</si>
  <si>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</si>
  <si>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</si>
  <si>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</si>
  <si>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</si>
  <si>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</si>
  <si>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</si>
  <si>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</si>
  <si>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</si>
  <si>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</si>
  <si>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</si>
  <si>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</si>
  <si>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</si>
  <si>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</si>
  <si>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</si>
  <si>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</si>
  <si>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</si>
  <si>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</si>
  <si>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</si>
  <si>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</si>
  <si>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</si>
  <si>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</si>
  <si>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</si>
  <si>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</si>
  <si>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</si>
  <si>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</si>
  <si>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</si>
  <si>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</si>
  <si>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</si>
  <si>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</si>
  <si>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</si>
  <si>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</si>
  <si>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</si>
  <si>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</si>
  <si>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</si>
  <si>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</si>
  <si>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</si>
  <si>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</si>
  <si>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</si>
  <si>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</si>
  <si>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</si>
  <si>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</si>
  <si>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</si>
  <si>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</si>
  <si>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</si>
  <si>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</si>
  <si>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</si>
  <si>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</si>
  <si>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</si>
  <si>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</si>
  <si>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</si>
  <si>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</si>
  <si>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</si>
  <si>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</si>
  <si>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</si>
  <si>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</si>
  <si>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</si>
  <si>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</si>
  <si>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</si>
  <si>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</si>
  <si>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</si>
  <si>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</si>
  <si>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</si>
  <si>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</si>
  <si>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</si>
  <si>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</si>
  <si>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</si>
  <si>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</si>
  <si>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</si>
  <si>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</si>
  <si>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</si>
  <si>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</si>
  <si>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</si>
  <si>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</si>
  <si>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</si>
  <si>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</si>
  <si>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</si>
  <si>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</si>
  <si>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</si>
  <si>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</si>
  <si>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</si>
  <si>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</si>
  <si>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</si>
  <si>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</si>
  <si>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</si>
  <si>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</si>
  <si>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</si>
  <si>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</si>
  <si>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</si>
  <si>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</si>
  <si>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</si>
  <si>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</si>
  <si>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</si>
  <si>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</si>
  <si>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</si>
  <si>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</si>
  <si>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</si>
  <si>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</si>
  <si>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</si>
  <si>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</si>
  <si>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</si>
  <si>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</si>
  <si>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</si>
  <si>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</si>
  <si>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</si>
  <si>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</si>
  <si>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</si>
  <si>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</si>
  <si>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</si>
  <si>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</si>
  <si>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</si>
  <si>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</si>
  <si>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</si>
  <si>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</si>
  <si>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</si>
  <si>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</si>
  <si>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</si>
  <si>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</si>
  <si>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</si>
  <si>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</si>
  <si>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</si>
  <si>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</si>
  <si>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</si>
  <si>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</si>
  <si>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</si>
  <si>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</si>
  <si>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</si>
  <si>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</si>
  <si>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</si>
  <si>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</si>
  <si>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</si>
  <si>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</si>
  <si>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</si>
  <si>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</si>
  <si>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</si>
  <si>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</si>
  <si>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</si>
  <si>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</si>
  <si>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</si>
  <si>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</si>
  <si>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</si>
  <si>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</si>
  <si>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</si>
  <si>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</si>
  <si>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</si>
  <si>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</si>
  <si>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</si>
  <si>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</si>
  <si>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</si>
  <si>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</si>
  <si>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</si>
  <si>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</si>
  <si>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</si>
  <si>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</si>
  <si>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</si>
  <si>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</si>
  <si>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</si>
  <si>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</si>
  <si>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</si>
  <si>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</si>
  <si>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</si>
  <si>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</si>
  <si>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</si>
  <si>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</si>
  <si>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</si>
  <si>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</si>
  <si>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</si>
  <si>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</si>
  <si>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</si>
  <si>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</si>
  <si>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</si>
  <si>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</si>
  <si>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</si>
  <si>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</si>
  <si>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</si>
  <si>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</si>
  <si>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</si>
  <si>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</si>
  <si>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</si>
  <si>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</si>
  <si>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</si>
  <si>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</si>
  <si>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</si>
  <si>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</si>
  <si>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</si>
  <si>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</si>
  <si>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</si>
  <si>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</si>
  <si>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</si>
  <si>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</si>
  <si>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</si>
  <si>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</si>
  <si>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</si>
  <si>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</si>
  <si>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</si>
  <si>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</si>
  <si>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</si>
  <si>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</si>
  <si>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</si>
  <si>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</si>
  <si>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</si>
  <si>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</si>
  <si>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</si>
  <si>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</si>
  <si>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</si>
  <si>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</si>
  <si>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</si>
  <si>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</si>
  <si>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</si>
  <si>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</si>
  <si>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</si>
  <si>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</si>
  <si>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</si>
  <si>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</si>
  <si>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</si>
  <si>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</si>
  <si>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</si>
  <si>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</si>
  <si>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</si>
  <si>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</si>
  <si>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</si>
  <si>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</si>
  <si>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</si>
  <si>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</si>
  <si>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</si>
  <si>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</si>
  <si>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</si>
  <si>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</si>
  <si>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</si>
  <si>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</si>
  <si>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</si>
  <si>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</si>
  <si>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</si>
  <si>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</si>
  <si>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</si>
  <si>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</si>
  <si>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</si>
  <si>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</si>
  <si>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</si>
  <si>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</si>
  <si>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</si>
  <si>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</si>
  <si>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</si>
  <si>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</si>
  <si>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</si>
  <si>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</si>
  <si>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</si>
  <si>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</si>
  <si>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</si>
  <si>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</si>
  <si>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</si>
  <si>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</si>
  <si>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</si>
  <si>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</si>
  <si>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</si>
  <si>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</si>
  <si>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</si>
  <si>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</si>
  <si>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</si>
  <si>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</si>
  <si>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</si>
  <si>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</si>
  <si>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</si>
  <si>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</si>
  <si>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</si>
  <si>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</si>
  <si>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</si>
  <si>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</si>
  <si>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</si>
  <si>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</si>
  <si>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</si>
  <si>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</si>
  <si>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</si>
  <si>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</si>
  <si>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</si>
  <si>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</si>
  <si>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</si>
  <si>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</si>
  <si>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</si>
  <si>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</si>
  <si>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</si>
  <si>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</si>
  <si>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</si>
  <si>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</si>
  <si>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</si>
  <si>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</si>
  <si>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</si>
  <si>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</si>
  <si>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</si>
  <si>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</si>
  <si>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</si>
  <si>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</si>
  <si>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</si>
  <si>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</si>
  <si>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</si>
  <si>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</si>
  <si>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</si>
  <si>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</si>
  <si>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</si>
  <si>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</si>
  <si>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</si>
  <si>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</si>
  <si>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</si>
  <si>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</si>
  <si>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</si>
  <si>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</si>
  <si>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</si>
  <si>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</si>
  <si>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</si>
  <si>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</si>
  <si>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</si>
  <si>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</si>
  <si>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</si>
  <si>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</si>
  <si>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</si>
  <si>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</si>
  <si>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</si>
  <si>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</si>
  <si>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</si>
  <si>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</si>
  <si>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</si>
  <si>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</si>
  <si>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</si>
  <si>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</si>
  <si>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</si>
  <si>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</si>
  <si>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</si>
  <si>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</si>
  <si>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</si>
  <si>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</si>
  <si>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</si>
  <si>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</si>
  <si>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</si>
  <si>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</si>
  <si>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</si>
  <si>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</si>
  <si>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</si>
  <si>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</si>
  <si>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</si>
  <si>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</si>
  <si>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</si>
  <si>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</si>
  <si>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</si>
  <si>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</si>
  <si>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</si>
  <si>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</si>
  <si>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</si>
  <si>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</si>
  <si>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</si>
  <si>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</si>
  <si>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</si>
  <si>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</si>
  <si>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</si>
  <si>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</si>
  <si>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</si>
  <si>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</si>
  <si>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</si>
  <si>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</si>
  <si>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</si>
  <si>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</si>
  <si>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</si>
  <si>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</si>
  <si>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</si>
  <si>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</si>
  <si>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</si>
  <si>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</si>
  <si>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</si>
  <si>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</si>
  <si>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</si>
  <si>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</si>
  <si>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</si>
  <si>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</si>
  <si>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</si>
  <si>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</si>
  <si>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</si>
  <si>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</si>
  <si>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</si>
  <si>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</si>
  <si>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</si>
  <si>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</si>
  <si>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</si>
  <si>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</si>
  <si>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</si>
  <si>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</si>
  <si>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</si>
  <si>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</si>
  <si>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</si>
  <si>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</si>
  <si>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</si>
  <si>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</si>
  <si>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</si>
  <si>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</si>
  <si>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</si>
  <si>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</si>
  <si>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</si>
  <si>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</si>
  <si>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</si>
  <si>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</si>
  <si>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</si>
  <si>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</si>
  <si>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</si>
  <si>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</si>
  <si>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</si>
  <si>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</si>
  <si>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</si>
  <si>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</si>
  <si>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</si>
  <si>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</si>
  <si>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</si>
  <si>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</si>
  <si>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</si>
  <si>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</si>
  <si>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</si>
  <si>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</si>
  <si>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</si>
  <si>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</si>
  <si>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</si>
  <si>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</si>
  <si>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</si>
  <si>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</si>
  <si>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</si>
  <si>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</si>
  <si>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</si>
  <si>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</si>
  <si>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</si>
  <si>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</si>
  <si>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</si>
  <si>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</si>
  <si>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</si>
  <si>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</si>
  <si>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</si>
  <si>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</si>
  <si>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</si>
  <si>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</si>
  <si>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</si>
  <si>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</si>
  <si>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</si>
  <si>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</si>
  <si>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</si>
  <si>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</si>
  <si>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</si>
  <si>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</si>
  <si>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</si>
  <si>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</si>
  <si>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</si>
  <si>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</si>
  <si>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</si>
  <si>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</si>
  <si>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</si>
  <si>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</si>
  <si>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</si>
  <si>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</si>
  <si>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</si>
  <si>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</si>
  <si>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</si>
  <si>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</si>
  <si>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</si>
  <si>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</si>
  <si>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</si>
  <si>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</si>
  <si>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</si>
  <si>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</si>
  <si>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</si>
  <si>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</si>
  <si>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</si>
  <si>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</si>
  <si>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</si>
  <si>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</si>
  <si>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</si>
  <si>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</si>
  <si>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</si>
  <si>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</si>
  <si>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</si>
  <si>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</si>
  <si>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</si>
  <si>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</si>
  <si>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</si>
  <si>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</si>
  <si>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</si>
  <si>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</si>
  <si>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</si>
  <si>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</si>
  <si>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</si>
  <si>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</si>
  <si>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</si>
  <si>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</si>
  <si>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</si>
  <si>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</si>
  <si>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</si>
  <si>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</si>
  <si>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</si>
  <si>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</si>
  <si>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</si>
  <si>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</si>
  <si>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</si>
  <si>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</si>
  <si>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</si>
  <si>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</si>
  <si>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</si>
  <si>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</si>
  <si>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</si>
  <si>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</si>
  <si>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</si>
  <si>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</si>
  <si>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</si>
  <si>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</si>
  <si>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</si>
  <si>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</si>
  <si>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</si>
  <si>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</si>
  <si>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</si>
  <si>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</si>
  <si>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</si>
  <si>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</si>
  <si>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</si>
  <si>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</si>
  <si>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</si>
  <si>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</si>
  <si>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</si>
  <si>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</si>
  <si>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</si>
  <si>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</si>
  <si>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</si>
  <si>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</si>
  <si>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</si>
  <si>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</si>
  <si>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</si>
  <si>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</si>
  <si>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</si>
  <si>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</si>
  <si>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</si>
  <si>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</si>
  <si>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</si>
  <si>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</si>
  <si>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</si>
  <si>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</si>
  <si>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</si>
  <si>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</si>
  <si>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</si>
  <si>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</si>
  <si>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</si>
  <si>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</si>
  <si>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</si>
  <si>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</si>
  <si>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</si>
  <si>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</si>
  <si>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</si>
  <si>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</si>
  <si>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</si>
  <si>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</si>
  <si>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</si>
  <si>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</si>
  <si>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</si>
  <si>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</si>
  <si>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</si>
  <si>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</si>
  <si>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</si>
  <si>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</si>
  <si>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</si>
  <si>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</si>
  <si>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</si>
  <si>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</si>
  <si>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</si>
  <si>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</si>
  <si>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</si>
  <si>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</si>
  <si>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</si>
  <si>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</si>
  <si>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</si>
  <si>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</si>
  <si>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</si>
  <si>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</si>
  <si>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</si>
  <si>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</si>
  <si>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</si>
  <si>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</si>
  <si>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</si>
  <si>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</si>
  <si>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</si>
  <si>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</si>
  <si>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</si>
  <si>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</si>
  <si>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</si>
  <si>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</si>
  <si>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</si>
  <si>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</si>
  <si>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</si>
  <si>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</si>
  <si>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</si>
  <si>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</si>
  <si>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</si>
  <si>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</si>
  <si>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</si>
  <si>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</si>
  <si>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</si>
  <si>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</si>
  <si>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</si>
  <si>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</si>
  <si>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</si>
  <si>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</si>
  <si>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</si>
  <si>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</si>
  <si>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</si>
  <si>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</si>
  <si>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</si>
  <si>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</si>
  <si>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</si>
  <si>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</si>
  <si>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</si>
  <si>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</si>
  <si>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</si>
  <si>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</si>
  <si>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</si>
  <si>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</si>
  <si>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</si>
  <si>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</si>
  <si>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</si>
  <si>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</si>
  <si>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</si>
  <si>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</si>
  <si>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</si>
  <si>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</si>
  <si>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</si>
  <si>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</si>
  <si>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</si>
  <si>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</si>
  <si>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</si>
  <si>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</si>
  <si>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</si>
  <si>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</si>
  <si>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</si>
  <si>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</si>
  <si>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</si>
  <si>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</si>
  <si>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</si>
  <si>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</si>
  <si>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</si>
  <si>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</si>
  <si>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</si>
  <si>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</si>
  <si>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</si>
  <si>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</si>
  <si>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</si>
  <si>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</si>
  <si>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</si>
  <si>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</si>
  <si>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</si>
  <si>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</si>
  <si>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</si>
  <si>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</si>
  <si>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</si>
  <si>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</si>
  <si>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</si>
  <si>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</si>
  <si>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</si>
  <si>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</si>
  <si>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</si>
  <si>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</si>
  <si>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</si>
  <si>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</si>
  <si>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</si>
  <si>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</si>
  <si>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</si>
  <si>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</si>
  <si>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</si>
  <si>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</si>
  <si>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</si>
  <si>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</si>
  <si>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</si>
  <si>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</si>
  <si>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</si>
  <si>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</si>
  <si>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</si>
  <si>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</si>
  <si>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</si>
  <si>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</si>
  <si>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</si>
  <si>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</si>
  <si>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</si>
  <si>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</si>
  <si>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</si>
  <si>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</si>
  <si>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</si>
  <si>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</si>
  <si>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</si>
  <si>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</si>
  <si>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</si>
  <si>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</si>
  <si>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</si>
  <si>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</si>
  <si>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</si>
  <si>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</si>
  <si>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</si>
  <si>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</si>
  <si>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</si>
  <si>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</si>
  <si>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</si>
  <si>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</si>
  <si>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</si>
  <si>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</si>
  <si>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</si>
  <si>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</si>
  <si>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</si>
  <si>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</si>
  <si>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</si>
  <si>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</si>
  <si>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</si>
  <si>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</si>
  <si>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</si>
  <si>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</si>
  <si>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</si>
  <si>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</si>
  <si>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</si>
  <si>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</si>
  <si>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</si>
  <si>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</si>
  <si>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</si>
  <si>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</si>
  <si>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</si>
  <si>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</si>
  <si>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</si>
  <si>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</si>
  <si>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</si>
  <si>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</si>
  <si>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</si>
  <si>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</si>
  <si>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</si>
  <si>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</si>
  <si>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</si>
  <si>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</si>
  <si>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</si>
  <si>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</si>
  <si>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</si>
  <si>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</si>
  <si>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</si>
  <si>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</si>
  <si>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</si>
  <si>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</si>
  <si>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</si>
  <si>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</si>
  <si>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</si>
  <si>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</si>
  <si>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</si>
  <si>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</si>
  <si>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</si>
  <si>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</si>
  <si>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</si>
  <si>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</si>
  <si>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</si>
  <si>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</si>
  <si>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</si>
  <si>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</si>
  <si>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</si>
  <si>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</si>
  <si>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</si>
  <si>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</si>
  <si>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</si>
  <si>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</si>
  <si>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</si>
  <si>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</si>
  <si>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</si>
  <si>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</si>
  <si>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</si>
  <si>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</si>
  <si>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</si>
  <si>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</si>
  <si>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</si>
  <si>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</si>
  <si>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</si>
  <si>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</si>
  <si>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</si>
  <si>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</si>
  <si>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</si>
  <si>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</si>
  <si>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</si>
  <si>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</si>
  <si>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</si>
  <si>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</si>
  <si>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</si>
  <si>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</si>
  <si>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</si>
  <si>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</si>
  <si>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</si>
  <si>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</si>
  <si>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</si>
  <si>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</si>
  <si>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</si>
  <si>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</si>
  <si>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</si>
  <si>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</si>
  <si>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</si>
  <si>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</si>
  <si>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</si>
  <si>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</si>
  <si>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</si>
  <si>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</si>
  <si>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</si>
  <si>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</si>
  <si>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</si>
  <si>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</si>
  <si>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</si>
  <si>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</si>
  <si>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</si>
  <si>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</si>
  <si>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</si>
  <si>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</si>
  <si>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</si>
  <si>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</si>
  <si>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</si>
  <si>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</si>
  <si>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</si>
  <si>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</si>
  <si>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</si>
  <si>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</si>
  <si>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</si>
  <si>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</si>
  <si>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</si>
  <si>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</si>
  <si>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</si>
  <si>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</si>
  <si>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</si>
  <si>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</si>
  <si>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</si>
  <si>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</si>
  <si>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</si>
  <si>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</si>
  <si>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</si>
  <si>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</si>
  <si>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</si>
  <si>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</si>
  <si>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</si>
  <si>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</si>
  <si>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</si>
  <si>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</si>
  <si>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</si>
  <si>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</si>
  <si>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</si>
  <si>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</si>
  <si>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</si>
  <si>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</si>
  <si>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</si>
  <si>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</si>
  <si>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</si>
  <si>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</si>
  <si>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</si>
  <si>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</si>
  <si>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</si>
  <si>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</si>
  <si>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</si>
  <si>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</si>
  <si>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</si>
  <si>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</si>
  <si>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</si>
  <si>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</si>
  <si>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</si>
  <si>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</si>
  <si>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</si>
  <si>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</si>
  <si>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</si>
  <si>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</si>
  <si>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</si>
  <si>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</si>
  <si>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</si>
  <si>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</si>
  <si>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</si>
  <si>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</si>
  <si>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</si>
  <si>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</si>
  <si>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</si>
  <si>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</si>
  <si>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</si>
  <si>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</si>
  <si>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</si>
  <si>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</si>
  <si>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</si>
  <si>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</si>
  <si>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</si>
  <si>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</si>
  <si>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</si>
  <si>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</si>
  <si>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</si>
  <si>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</si>
  <si>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</si>
  <si>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</si>
  <si>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</si>
  <si>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</si>
  <si>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</si>
  <si>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</si>
  <si>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</si>
  <si>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</si>
  <si>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</si>
  <si>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</si>
  <si>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</si>
  <si>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</si>
  <si>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</si>
  <si>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</si>
  <si>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</si>
  <si>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</si>
  <si>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</si>
  <si>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</si>
  <si>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</si>
  <si>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</si>
  <si>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</si>
  <si>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</si>
  <si>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</si>
  <si>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</si>
  <si>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</si>
  <si>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</si>
  <si>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</si>
  <si>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</si>
  <si>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</si>
  <si>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</si>
  <si>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</si>
  <si>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</si>
  <si>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</si>
  <si>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</si>
  <si>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</si>
  <si>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</si>
  <si>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</si>
  <si>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</si>
  <si>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</si>
  <si>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</si>
  <si>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</si>
  <si>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</si>
  <si>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</si>
  <si>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</si>
  <si>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</si>
  <si>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</si>
  <si>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</si>
  <si>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</si>
  <si>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</si>
  <si>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</si>
  <si>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</si>
  <si>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</si>
  <si>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</si>
  <si>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</si>
  <si>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</si>
  <si>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</si>
  <si>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</si>
  <si>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</si>
  <si>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</si>
  <si>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</si>
  <si>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</si>
  <si>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</si>
  <si>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</si>
  <si>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</si>
  <si>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</si>
  <si>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</si>
  <si>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</si>
  <si>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</si>
  <si>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</si>
  <si>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</si>
  <si>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</si>
  <si>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</si>
  <si>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</si>
  <si>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</si>
  <si>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</si>
  <si>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</si>
  <si>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</si>
  <si>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</si>
  <si>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</si>
  <si>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</si>
  <si>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</si>
  <si>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</si>
  <si>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</si>
  <si>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</si>
  <si>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</si>
  <si>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</si>
  <si>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</si>
  <si>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</si>
  <si>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</si>
  <si>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</si>
  <si>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</si>
  <si>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</si>
  <si>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</si>
  <si>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</si>
  <si>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</si>
  <si>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</si>
  <si>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</si>
  <si>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</si>
  <si>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</si>
  <si>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</si>
  <si>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</si>
  <si>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</si>
  <si>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</si>
  <si>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</si>
  <si>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</si>
  <si>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</si>
  <si>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</si>
  <si>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</si>
  <si>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</si>
  <si>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</si>
  <si>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</si>
  <si>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</si>
  <si>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</si>
  <si>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</si>
  <si>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</si>
  <si>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</si>
  <si>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</si>
  <si>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</si>
  <si>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</si>
  <si>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</si>
  <si>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</si>
  <si>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</si>
  <si>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</si>
  <si>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</si>
  <si>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</si>
  <si>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</si>
  <si>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</si>
  <si>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</si>
  <si>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</si>
  <si>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</si>
  <si>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</si>
  <si>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</si>
  <si>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</si>
  <si>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</si>
  <si>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</si>
  <si>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</si>
  <si>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</si>
  <si>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</si>
  <si>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</si>
  <si>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</si>
  <si>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</si>
  <si>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</si>
  <si>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</si>
  <si>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</si>
  <si>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</si>
  <si>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</si>
  <si>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</si>
  <si>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</si>
  <si>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</si>
  <si>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</si>
  <si>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</si>
  <si>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</si>
  <si>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</si>
  <si>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</si>
  <si>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</si>
  <si>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</si>
  <si>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</si>
  <si>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</si>
  <si>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</si>
  <si>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</si>
  <si>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</si>
  <si>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</si>
  <si>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</si>
  <si>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</si>
  <si>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</si>
  <si>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</si>
  <si>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</si>
  <si>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</si>
  <si>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</si>
  <si>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</si>
  <si>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</si>
  <si>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</si>
  <si>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</si>
  <si>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</si>
  <si>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</si>
  <si>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</si>
  <si>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</si>
  <si>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</si>
  <si>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</si>
  <si>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</si>
  <si>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</si>
  <si>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</si>
  <si>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</si>
  <si>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</si>
  <si>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</si>
  <si>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</si>
  <si>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</si>
  <si>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</si>
  <si>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</si>
  <si>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</si>
  <si>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</si>
  <si>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</si>
  <si>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</si>
  <si>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</si>
  <si>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</si>
  <si>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</si>
  <si>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</si>
  <si>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</si>
  <si>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</si>
  <si>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</si>
  <si>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</si>
  <si>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</si>
  <si>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</si>
  <si>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</si>
  <si>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</si>
  <si>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</si>
  <si>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</si>
  <si>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</si>
  <si>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</si>
  <si>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</si>
  <si>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</si>
  <si>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</si>
  <si>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</si>
  <si>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</si>
  <si>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</si>
  <si>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</si>
  <si>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</si>
  <si>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</si>
  <si>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</si>
  <si>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</si>
  <si>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</si>
  <si>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</si>
  <si>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</si>
  <si>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</si>
  <si>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</si>
  <si>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</si>
  <si>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</si>
  <si>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</si>
  <si>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</si>
  <si>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</si>
  <si>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</si>
  <si>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</si>
  <si>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</si>
  <si>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</si>
  <si>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</si>
  <si>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</si>
  <si>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</si>
  <si>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</si>
  <si>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</si>
  <si>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</si>
  <si>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</si>
  <si>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</si>
  <si>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</si>
  <si>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</si>
  <si>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</si>
  <si>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</si>
  <si>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</si>
  <si>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</si>
  <si>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</si>
  <si>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</si>
  <si>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</si>
  <si>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</si>
  <si>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</si>
  <si>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</si>
  <si>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</si>
  <si>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</si>
  <si>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</si>
  <si>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</si>
  <si>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</si>
  <si>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</si>
  <si>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</si>
  <si>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</si>
  <si>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</si>
  <si>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</si>
  <si>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</si>
  <si>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</si>
  <si>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</si>
  <si>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</si>
  <si>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</si>
  <si>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</si>
  <si>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</si>
  <si>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</si>
  <si>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</si>
  <si>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</si>
  <si>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</si>
  <si>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</si>
  <si>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</si>
  <si>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</si>
  <si>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</si>
  <si>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</si>
  <si>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</si>
  <si>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</si>
  <si>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</si>
  <si>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</si>
  <si>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</si>
  <si>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</si>
  <si>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</si>
  <si>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</si>
  <si>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</si>
  <si>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</si>
  <si>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</si>
  <si>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</si>
  <si>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</si>
  <si>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</si>
  <si>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</si>
  <si>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</si>
  <si>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</si>
  <si>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</si>
  <si>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</si>
  <si>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</si>
  <si>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</si>
  <si>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</si>
  <si>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</si>
  <si>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</si>
  <si>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</si>
  <si>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</si>
  <si>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</si>
  <si>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</si>
  <si>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</si>
  <si>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</si>
  <si>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</si>
  <si>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</si>
  <si>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</si>
  <si>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</si>
  <si>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</si>
  <si>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</si>
  <si>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</si>
  <si>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</si>
  <si>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</si>
  <si>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</si>
  <si>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</si>
  <si>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</si>
  <si>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</si>
  <si>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</si>
  <si>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</si>
  <si>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</si>
  <si>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</si>
  <si>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</si>
  <si>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</si>
  <si>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</si>
  <si>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</si>
  <si>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</si>
  <si>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</si>
  <si>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</si>
  <si>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</si>
  <si>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</si>
  <si>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</si>
  <si>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</si>
  <si>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</si>
  <si>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</si>
  <si>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</si>
  <si>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</si>
  <si>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</si>
  <si>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</si>
  <si>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</si>
  <si>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</si>
  <si>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</si>
  <si>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</si>
  <si>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</si>
  <si>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</si>
  <si>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</si>
  <si>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</si>
  <si>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</si>
  <si>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</si>
  <si>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</si>
  <si>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</si>
  <si>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</si>
  <si>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</si>
  <si>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</si>
  <si>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</si>
  <si>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</si>
  <si>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</si>
  <si>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</si>
  <si>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</si>
  <si>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</si>
  <si>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</si>
  <si>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</si>
  <si>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</si>
  <si>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</si>
  <si>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</si>
  <si>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</si>
  <si>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</si>
  <si>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</si>
  <si>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</si>
  <si>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</si>
  <si>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</si>
  <si>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</si>
  <si>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</si>
  <si>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</si>
  <si>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</si>
  <si>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</si>
  <si>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</si>
  <si>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</si>
  <si>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</si>
  <si>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</si>
  <si>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</si>
  <si>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</si>
  <si>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</si>
  <si>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</si>
  <si>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</si>
  <si>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</si>
  <si>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</si>
  <si>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</si>
  <si>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</si>
  <si>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</si>
  <si>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</si>
  <si>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</si>
  <si>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</si>
  <si>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</si>
  <si>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</si>
  <si>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</si>
  <si>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</si>
  <si>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</si>
  <si>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</si>
  <si>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</si>
  <si>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</si>
  <si>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</si>
  <si>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</si>
  <si>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</si>
  <si>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</si>
  <si>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</si>
  <si>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</si>
  <si>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</si>
  <si>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</si>
  <si>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</si>
  <si>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</si>
  <si>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</si>
  <si>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</si>
  <si>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</si>
  <si>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</si>
  <si>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</si>
  <si>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</si>
  <si>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</si>
  <si>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</si>
  <si>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</si>
  <si>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</si>
  <si>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</si>
  <si>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</si>
  <si>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</si>
  <si>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</si>
  <si>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</si>
  <si>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</si>
  <si>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</si>
  <si>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</si>
  <si>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</si>
  <si>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</si>
  <si>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</si>
  <si>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</si>
  <si>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</si>
  <si>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</si>
  <si>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</si>
  <si>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</si>
  <si>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</si>
  <si>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</si>
  <si>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</si>
  <si>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</si>
  <si>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</si>
  <si>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</si>
  <si>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</si>
  <si>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</si>
  <si>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</si>
  <si>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</si>
  <si>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</si>
  <si>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</si>
  <si>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</si>
  <si>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</si>
  <si>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</si>
  <si>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</si>
  <si>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</si>
  <si>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</si>
  <si>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</si>
  <si>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</si>
  <si>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</si>
  <si>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</si>
  <si>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</si>
  <si>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</si>
  <si>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</si>
  <si>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</si>
  <si>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</si>
  <si>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</si>
  <si>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</si>
  <si>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</si>
  <si>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</si>
  <si>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</si>
  <si>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</si>
  <si>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</si>
  <si>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</si>
  <si>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</si>
  <si>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</si>
  <si>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</si>
  <si>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</si>
  <si>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</si>
  <si>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</si>
  <si>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</si>
  <si>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</si>
  <si>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</si>
  <si>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</si>
  <si>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</si>
  <si>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</si>
  <si>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</si>
  <si>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</si>
  <si>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</si>
  <si>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</si>
  <si>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</si>
  <si>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</si>
  <si>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</si>
  <si>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</si>
  <si>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</si>
  <si>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</si>
  <si>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</si>
  <si>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</si>
  <si>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</si>
  <si>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</si>
  <si>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</si>
  <si>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</si>
  <si>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</si>
  <si>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</si>
  <si>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</si>
  <si>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</si>
  <si>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</si>
  <si>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</si>
  <si>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</si>
  <si>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</si>
  <si>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</si>
  <si>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</si>
  <si>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</si>
  <si>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</si>
  <si>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</si>
  <si>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</si>
  <si>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</si>
  <si>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</si>
  <si>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</si>
  <si>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</si>
  <si>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</si>
  <si>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</si>
  <si>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</si>
  <si>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</si>
  <si>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</si>
  <si>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</si>
  <si>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</si>
  <si>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</si>
  <si>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</si>
  <si>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</si>
  <si>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</si>
  <si>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</si>
  <si>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</si>
  <si>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</si>
  <si>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</si>
  <si>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</si>
  <si>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</si>
  <si>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</si>
  <si>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</si>
  <si>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</si>
  <si>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</si>
  <si>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</si>
  <si>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</si>
  <si>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</si>
  <si>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</si>
  <si>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</si>
  <si>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</si>
  <si>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</si>
  <si>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</si>
  <si>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</si>
  <si>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</si>
  <si>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</si>
  <si>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</si>
  <si>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</si>
  <si>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</si>
  <si>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</si>
  <si>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</si>
  <si>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</si>
  <si>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</si>
  <si>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</si>
  <si>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</si>
  <si>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</si>
  <si>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</si>
  <si>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</si>
  <si>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</si>
  <si>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</si>
  <si>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</si>
  <si>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</si>
  <si>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</si>
  <si>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</si>
  <si>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</si>
  <si>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</si>
  <si>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</si>
  <si>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</si>
  <si>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</si>
  <si>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</si>
  <si>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</si>
  <si>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</si>
  <si>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</si>
  <si>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</si>
  <si>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</si>
  <si>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</si>
  <si>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</si>
  <si>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</si>
  <si>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</si>
  <si>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</si>
  <si>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</si>
  <si>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</si>
  <si>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</si>
  <si>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</si>
  <si>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</si>
  <si>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</si>
  <si>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</si>
  <si>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</si>
  <si>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</si>
  <si>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</si>
  <si>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</si>
  <si>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</si>
  <si>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</si>
  <si>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</si>
  <si>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</si>
  <si>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</si>
  <si>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</si>
  <si>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</si>
  <si>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</si>
  <si>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</si>
  <si>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</si>
  <si>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</si>
  <si>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</si>
  <si>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</si>
  <si>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</si>
  <si>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</si>
  <si>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</si>
  <si>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</si>
  <si>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</si>
  <si>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</si>
  <si>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</si>
  <si>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</si>
  <si>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</si>
  <si>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</si>
  <si>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</si>
  <si>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</si>
  <si>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</si>
  <si>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</si>
  <si>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</si>
  <si>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</si>
  <si>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</si>
  <si>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</si>
  <si>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</si>
  <si>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</si>
  <si>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</si>
  <si>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</si>
  <si>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</si>
  <si>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</si>
  <si>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</si>
  <si>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</si>
  <si>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</si>
  <si>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</si>
  <si>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</si>
  <si>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</si>
  <si>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</si>
  <si>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</si>
  <si>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</si>
  <si>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</si>
  <si>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</si>
  <si>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</si>
  <si>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</si>
  <si>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</si>
  <si>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</si>
  <si>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</si>
  <si>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</si>
  <si>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</si>
  <si>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</si>
  <si>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</si>
  <si>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</si>
  <si>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</si>
  <si>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</si>
  <si>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</si>
  <si>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</si>
  <si>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</si>
  <si>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</si>
  <si>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</si>
  <si>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</si>
  <si>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</si>
  <si>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</si>
  <si>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</si>
  <si>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</si>
  <si>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</si>
  <si>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</si>
  <si>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</si>
  <si>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</si>
  <si>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</si>
  <si>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</si>
  <si>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</si>
  <si>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</si>
  <si>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</si>
  <si>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</si>
  <si>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</si>
  <si>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</si>
  <si>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</si>
  <si>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</si>
  <si>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</si>
  <si>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</si>
  <si>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</si>
  <si>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</si>
  <si>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</si>
  <si>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</si>
  <si>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</si>
  <si>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</si>
  <si>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</si>
  <si>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</si>
  <si>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</si>
  <si>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</si>
  <si>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</si>
  <si>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</si>
  <si>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</si>
  <si>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</si>
  <si>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</si>
  <si>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</si>
  <si>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</si>
  <si>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</si>
  <si>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</si>
  <si>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</si>
  <si>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</si>
  <si>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</si>
  <si>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</si>
  <si>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</si>
  <si>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</si>
  <si>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</si>
  <si>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</si>
  <si>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</si>
  <si>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</si>
  <si>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</si>
  <si>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</si>
  <si>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</si>
  <si>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</si>
  <si>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</si>
  <si>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</si>
  <si>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</si>
  <si>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</si>
  <si>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</si>
  <si>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</si>
  <si>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</si>
  <si>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</si>
  <si>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</si>
  <si>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</si>
  <si>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</si>
  <si>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</si>
  <si>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</si>
  <si>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</si>
  <si>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</si>
  <si>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</si>
  <si>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</si>
  <si>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</si>
  <si>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</si>
  <si>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</si>
  <si>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</si>
  <si>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</si>
  <si>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</si>
  <si>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</si>
  <si>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</si>
  <si>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</si>
  <si>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</si>
  <si>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</si>
  <si>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</si>
  <si>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</si>
  <si>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</si>
  <si>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</si>
  <si>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</si>
  <si>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</si>
  <si>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</si>
  <si>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</si>
  <si>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</si>
  <si>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</si>
  <si>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</si>
  <si>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</si>
  <si>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</si>
  <si>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</si>
  <si>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</si>
  <si>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</si>
  <si>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</si>
  <si>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</si>
  <si>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</si>
  <si>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</si>
  <si>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</si>
  <si>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</si>
  <si>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</si>
  <si>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</si>
  <si>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</si>
  <si>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</si>
  <si>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</si>
  <si>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</si>
  <si>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</si>
  <si>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</si>
  <si>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</si>
  <si>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</si>
  <si>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</si>
  <si>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</si>
  <si>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</si>
  <si>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</si>
  <si>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</si>
  <si>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</si>
  <si>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</si>
  <si>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</si>
  <si>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</si>
  <si>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</si>
  <si>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</si>
  <si>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</si>
  <si>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</si>
  <si>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</si>
  <si>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</si>
  <si>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</si>
  <si>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</si>
  <si>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</si>
  <si>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</si>
  <si>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</si>
  <si>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</si>
  <si>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</si>
  <si>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</si>
  <si>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</si>
  <si>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</si>
  <si>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</si>
  <si>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</si>
  <si>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</si>
  <si>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</si>
  <si>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</si>
  <si>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</si>
  <si>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</si>
  <si>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</si>
  <si>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</si>
  <si>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</si>
  <si>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</si>
  <si>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</si>
  <si>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</si>
  <si>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</si>
  <si>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</si>
  <si>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</si>
  <si>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</si>
  <si>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</si>
  <si>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</si>
  <si>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</si>
  <si>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</si>
  <si>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</si>
  <si>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</si>
  <si>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</si>
  <si>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</si>
  <si>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</si>
  <si>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</si>
  <si>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</si>
  <si>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</si>
  <si>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</si>
  <si>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</si>
  <si>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</si>
  <si>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</si>
  <si>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</si>
  <si>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</si>
  <si>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</si>
  <si>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</si>
  <si>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</si>
  <si>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</si>
  <si>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</si>
  <si>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</si>
  <si>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</si>
  <si>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</si>
  <si>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</si>
  <si>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</si>
  <si>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</si>
  <si>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</si>
  <si>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</si>
  <si>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</si>
  <si>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</si>
  <si>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</si>
  <si>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</si>
  <si>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</si>
  <si>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</si>
  <si>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</si>
  <si>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</si>
  <si>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</si>
  <si>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</si>
  <si>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</si>
  <si>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</si>
  <si>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</si>
  <si>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</si>
  <si>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</si>
  <si>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</si>
  <si>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</si>
  <si>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</si>
  <si>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</si>
  <si>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</si>
  <si>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</si>
  <si>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</si>
  <si>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</si>
  <si>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</si>
  <si>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</si>
  <si>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</si>
  <si>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</si>
  <si>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</si>
  <si>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</si>
  <si>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</si>
  <si>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</si>
  <si>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</si>
  <si>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</si>
  <si>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</si>
  <si>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</si>
  <si>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</si>
  <si>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</si>
  <si>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</si>
  <si>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</si>
  <si>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</si>
  <si>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</si>
  <si>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</si>
  <si>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</si>
  <si>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</si>
  <si>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</si>
  <si>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</si>
  <si>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</si>
  <si>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</si>
  <si>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</si>
  <si>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</si>
  <si>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</si>
  <si>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</si>
  <si>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</si>
  <si>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</si>
  <si>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</si>
  <si>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</si>
  <si>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</si>
  <si>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</si>
  <si>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</si>
  <si>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</si>
  <si>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</si>
  <si>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</si>
  <si>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</si>
  <si>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</si>
  <si>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</si>
  <si>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</si>
  <si>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</si>
  <si>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</si>
  <si>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</si>
  <si>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</si>
  <si>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</si>
  <si>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</si>
  <si>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</si>
  <si>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</si>
  <si>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</si>
  <si>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</si>
  <si>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</si>
  <si>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抵押</t>
  </si>
  <si>
    <t>房地产抵押价值</t>
  </si>
  <si>
    <t>北京市</t>
  </si>
  <si>
    <t>自然人</t>
  </si>
  <si>
    <t>楼层修正</t>
  </si>
  <si>
    <t>不临65条商业街</t>
  </si>
  <si>
    <t>与级别开发程度一致</t>
  </si>
  <si>
    <t>通电</t>
  </si>
  <si>
    <t>通路</t>
  </si>
  <si>
    <t>通讯</t>
  </si>
  <si>
    <t>通上水</t>
  </si>
  <si>
    <t>通下水</t>
  </si>
  <si>
    <t>通热</t>
  </si>
  <si>
    <t>燃气</t>
  </si>
  <si>
    <t>平整</t>
  </si>
  <si>
    <t>按公示增长率计算</t>
  </si>
  <si>
    <t>中心城区</t>
  </si>
  <si>
    <t>较好</t>
  </si>
  <si>
    <t>较差</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</si>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</sst>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xf numFmtId="0" fontId="98" fillId="6" borderId="1" xfId="0" applyNumberFormat="1" applyFont="1" applyFill="1" applyBorder="1" applyAlignment="1" applyProtection="1">
      <alignment horizontal="left"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2022年9月9日</v>
      </c>
    </row>
    <row r="13" spans="1:2" s="2762" customFormat="1">
      <c r="A13" s="2760" t="s">
        <v>742</v>
      </c>
      <c r="B13" s="2761" t="str">
        <f>'预评函-1'!A18</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9" sqref="E49"/>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北京市房地产抵押价值预评估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44813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3094</v>
      </c>
      <c r="C8" s="2897"/>
      <c r="D8" s="3041" t="s">
        <v>2439</v>
      </c>
      <c r="E8" s="2898" t="s">
        <v>3095</v>
      </c>
      <c r="F8" s="2899"/>
      <c r="G8" s="2880"/>
      <c r="H8" s="2880"/>
      <c r="I8" s="2880"/>
      <c r="J8" s="862"/>
      <c r="K8" s="2900"/>
      <c r="L8" s="2893"/>
      <c r="M8" s="2893"/>
      <c r="N8" s="862"/>
      <c r="O8" s="2893"/>
      <c r="P8" s="862"/>
      <c r="Q8" s="862"/>
      <c r="R8" s="862"/>
    </row>
    <row r="9" spans="1:28" ht="13.5" thickBot="1">
      <c r="A9" s="2901" t="s">
        <v>2440</v>
      </c>
      <c r="B9" s="2902" t="s">
        <v>3095</v>
      </c>
      <c r="C9" s="2903"/>
      <c r="D9" s="3042"/>
      <c r="E9" s="2902"/>
      <c r="F9" s="2904"/>
      <c r="G9" s="2905"/>
      <c r="H9" s="2905"/>
      <c r="I9" s="2905"/>
      <c r="J9" s="862"/>
      <c r="K9" s="2892"/>
      <c r="L9" s="2893"/>
      <c r="M9" s="2893"/>
      <c r="N9" s="862"/>
      <c r="O9" s="2893"/>
      <c r="P9" s="862"/>
      <c r="Q9" s="862"/>
      <c r="R9" s="862"/>
    </row>
    <row r="10" spans="1:28" ht="13.5" thickTop="1">
      <c r="A10" s="2906" t="s">
        <v>2441</v>
      </c>
      <c r="B10" s="2907" t="s">
        <v>3096</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3097</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16">
        <v>52608</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21.35</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235</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255</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44813</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房地产抵押价值</v>
      </c>
      <c r="L49" s="3138"/>
      <c r="M49" s="3159" t="str">
        <f ca="1">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t="str">
        <f>IF(项目基本情况!B11="自然人","——",ROUND(C6*F32/(1+'数据-取费表'!C42),2))</f>
        <v>——</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str">
        <f ca="1">IF(项目基本情况!B11="自然人","——",IF(D33="按租金收入计税",ROUND(C6*F33/(1+'数据-取费表'!C42),2),IF(D33="按房产原值计税",ROUND(C29*F33*0.7,2),INDIRECT("'数据-取费表'!Aj"&amp;$G$1))))</f>
        <v>——</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t="str">
        <f>IF(项目基本情况!B11="自然人","——",ROUND(F34*F35/10000,2))</f>
        <v>——</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t="str">
        <f>IF(项目基本情况!B11="自然人","——",ROUND(C48*F60/(1+'数据-取费表'!C42),2))</f>
        <v>——</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str">
        <f ca="1">IF(项目基本情况!B11="自然人","——",IF(D61="按租金收入计税",ROUND(C49*F61/(1+'数据-取费表'!C42),2),IF(D61="按房产原值计税",ROUND(C57*F61*0.7,2),INDIRECT("'数据-取费表'!Aj"&amp;$G$1))))</f>
        <v>——</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t="str">
        <f>IF(项目基本情况!B11="自然人","——",ROUND(F62*F63/10000,2))</f>
        <v>——</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t="str">
        <f>IF(项目基本情况!B11="自然人","——",ROUND(C6*F32/(1+'数据-取费表'!C42),0))</f>
        <v>——</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str">
        <f ca="1">IF(项目基本情况!B11="自然人","——",IF(D33="按租金收入计税",ROUND(C6*F33/(1+'数据-取费表'!C42),0),IF(D33="按房产原值计税",ROUND(C29*F33*0.7,0),INDIRECT("'数据-取费表'!Aj"&amp;$G$1))))</f>
        <v>——</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t="str">
        <f>IF(项目基本情况!B11="自然人","——",ROUND(F34*F35,))</f>
        <v>——</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t="str">
        <f>IF(项目基本情况!B11="自然人","——",ROUND(C48*F60/(1+'数据-取费表'!C42),0))</f>
        <v>——</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str">
        <f ca="1">IF(项目基本情况!B11="自然人","——",IF(D61="按租金收入计税",ROUND(C49*F61/(1+'数据-取费表'!C42),0),IF(D61="按房产原值计税",ROUND(C57*F61*0.7,0),INDIRECT("'数据-取费表'!Aj"&amp;$G$1))))</f>
        <v>——</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t="str">
        <f>IF(项目基本情况!B11="自然人","——",ROUND(F62*F63,0))</f>
        <v>——</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44813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44813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2022年9月9日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44813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58" t="s">
        <v>2128</v>
      </c>
      <c r="H57" s="2222" t="str">
        <f>项目基本情况!B37</f>
        <v>二级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58"/>
      <c r="H58" s="2222" t="str">
        <f>项目基本情况!B37</f>
        <v>二级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58"/>
      <c r="H59" s="2222" t="str">
        <f>项目基本情况!B37</f>
        <v>二级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二级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二级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58" t="s">
        <v>2128</v>
      </c>
      <c r="H52" s="2222" t="str">
        <f>项目基本情况!B37</f>
        <v>二级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58"/>
      <c r="H53" s="2222" t="str">
        <f>项目基本情况!B37</f>
        <v>二级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58"/>
      <c r="H54" s="2222" t="str">
        <f>项目基本情况!B37</f>
        <v>二级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二级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二级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N1" zoomScale="70" zoomScaleNormal="80" zoomScaleSheetLayoutView="70" workbookViewId="0">
      <selection activeCell="V40" sqref="V4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388</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Ⅱ—11</v>
      </c>
      <c r="J2" s="2258"/>
      <c r="L2" s="2268" t="s">
        <v>2176</v>
      </c>
      <c r="M2" s="475">
        <f>SUMPRODUCT((区片价!B10:B29=I2)*(区片价!C3:G3=E2)*(区片价!C10:G29))</f>
        <v>27050</v>
      </c>
      <c r="N2" s="473">
        <f>SUMPRODUCT((因素修正幅度!B10:B29=I2)*(因素修正幅度!C3:G3=E2)*(因素修正幅度!C10:G29))</f>
        <v>0.1</v>
      </c>
      <c r="O2" s="2259"/>
      <c r="P2" s="2259"/>
      <c r="Q2" s="2259"/>
      <c r="R2" s="477">
        <v>1</v>
      </c>
      <c r="S2" s="477">
        <f>ROUND(SUMPRODUCT((B107:B111=R2)*(C106:N106=G2)*(C107:N111)),4)</f>
        <v>1.5206</v>
      </c>
      <c r="T2" s="477">
        <f t="shared" ref="T2:T16" si="0">ROUND($C$5*$C$22*$C$23*$C$24*S2*$C$28,0)</f>
        <v>26894</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2828</v>
      </c>
      <c r="F3" s="2270"/>
      <c r="G3" s="2271"/>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21351</v>
      </c>
      <c r="U3" s="2269">
        <v>181.84</v>
      </c>
      <c r="V3" s="477">
        <f t="shared" ref="V3:V16" si="1">ROUND(T3*U3/10000,0)</f>
        <v>388</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18449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27050</v>
      </c>
      <c r="D5" s="2274">
        <f>ROUND(C6*C17+C20,0)</f>
        <v>27050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16694</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27050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15911</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0</v>
      </c>
      <c r="AA7" s="2262"/>
      <c r="AB7" s="2262"/>
      <c r="AC7" s="2262"/>
      <c r="AD7" s="2263"/>
      <c r="AE7" s="2263"/>
      <c r="AF7" s="2263"/>
      <c r="AG7" s="2263"/>
      <c r="AH7" s="2263"/>
      <c r="AI7" s="2263"/>
      <c r="AJ7" s="2264"/>
    </row>
    <row r="8" spans="1:36" ht="25.5">
      <c r="A8" s="2294"/>
      <c r="B8" s="473" t="s">
        <v>2195</v>
      </c>
      <c r="C8" s="2267" t="s">
        <v>3099</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t="s">
        <v>3102</v>
      </c>
      <c r="I20" s="2347" t="s">
        <v>3101</v>
      </c>
      <c r="J20" s="2989" t="s">
        <v>3103</v>
      </c>
      <c r="K20" s="2347" t="s">
        <v>3104</v>
      </c>
      <c r="L20" s="2347" t="s">
        <v>3105</v>
      </c>
      <c r="M20" s="2347" t="s">
        <v>3106</v>
      </c>
      <c r="N20" s="2347" t="s">
        <v>3107</v>
      </c>
      <c r="O20" s="2348" t="s">
        <v>3108</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3100</v>
      </c>
      <c r="G21" s="485">
        <f>SUM(H21:O21)</f>
        <v>375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60</v>
      </c>
      <c r="N21" s="482">
        <f>SUMPRODUCT((七通一平=N20)*(修正!B1:M1=G2)*(修正!B8:M16))</f>
        <v>50</v>
      </c>
      <c r="O21" s="487">
        <f>SUMPRODUCT((七通一平=O20)*(修正!B1:M1=G2)*(修正!B8:M16))</f>
        <v>20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44813</v>
      </c>
      <c r="H23" s="2361" t="s">
        <v>3109</v>
      </c>
      <c r="I23" s="2360" t="str">
        <f>IF(H23="季度增幅（自定义）",SUMIF(N25:N28,E2,O25:O28),"")</f>
        <v/>
      </c>
      <c r="J23" s="2982" t="s">
        <v>3110</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0.77180000000000004</v>
      </c>
      <c r="D24" s="2365" t="s">
        <v>2246</v>
      </c>
      <c r="E24" s="2365">
        <f>存贷款利率!E20/100</f>
        <v>4.3499999999999997E-2</v>
      </c>
      <c r="F24" s="2365" t="s">
        <v>2238</v>
      </c>
      <c r="G24" s="2366">
        <f>SUMIF(M30:Q30,E2,M33:Q33)</f>
        <v>5.5E-2</v>
      </c>
      <c r="H24" s="2365" t="s">
        <v>2247</v>
      </c>
      <c r="I24" s="2367">
        <f>项目基本情况!E15</f>
        <v>21.35</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3098</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v>
      </c>
      <c r="E26" s="493">
        <f>ROUNDDOWN(G3,1)</f>
        <v>0</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3">
        <f>ROUNDUP(G3,1)</f>
        <v>0</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1.0385</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388</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97</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0</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97</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12381</v>
      </c>
      <c r="D37" s="2420"/>
      <c r="E37" s="473">
        <f>ROUND(C37*D37/10000,0)</f>
        <v>0</v>
      </c>
      <c r="F37" s="473">
        <f>SUMIF(修正!A57:A68,G2,修正!B57:B68)</f>
        <v>0.7</v>
      </c>
      <c r="G37" s="473">
        <f>ROUND(IF(E2="工业",C37*$M$42,C37*$M$41),0)</f>
        <v>3095</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7075</v>
      </c>
      <c r="D38" s="2420"/>
      <c r="E38" s="473">
        <f t="shared" ref="E38:E42" si="4">ROUND(C38*D38/10000,0)</f>
        <v>0</v>
      </c>
      <c r="F38" s="473">
        <f>SUMIF(修正!A57:A68,G2,修正!C57:C68)</f>
        <v>0.4</v>
      </c>
      <c r="G38" s="473">
        <f>ROUND(IF(E2="工业",C38*$M$42,C38*$M$41),0)</f>
        <v>1769</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5306</v>
      </c>
      <c r="D39" s="2420"/>
      <c r="E39" s="473">
        <f t="shared" si="4"/>
        <v>0</v>
      </c>
      <c r="F39" s="473">
        <f>SUMIF(修正!A57:A68,G2,修正!D57:D68)</f>
        <v>0.3</v>
      </c>
      <c r="G39" s="473">
        <f>ROUND(IF(E2="工业",C39*$M$42,C39*$M$41),0)</f>
        <v>1327</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5306</v>
      </c>
      <c r="D40" s="2420"/>
      <c r="E40" s="473">
        <f t="shared" si="4"/>
        <v>0</v>
      </c>
      <c r="F40" s="495">
        <f>SUMIF(修正!A57:A68,G2,修正!E57:E68)</f>
        <v>0.3</v>
      </c>
      <c r="G40" s="473">
        <f>ROUND(IF(E2="工业",C40*$M$42,C40*$M$41),0)</f>
        <v>1327</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ht="14.25">
      <c r="U46" s="2448"/>
    </row>
    <row r="47" spans="1:30" s="2259" customFormat="1"/>
    <row r="48" spans="1:30" s="2259" customFormat="1" ht="15.75" thickBot="1">
      <c r="A48" s="2446" t="s">
        <v>2281</v>
      </c>
      <c r="B48" s="2447"/>
      <c r="C48" s="1074"/>
      <c r="D48" s="1074"/>
      <c r="E48" s="1074"/>
      <c r="F48" s="2448"/>
      <c r="G48" s="2448"/>
      <c r="H48" s="2448"/>
      <c r="I48" s="2448"/>
      <c r="K48" s="2448"/>
      <c r="L48" s="2448"/>
      <c r="M48" s="2448"/>
    </row>
    <row r="49" spans="1:14" s="2259" customFormat="1" ht="15">
      <c r="A49" s="2449" t="s">
        <v>2282</v>
      </c>
      <c r="B49" s="2450">
        <f>1+E51</f>
        <v>1.0385</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3111</v>
      </c>
      <c r="D51" s="499">
        <f t="shared" ref="D51:D59" si="7">SUMIF($J$50:$N$50,C51,J51:N51)</f>
        <v>1.4999999999999999E-2</v>
      </c>
      <c r="E51" s="2458">
        <f>ROUND(SUM(D51:D59),4)</f>
        <v>3.85E-2</v>
      </c>
      <c r="F51" s="2329">
        <f>IF(E2="商业",SUMIF(L1:L12,G2,N1:N12),"——")</f>
        <v>0.1</v>
      </c>
      <c r="G51" s="3317">
        <v>1.4999999999999999E-2</v>
      </c>
      <c r="H51" s="2460">
        <f t="shared" ref="G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3111</v>
      </c>
      <c r="D52" s="499">
        <f t="shared" si="7"/>
        <v>1.0999999999999999E-2</v>
      </c>
      <c r="E52" s="2461"/>
      <c r="F52" s="2402"/>
      <c r="G52" s="3317">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3111</v>
      </c>
      <c r="D53" s="499">
        <f t="shared" si="7"/>
        <v>6.0000000000000001E-3</v>
      </c>
      <c r="E53" s="2461"/>
      <c r="F53" s="2402"/>
      <c r="G53" s="3317">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3112</v>
      </c>
      <c r="D54" s="499">
        <f t="shared" si="7"/>
        <v>-2.5000000000000001E-3</v>
      </c>
      <c r="E54" s="2461"/>
      <c r="F54" s="2402"/>
      <c r="G54" s="3317">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3112</v>
      </c>
      <c r="D55" s="499">
        <f t="shared" si="7"/>
        <v>-4.0000000000000001E-3</v>
      </c>
      <c r="E55" s="2461"/>
      <c r="F55" s="2402"/>
      <c r="G55" s="3317">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3113</v>
      </c>
      <c r="D56" s="499">
        <f t="shared" si="7"/>
        <v>0</v>
      </c>
      <c r="E56" s="2461"/>
      <c r="F56" s="2402"/>
      <c r="G56" s="3317">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3111</v>
      </c>
      <c r="D57" s="499">
        <f t="shared" si="7"/>
        <v>2.5000000000000001E-3</v>
      </c>
      <c r="E57" s="2461"/>
      <c r="F57" s="2402"/>
      <c r="G57" s="3317">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3114</v>
      </c>
      <c r="D58" s="499">
        <f t="shared" si="7"/>
        <v>8.0000000000000002E-3</v>
      </c>
      <c r="E58" s="2461"/>
      <c r="F58" s="2402"/>
      <c r="G58" s="3317">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3111</v>
      </c>
      <c r="D59" s="499">
        <f t="shared" si="7"/>
        <v>2.5000000000000001E-3</v>
      </c>
      <c r="E59" s="487"/>
      <c r="F59" s="2402"/>
      <c r="G59" s="3317">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0</v>
      </c>
      <c r="C117" s="2365" t="s">
        <v>2318</v>
      </c>
      <c r="D117" s="500">
        <f>SUMPRODUCT((A119:A123=F117)*(B118:M118=H117)*B119:M123)</f>
        <v>0.99680000000000002</v>
      </c>
      <c r="E117" s="473" t="s">
        <v>2173</v>
      </c>
      <c r="F117" s="501" t="str">
        <f>E2</f>
        <v>商业</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0.99680000000000002</v>
      </c>
      <c r="C119" s="502">
        <f>B119</f>
        <v>0.99680000000000002</v>
      </c>
      <c r="D119" s="502">
        <f>ROUND(0.949-0.014*B117,4)</f>
        <v>0.94899999999999995</v>
      </c>
      <c r="E119" s="502">
        <f>D119</f>
        <v>0.94899999999999995</v>
      </c>
      <c r="F119" s="502">
        <f>E119</f>
        <v>0.94899999999999995</v>
      </c>
      <c r="G119" s="502">
        <f>F119</f>
        <v>0.94899999999999995</v>
      </c>
      <c r="H119" s="502">
        <f>G119</f>
        <v>0.94899999999999995</v>
      </c>
      <c r="I119" s="502">
        <f>ROUND(0.8486-0.018*B117,4)</f>
        <v>0.84860000000000002</v>
      </c>
      <c r="J119" s="502">
        <f t="shared" ref="J119:M122" si="36">I119</f>
        <v>0.84860000000000002</v>
      </c>
      <c r="K119" s="502">
        <f t="shared" si="36"/>
        <v>0.84860000000000002</v>
      </c>
      <c r="L119" s="502">
        <f t="shared" si="36"/>
        <v>0.84860000000000002</v>
      </c>
      <c r="M119" s="504">
        <f t="shared" si="36"/>
        <v>0.84860000000000002</v>
      </c>
    </row>
    <row r="120" spans="1:14">
      <c r="A120" s="2413" t="s">
        <v>2230</v>
      </c>
      <c r="B120" s="502">
        <f>ROUND(0.993-0.0112*B117,4)</f>
        <v>0.99299999999999999</v>
      </c>
      <c r="C120" s="502">
        <f>B120</f>
        <v>0.99299999999999999</v>
      </c>
      <c r="D120" s="502">
        <f>ROUND(0.9415-0.0142*B117,4)</f>
        <v>0.9415</v>
      </c>
      <c r="E120" s="502">
        <f t="shared" ref="E120:H121" si="37">D120</f>
        <v>0.9415</v>
      </c>
      <c r="F120" s="502">
        <f t="shared" si="37"/>
        <v>0.9415</v>
      </c>
      <c r="G120" s="502">
        <f t="shared" si="37"/>
        <v>0.9415</v>
      </c>
      <c r="H120" s="502">
        <f t="shared" si="37"/>
        <v>0.9415</v>
      </c>
      <c r="I120" s="502">
        <f>ROUND(0.838-0.0182*B117,4)</f>
        <v>0.83799999999999997</v>
      </c>
      <c r="J120" s="502">
        <f t="shared" si="36"/>
        <v>0.83799999999999997</v>
      </c>
      <c r="K120" s="502">
        <f t="shared" si="36"/>
        <v>0.83799999999999997</v>
      </c>
      <c r="L120" s="502">
        <f t="shared" si="36"/>
        <v>0.83799999999999997</v>
      </c>
      <c r="M120" s="504">
        <f t="shared" si="36"/>
        <v>0.83799999999999997</v>
      </c>
    </row>
    <row r="121" spans="1:14">
      <c r="A121" s="2413" t="s">
        <v>2231</v>
      </c>
      <c r="B121" s="502">
        <f>ROUND(0.9448-0.0115*B117,4)</f>
        <v>0.94479999999999997</v>
      </c>
      <c r="C121" s="502">
        <f>B121</f>
        <v>0.94479999999999997</v>
      </c>
      <c r="D121" s="502">
        <f>ROUND(0.937-0.0145*B117,4)</f>
        <v>0.93700000000000006</v>
      </c>
      <c r="E121" s="502">
        <f t="shared" si="37"/>
        <v>0.93700000000000006</v>
      </c>
      <c r="F121" s="502">
        <f t="shared" si="37"/>
        <v>0.93700000000000006</v>
      </c>
      <c r="G121" s="502">
        <f t="shared" si="37"/>
        <v>0.93700000000000006</v>
      </c>
      <c r="H121" s="502">
        <f t="shared" si="37"/>
        <v>0.93700000000000006</v>
      </c>
      <c r="I121" s="502">
        <f>ROUND(0.7965-0.0185*B117,4)</f>
        <v>0.79649999999999999</v>
      </c>
      <c r="J121" s="502">
        <f t="shared" si="36"/>
        <v>0.79649999999999999</v>
      </c>
      <c r="K121" s="502">
        <f t="shared" si="36"/>
        <v>0.79649999999999999</v>
      </c>
      <c r="L121" s="502">
        <f t="shared" si="36"/>
        <v>0.79649999999999999</v>
      </c>
      <c r="M121" s="504">
        <f t="shared" si="36"/>
        <v>0.79649999999999999</v>
      </c>
    </row>
    <row r="122" spans="1:14" ht="13.5" thickBot="1">
      <c r="A122" s="2417" t="s">
        <v>2232</v>
      </c>
      <c r="B122" s="503">
        <f>ROUND(0.7836-0.012*B117,4)</f>
        <v>0.78359999999999996</v>
      </c>
      <c r="C122" s="503">
        <f>B122</f>
        <v>0.78359999999999996</v>
      </c>
      <c r="D122" s="503">
        <f>ROUND(0.753-0.015*B117,4)</f>
        <v>0.753</v>
      </c>
      <c r="E122" s="503">
        <f>D122</f>
        <v>0.753</v>
      </c>
      <c r="F122" s="503">
        <f>E122</f>
        <v>0.753</v>
      </c>
      <c r="G122" s="503">
        <f>ROUND(0.6612-0.018*B117,4)</f>
        <v>0.66120000000000001</v>
      </c>
      <c r="H122" s="503">
        <f>G122</f>
        <v>0.66120000000000001</v>
      </c>
      <c r="I122" s="503">
        <f>ROUND(0.5905-0.019*B117,4)</f>
        <v>0.59050000000000002</v>
      </c>
      <c r="J122" s="503">
        <f t="shared" si="36"/>
        <v>0.59050000000000002</v>
      </c>
      <c r="K122" s="503">
        <f t="shared" si="36"/>
        <v>0.59050000000000002</v>
      </c>
      <c r="L122" s="503">
        <f t="shared" si="36"/>
        <v>0.59050000000000002</v>
      </c>
      <c r="M122" s="505">
        <f t="shared" si="36"/>
        <v>0.59050000000000002</v>
      </c>
    </row>
    <row r="123" spans="1:14">
      <c r="A123" s="2492" t="s">
        <v>2901</v>
      </c>
      <c r="B123" s="502">
        <f>ROUND(0.9404-0.0106*B117,4)</f>
        <v>0.94040000000000001</v>
      </c>
      <c r="C123" s="502">
        <f>B123</f>
        <v>0.94040000000000001</v>
      </c>
      <c r="D123" s="502">
        <f>ROUND(0.8955-0.0135*B117,4)</f>
        <v>0.89549999999999996</v>
      </c>
      <c r="E123" s="502">
        <f t="shared" ref="E123" si="38">D123</f>
        <v>0.89549999999999996</v>
      </c>
      <c r="F123" s="502">
        <f t="shared" ref="F123" si="39">E123</f>
        <v>0.89549999999999996</v>
      </c>
      <c r="G123" s="502">
        <f t="shared" ref="G123" si="40">F123</f>
        <v>0.89549999999999996</v>
      </c>
      <c r="H123" s="502">
        <f t="shared" ref="H123" si="41">G123</f>
        <v>0.89549999999999996</v>
      </c>
      <c r="I123" s="502">
        <f>ROUND(0.7632-0.0166*B117,4)</f>
        <v>0.76319999999999999</v>
      </c>
      <c r="J123" s="502">
        <f t="shared" ref="J123" si="42">I123</f>
        <v>0.76319999999999999</v>
      </c>
      <c r="K123" s="502">
        <f t="shared" ref="K123" si="43">J123</f>
        <v>0.76319999999999999</v>
      </c>
      <c r="L123" s="502">
        <f t="shared" ref="L123" si="44">K123</f>
        <v>0.76319999999999999</v>
      </c>
      <c r="M123" s="504">
        <f t="shared" ref="M123" si="45">L123</f>
        <v>0.76319999999999999</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9" priority="8" stopIfTrue="1" operator="notEqual">
      <formula>"——"</formula>
    </cfRule>
  </conditionalFormatting>
  <conditionalFormatting sqref="F62">
    <cfRule type="cellIs" dxfId="8" priority="7" stopIfTrue="1" operator="notEqual">
      <formula>"——"</formula>
    </cfRule>
  </conditionalFormatting>
  <conditionalFormatting sqref="F73">
    <cfRule type="cellIs" dxfId="7" priority="6" stopIfTrue="1" operator="notEqual">
      <formula>"——"</formula>
    </cfRule>
  </conditionalFormatting>
  <conditionalFormatting sqref="F84">
    <cfRule type="cellIs" dxfId="6" priority="5" stopIfTrue="1" operator="notEqual">
      <formula>"——"</formula>
    </cfRule>
  </conditionalFormatting>
  <conditionalFormatting sqref="H51:H59 H62:H70 H73:H81 H84:H91">
    <cfRule type="cellIs" dxfId="5" priority="4" operator="notEqual">
      <formula>"——"</formula>
    </cfRule>
  </conditionalFormatting>
  <conditionalFormatting sqref="F94">
    <cfRule type="cellIs" dxfId="4" priority="3" stopIfTrue="1" operator="notEqual">
      <formula>"——"</formula>
    </cfRule>
  </conditionalFormatting>
  <conditionalFormatting sqref="H94:H103">
    <cfRule type="cellIs" dxfId="3" priority="2" operator="notEqual">
      <formula>"——"</formula>
    </cfRule>
  </conditionalFormatting>
  <conditionalFormatting sqref="G51:G59">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388</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388</v>
      </c>
      <c r="C6" s="2543" t="s">
        <v>2332</v>
      </c>
      <c r="D6" s="2542"/>
      <c r="E6" s="2544">
        <f ca="1">SUMIF(INDIRECT("'"&amp;A6&amp;"'"&amp;"!C:C"),"建筑面积",INDIRECT("'"&amp;A6&amp;"'"&amp;"!D:D"))</f>
        <v>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44813</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44813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4" priority="51">
      <formula>AND($C4-TODAY()&lt;30,TODAY()&lt;$C4)</formula>
    </cfRule>
  </conditionalFormatting>
  <conditionalFormatting sqref="C20:D20">
    <cfRule type="expression" dxfId="233" priority="50">
      <formula>AND($C20-TODAY()&lt;30,TODAY()&lt;$C20)</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conditionalFormatting sqref="D12">
    <cfRule type="expression" dxfId="228" priority="45">
      <formula>AND($C12-TODAY()&lt;30,TODAY()&lt;$C12)</formula>
    </cfRule>
  </conditionalFormatting>
  <conditionalFormatting sqref="D12">
    <cfRule type="cellIs" dxfId="227" priority="46" stopIfTrue="1" operator="lessThan">
      <formula>$B$2</formula>
    </cfRule>
  </conditionalFormatting>
  <conditionalFormatting sqref="C13:D13">
    <cfRule type="expression" dxfId="226" priority="43">
      <formula>AND($C13-TODAY()&lt;30,TODAY()&lt;$C13)</formula>
    </cfRule>
  </conditionalFormatting>
  <conditionalFormatting sqref="C13:D13">
    <cfRule type="cellIs" dxfId="225" priority="44" stopIfTrue="1" operator="lessThan">
      <formula>$B$2</formula>
    </cfRule>
  </conditionalFormatting>
  <conditionalFormatting sqref="D14">
    <cfRule type="expression" dxfId="224" priority="41">
      <formula>AND($C14-TODAY()&lt;30,TODAY()&lt;$C14)</formula>
    </cfRule>
  </conditionalFormatting>
  <conditionalFormatting sqref="D14">
    <cfRule type="cellIs" dxfId="223" priority="42" stopIfTrue="1" operator="lessThan">
      <formula>$B$2</formula>
    </cfRule>
  </conditionalFormatting>
  <conditionalFormatting sqref="G13">
    <cfRule type="cellIs" dxfId="222" priority="40" stopIfTrue="1" operator="lessThan">
      <formula>$B$2</formula>
    </cfRule>
  </conditionalFormatting>
  <conditionalFormatting sqref="B4:B11 F4:F11 B13 F13:F14">
    <cfRule type="cellIs" dxfId="221" priority="39" stopIfTrue="1" operator="equal">
      <formula>"已过期"</formula>
    </cfRule>
  </conditionalFormatting>
  <conditionalFormatting sqref="G20">
    <cfRule type="expression" dxfId="220" priority="37">
      <formula>AND($E20-TODAY()&lt;30,TODAY()&lt;$E20)</formula>
    </cfRule>
  </conditionalFormatting>
  <conditionalFormatting sqref="G20">
    <cfRule type="cellIs" dxfId="219" priority="38" stopIfTrue="1" operator="lessThan">
      <formula>$B$2</formula>
    </cfRule>
  </conditionalFormatting>
  <conditionalFormatting sqref="C7">
    <cfRule type="expression" dxfId="218" priority="35">
      <formula>AND($C7-TODAY()&lt;30,TODAY()&lt;$C7)</formula>
    </cfRule>
  </conditionalFormatting>
  <conditionalFormatting sqref="C7">
    <cfRule type="cellIs" dxfId="217" priority="36" stopIfTrue="1" operator="lessThan">
      <formula>$B$2</formula>
    </cfRule>
  </conditionalFormatting>
  <conditionalFormatting sqref="C8">
    <cfRule type="expression" dxfId="216" priority="33">
      <formula>AND($C8-TODAY()&lt;30,TODAY()&lt;$C8)</formula>
    </cfRule>
  </conditionalFormatting>
  <conditionalFormatting sqref="C8">
    <cfRule type="cellIs" dxfId="215" priority="34" stopIfTrue="1" operator="lessThan">
      <formula>$B$2</formula>
    </cfRule>
  </conditionalFormatting>
  <conditionalFormatting sqref="C11">
    <cfRule type="expression" dxfId="214" priority="31">
      <formula>AND($C11-TODAY()&lt;30,TODAY()&lt;$C11)</formula>
    </cfRule>
  </conditionalFormatting>
  <conditionalFormatting sqref="C11">
    <cfRule type="cellIs" dxfId="213" priority="32" stopIfTrue="1" operator="lessThan">
      <formula>$B$2</formula>
    </cfRule>
  </conditionalFormatting>
  <conditionalFormatting sqref="A16:C16">
    <cfRule type="cellIs" dxfId="212" priority="30" stopIfTrue="1" operator="equal">
      <formula>"已过期"</formula>
    </cfRule>
  </conditionalFormatting>
  <conditionalFormatting sqref="E16:G16">
    <cfRule type="cellIs" dxfId="211" priority="29" stopIfTrue="1" operator="equal">
      <formula>"已过期"</formula>
    </cfRule>
  </conditionalFormatting>
  <conditionalFormatting sqref="G11">
    <cfRule type="cellIs" dxfId="210" priority="28" stopIfTrue="1" operator="lessThan">
      <formula>$B$2</formula>
    </cfRule>
  </conditionalFormatting>
  <conditionalFormatting sqref="F12">
    <cfRule type="cellIs" dxfId="209" priority="27" stopIfTrue="1" operator="equal">
      <formula>"已过期"</formula>
    </cfRule>
  </conditionalFormatting>
  <conditionalFormatting sqref="G12">
    <cfRule type="cellIs" dxfId="208" priority="26" stopIfTrue="1" operator="lessThan">
      <formula>$B$2</formula>
    </cfRule>
  </conditionalFormatting>
  <conditionalFormatting sqref="C12">
    <cfRule type="cellIs" dxfId="207" priority="25" stopIfTrue="1" operator="lessThan">
      <formula>$B$2</formula>
    </cfRule>
  </conditionalFormatting>
  <conditionalFormatting sqref="C12">
    <cfRule type="expression" dxfId="206" priority="23">
      <formula>AND($C12-TODAY()&lt;30,TODAY()&lt;$C12)</formula>
    </cfRule>
  </conditionalFormatting>
  <conditionalFormatting sqref="C12">
    <cfRule type="cellIs" dxfId="205" priority="24" stopIfTrue="1" operator="lessThan">
      <formula>$B$2</formula>
    </cfRule>
  </conditionalFormatting>
  <conditionalFormatting sqref="B12">
    <cfRule type="cellIs" dxfId="204" priority="22" stopIfTrue="1" operator="equal">
      <formula>"已过期"</formula>
    </cfRule>
  </conditionalFormatting>
  <conditionalFormatting sqref="C9:C10">
    <cfRule type="expression" dxfId="203" priority="20">
      <formula>AND($C9-TODAY()&lt;30,TODAY()&lt;$C9)</formula>
    </cfRule>
  </conditionalFormatting>
  <conditionalFormatting sqref="C9:C10">
    <cfRule type="cellIs" dxfId="202" priority="21" stopIfTrue="1" operator="lessThan">
      <formula>$B$2</formula>
    </cfRule>
  </conditionalFormatting>
  <conditionalFormatting sqref="G21">
    <cfRule type="expression" dxfId="201" priority="18" stopIfTrue="1">
      <formula>AND(#REF!-TODAY()&lt;30,TODAY()&lt;#REF!)</formula>
    </cfRule>
  </conditionalFormatting>
  <conditionalFormatting sqref="G21">
    <cfRule type="cellIs" dxfId="200" priority="19" stopIfTrue="1" operator="lessThan">
      <formula>$B$2</formula>
    </cfRule>
  </conditionalFormatting>
  <conditionalFormatting sqref="C14">
    <cfRule type="expression" dxfId="199" priority="16">
      <formula>AND($C14-TODAY()&lt;30,TODAY()&lt;$C14)</formula>
    </cfRule>
  </conditionalFormatting>
  <conditionalFormatting sqref="C14">
    <cfRule type="cellIs" dxfId="198" priority="17" stopIfTrue="1" operator="lessThan">
      <formula>$B$2</formula>
    </cfRule>
  </conditionalFormatting>
  <conditionalFormatting sqref="C14">
    <cfRule type="expression" dxfId="197" priority="14">
      <formula>AND($C14-TODAY()&lt;30,TODAY()&lt;$C14)</formula>
    </cfRule>
  </conditionalFormatting>
  <conditionalFormatting sqref="C14">
    <cfRule type="cellIs" dxfId="196" priority="15" stopIfTrue="1" operator="lessThan">
      <formula>$B$2</formula>
    </cfRule>
  </conditionalFormatting>
  <conditionalFormatting sqref="B14">
    <cfRule type="cellIs" dxfId="195" priority="13" stopIfTrue="1" operator="equal">
      <formula>"已过期"</formula>
    </cfRule>
  </conditionalFormatting>
  <conditionalFormatting sqref="G14">
    <cfRule type="cellIs" dxfId="194" priority="12" stopIfTrue="1" operator="lessThan">
      <formula>$B$2</formula>
    </cfRule>
  </conditionalFormatting>
  <conditionalFormatting sqref="D15">
    <cfRule type="expression" dxfId="193" priority="10">
      <formula>AND($C15-TODAY()&lt;30,TODAY()&lt;$C15)</formula>
    </cfRule>
  </conditionalFormatting>
  <conditionalFormatting sqref="D15">
    <cfRule type="cellIs" dxfId="192" priority="11" stopIfTrue="1" operator="lessThan">
      <formula>$B$2</formula>
    </cfRule>
  </conditionalFormatting>
  <conditionalFormatting sqref="D15">
    <cfRule type="expression" dxfId="191" priority="8">
      <formula>AND($C15-TODAY()&lt;30,TODAY()&lt;$C15)</formula>
    </cfRule>
  </conditionalFormatting>
  <conditionalFormatting sqref="D15">
    <cfRule type="cellIs" dxfId="190" priority="9" stopIfTrue="1" operator="lessThan">
      <formula>$B$2</formula>
    </cfRule>
  </conditionalFormatting>
  <conditionalFormatting sqref="F15">
    <cfRule type="cellIs" dxfId="189" priority="7" stopIfTrue="1" operator="equal">
      <formula>"已过期"</formula>
    </cfRule>
  </conditionalFormatting>
  <conditionalFormatting sqref="C15">
    <cfRule type="expression" dxfId="188" priority="5">
      <formula>AND($C15-TODAY()&lt;30,TODAY()&lt;$C15)</formula>
    </cfRule>
  </conditionalFormatting>
  <conditionalFormatting sqref="C15">
    <cfRule type="cellIs" dxfId="187" priority="6" stopIfTrue="1" operator="lessThan">
      <formula>$B$2</formula>
    </cfRule>
  </conditionalFormatting>
  <conditionalFormatting sqref="C15">
    <cfRule type="expression" dxfId="186" priority="3">
      <formula>AND($C15-TODAY()&lt;30,TODAY()&lt;$C15)</formula>
    </cfRule>
  </conditionalFormatting>
  <conditionalFormatting sqref="C15">
    <cfRule type="cellIs" dxfId="185" priority="4" stopIfTrue="1" operator="lessThan">
      <formula>$B$2</formula>
    </cfRule>
  </conditionalFormatting>
  <conditionalFormatting sqref="B15">
    <cfRule type="cellIs" dxfId="184" priority="2" stopIfTrue="1" operator="equal">
      <formula>"已过期"</formula>
    </cfRule>
  </conditionalFormatting>
  <conditionalFormatting sqref="G15">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2022-09-09T05:40:53Z</dcterms:modified>
</cp:coreProperties>
</file>