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8" activeTab="17"/>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1）" sheetId="78" state="hidden" r:id="rId45"/>
    <sheet name="比较法-商业租金" sheetId="79" r:id="rId46"/>
    <sheet name="租约"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'比较法-商业（1）'!$A$1:$L$49</definedName>
    <definedName name="_xlnm._FilterDatabase" localSheetId="45"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'比较法-商业（1）'!$B$116:$M$116</definedName>
    <definedName name="商业层高" localSheetId="45">'比较法-商业租金'!$B$116:$M$116</definedName>
    <definedName name="商业层高">'比较法-商业'!$B$116:$M$116</definedName>
    <definedName name="商业成新度" localSheetId="44">'比较法-商业（1）'!$B$109:$M$109</definedName>
    <definedName name="商业成新度" localSheetId="45">'比较法-商业租金'!$B$109:$M$109</definedName>
    <definedName name="商业成新度">'比较法-商业'!$B$109:$M$109</definedName>
    <definedName name="商业繁华度">定义!$L$1:$L$6</definedName>
    <definedName name="商业公共部分装修" localSheetId="44">'比较法-商业（1）'!$B$107:$M$107</definedName>
    <definedName name="商业公共部分装修" localSheetId="45">'比较法-商业租金'!$B$107:$M$107</definedName>
    <definedName name="商业公共部分装修">'比较法-商业'!$B$107:$M$107</definedName>
    <definedName name="商业基础设施水平" localSheetId="44">'比较法-商业（1）'!$B$112:$M$112</definedName>
    <definedName name="商业基础设施水平" localSheetId="45">'比较法-商业租金'!$B$112:$M$112</definedName>
    <definedName name="商业基础设施水平">'比较法-商业'!$B$112:$M$112</definedName>
    <definedName name="商业建筑结构" localSheetId="44">'比较法-商业（1）'!$B$105:$M$105</definedName>
    <definedName name="商业建筑结构" localSheetId="45">'比较法-商业租金'!$B$105:$M$105</definedName>
    <definedName name="商业建筑结构">'比较法-商业'!$B$105:$M$105</definedName>
    <definedName name="商业交易情况" localSheetId="44">'比较法-商业（1）'!$A$61:$M$61</definedName>
    <definedName name="商业交易情况" localSheetId="45">'比较法-商业租金'!$A$61:$M$61</definedName>
    <definedName name="商业交易情况">'比较法-商业'!$A$61:$M$61</definedName>
    <definedName name="商业街名称">修正!$C$59:$C$119</definedName>
    <definedName name="商业进深比" localSheetId="44">'比较法-商业（1）'!$B$120:$M$120</definedName>
    <definedName name="商业进深比" localSheetId="45">'比较法-商业租金'!$B$120:$M$120</definedName>
    <definedName name="商业进深比">'比较法-商业'!$B$120:$M$120</definedName>
    <definedName name="商业类型" localSheetId="44">'比较法-商业（1）'!$B$100:$M$100</definedName>
    <definedName name="商业类型" localSheetId="45">'比较法-商业租金'!$B$100:$M$100</definedName>
    <definedName name="商业类型">'比较法-商业'!$B$100:$M$100</definedName>
    <definedName name="商业临街状况" localSheetId="44">'比较法-商业（1）'!$B$86:$M$86</definedName>
    <definedName name="商业临街状况" localSheetId="45">'比较法-商业租金'!$B$86:$M$86</definedName>
    <definedName name="商业临街状况">'比较法-商业'!$B$86:$M$86</definedName>
    <definedName name="商业楼层" localSheetId="44">'比较法-商业（1）'!$B$92:$M$92</definedName>
    <definedName name="商业楼层" localSheetId="45">'比较法-商业租金'!$B$92:$M$92</definedName>
    <definedName name="商业楼层">'比较法-商业'!$B$92:$M$92</definedName>
    <definedName name="商业内部装修" localSheetId="44">'比较法-商业（1）'!$B$122:$M$122</definedName>
    <definedName name="商业内部装修" localSheetId="45">'比较法-商业租金'!$B$122:$M$122</definedName>
    <definedName name="商业内部装修">'比较法-商业'!$B$122:$M$122</definedName>
    <definedName name="商业人流量" localSheetId="44">'比较法-商业（1）'!$B$90:$M$90</definedName>
    <definedName name="商业人流量" localSheetId="45">'比较法-商业租金'!$B$90:$M$90</definedName>
    <definedName name="商业人流量">'比较法-商业'!$B$90:$M$90</definedName>
    <definedName name="商业业态" localSheetId="44">'比较法-商业（1）'!$B$114:$M$114</definedName>
    <definedName name="商业业态" localSheetId="45">'比较法-商业租金'!$B$114:$M$114</definedName>
    <definedName name="商业业态">'比较法-商业'!$B$114:$M$114</definedName>
    <definedName name="商业用途" localSheetId="44">'比较法-商业（1）'!$B$63:$M$63</definedName>
    <definedName name="商业用途" localSheetId="45">'比较法-商业租金'!$B$63:$M$63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33" l="1"/>
  <c r="G47" i="33"/>
  <c r="I47" i="33"/>
  <c r="V6" i="1" l="1"/>
  <c r="N6" i="1"/>
  <c r="I36" i="33" l="1"/>
  <c r="H6" i="77" l="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E36" i="79"/>
  <c r="C36" i="79"/>
  <c r="J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S8" i="79"/>
  <c r="J8" i="79"/>
  <c r="AC8" i="79" s="1"/>
  <c r="H8" i="79"/>
  <c r="AB8" i="79" s="1"/>
  <c r="F8" i="79"/>
  <c r="AA8" i="79" s="1"/>
  <c r="G36" i="33"/>
  <c r="E36" i="33"/>
  <c r="C36" i="33"/>
  <c r="W8" i="79" l="1"/>
  <c r="F36" i="79"/>
  <c r="AA36" i="79" s="1"/>
  <c r="U8" i="79"/>
  <c r="U9" i="79"/>
  <c r="S10" i="79"/>
  <c r="W10" i="79"/>
  <c r="U12" i="79"/>
  <c r="S13" i="79"/>
  <c r="W13" i="79"/>
  <c r="U14" i="79"/>
  <c r="U15" i="79"/>
  <c r="U17" i="79"/>
  <c r="U19" i="79"/>
  <c r="U21" i="79"/>
  <c r="W23" i="79"/>
  <c r="S36" i="79"/>
  <c r="S9" i="79"/>
  <c r="W9" i="79"/>
  <c r="U10" i="79"/>
  <c r="S12" i="79"/>
  <c r="W12" i="79"/>
  <c r="U13" i="79"/>
  <c r="S14" i="79"/>
  <c r="W14" i="79"/>
  <c r="S15" i="79"/>
  <c r="W15" i="79"/>
  <c r="S17" i="79"/>
  <c r="W17" i="79"/>
  <c r="S19" i="79"/>
  <c r="W19" i="79"/>
  <c r="S21" i="79"/>
  <c r="W21" i="79"/>
  <c r="S23" i="79"/>
  <c r="AC36" i="79"/>
  <c r="W36" i="79"/>
  <c r="U23" i="79"/>
  <c r="S25" i="79"/>
  <c r="W25" i="79"/>
  <c r="U26" i="79"/>
  <c r="S27" i="79"/>
  <c r="W27" i="79"/>
  <c r="U28" i="79"/>
  <c r="S29" i="79"/>
  <c r="W29" i="79"/>
  <c r="U30" i="79"/>
  <c r="S31" i="79"/>
  <c r="W31" i="79"/>
  <c r="U32" i="79"/>
  <c r="S33" i="79"/>
  <c r="W33" i="79"/>
  <c r="U34" i="79"/>
  <c r="S35" i="79"/>
  <c r="W35" i="79"/>
  <c r="G36" i="79"/>
  <c r="H36" i="79" s="1"/>
  <c r="S37" i="79"/>
  <c r="W37" i="79"/>
  <c r="U38" i="79"/>
  <c r="S39" i="79"/>
  <c r="W39" i="79"/>
  <c r="U40" i="79"/>
  <c r="S41" i="79"/>
  <c r="W41" i="79"/>
  <c r="U42" i="79"/>
  <c r="S43" i="79"/>
  <c r="W43" i="79"/>
  <c r="U44" i="79"/>
  <c r="S45" i="79"/>
  <c r="W45" i="79"/>
  <c r="U46" i="79"/>
  <c r="E54" i="79"/>
  <c r="F54" i="79" s="1"/>
  <c r="I54" i="79"/>
  <c r="J54" i="79" s="1"/>
  <c r="R47" i="79"/>
  <c r="V47" i="79"/>
  <c r="U25" i="79"/>
  <c r="S26" i="79"/>
  <c r="W26" i="79"/>
  <c r="U27" i="79"/>
  <c r="S28" i="79"/>
  <c r="W28" i="79"/>
  <c r="U29" i="79"/>
  <c r="S30" i="79"/>
  <c r="W30" i="79"/>
  <c r="U31" i="79"/>
  <c r="S32" i="79"/>
  <c r="W32" i="79"/>
  <c r="U33" i="79"/>
  <c r="S34" i="79"/>
  <c r="W34" i="79"/>
  <c r="U35" i="79"/>
  <c r="U37" i="79"/>
  <c r="S38" i="79"/>
  <c r="W38" i="79"/>
  <c r="U39" i="79"/>
  <c r="S40" i="79"/>
  <c r="W40" i="79"/>
  <c r="U41" i="79"/>
  <c r="S42" i="79"/>
  <c r="W42" i="79"/>
  <c r="U43" i="79"/>
  <c r="S44" i="79"/>
  <c r="W44" i="79"/>
  <c r="U45" i="79"/>
  <c r="S46" i="79"/>
  <c r="W46" i="79"/>
  <c r="G54" i="79"/>
  <c r="H54" i="79" s="1"/>
  <c r="T47" i="79"/>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H21" i="78"/>
  <c r="AB21" i="78" s="1"/>
  <c r="F21" i="78"/>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W19" i="78" l="1"/>
  <c r="U8" i="78"/>
  <c r="AB36" i="79"/>
  <c r="U36" i="79"/>
  <c r="U9" i="78"/>
  <c r="S10" i="78"/>
  <c r="W10" i="78"/>
  <c r="S12" i="78"/>
  <c r="W12" i="78"/>
  <c r="U13" i="78"/>
  <c r="S14" i="78"/>
  <c r="W14" i="78"/>
  <c r="S15" i="78"/>
  <c r="W15" i="78"/>
  <c r="S17" i="78"/>
  <c r="W17" i="78"/>
  <c r="S19" i="78"/>
  <c r="AA8" i="78"/>
  <c r="AC8" i="78"/>
  <c r="S9" i="78"/>
  <c r="W9" i="78"/>
  <c r="U10" i="78"/>
  <c r="U12" i="78"/>
  <c r="S13" i="78"/>
  <c r="W13" i="78"/>
  <c r="U14" i="78"/>
  <c r="U15" i="78"/>
  <c r="U17" i="78"/>
  <c r="AA21" i="78"/>
  <c r="S21" i="78"/>
  <c r="AC21" i="78"/>
  <c r="W21"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W46"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U46" i="78"/>
  <c r="F70" i="15" l="1"/>
  <c r="Y6" i="1"/>
  <c r="E4" i="77"/>
  <c r="E3" i="77"/>
  <c r="E2" i="77"/>
  <c r="F19" i="6" l="1"/>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12" i="76"/>
  <c r="E8" i="76"/>
  <c r="E10" i="76"/>
  <c r="B7" i="76"/>
  <c r="B13" i="76"/>
  <c r="B10" i="76"/>
  <c r="B8" i="76"/>
  <c r="E13" i="76"/>
  <c r="B11" i="76"/>
  <c r="E12" i="76"/>
  <c r="E7" i="76"/>
  <c r="E9" i="76"/>
  <c r="B9"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3" i="73"/>
  <c r="D3" i="73"/>
  <c r="D5" i="73"/>
  <c r="F4" i="73"/>
  <c r="F5"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4" i="71" l="1"/>
  <c r="B35" i="71" s="1"/>
  <c r="S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2"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E113"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B127" i="34"/>
  <c r="B99" i="34"/>
  <c r="F32" i="34" s="1"/>
  <c r="B97" i="34"/>
  <c r="B95" i="34"/>
  <c r="H30" i="34" s="1"/>
  <c r="B93" i="34"/>
  <c r="B75" i="34"/>
  <c r="F14" i="34" s="1"/>
  <c r="B73" i="34"/>
  <c r="B71" i="34"/>
  <c r="J12" i="34" s="1"/>
  <c r="B130" i="33"/>
  <c r="J46" i="33" s="1"/>
  <c r="AC46" i="33" s="1"/>
  <c r="B128" i="33"/>
  <c r="H45" i="33" s="1"/>
  <c r="B126" i="33"/>
  <c r="J44" i="33" s="1"/>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W33" i="33"/>
  <c r="H39" i="37"/>
  <c r="AB39" i="37" s="1"/>
  <c r="S27" i="35"/>
  <c r="F11" i="40"/>
  <c r="AA11" i="40" s="1"/>
  <c r="H11" i="40"/>
  <c r="AB11" i="40" s="1"/>
  <c r="AA9" i="40"/>
  <c r="AC9" i="40"/>
  <c r="U9" i="40"/>
  <c r="U38" i="40"/>
  <c r="W31" i="40"/>
  <c r="U34" i="40"/>
  <c r="S38" i="40"/>
  <c r="U40" i="40"/>
  <c r="F42" i="39"/>
  <c r="AA42" i="39" s="1"/>
  <c r="F41" i="39"/>
  <c r="S41" i="39" s="1"/>
  <c r="H40" i="39"/>
  <c r="AB40" i="39" s="1"/>
  <c r="H39" i="39"/>
  <c r="U39" i="39" s="1"/>
  <c r="S38" i="39"/>
  <c r="S34" i="39"/>
  <c r="H34" i="39"/>
  <c r="U34" i="39" s="1"/>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J31" i="39"/>
  <c r="F101" i="39"/>
  <c r="G101" i="39" s="1"/>
  <c r="H27" i="39"/>
  <c r="U27" i="39" s="1"/>
  <c r="J19" i="39"/>
  <c r="AC19" i="39" s="1"/>
  <c r="J17" i="39"/>
  <c r="J27" i="39"/>
  <c r="AC27" i="39" s="1"/>
  <c r="F27" i="39"/>
  <c r="F11" i="21"/>
  <c r="S11" i="21" s="1"/>
  <c r="U34" i="21"/>
  <c r="C27" i="39"/>
  <c r="C21" i="39"/>
  <c r="H11" i="39"/>
  <c r="C15" i="39"/>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F32" i="33"/>
  <c r="AA32" i="33" s="1"/>
  <c r="J19" i="33"/>
  <c r="AC19" i="33" s="1"/>
  <c r="J15" i="33"/>
  <c r="AC15" i="33" s="1"/>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15" i="33"/>
  <c r="AB15" i="33" s="1"/>
  <c r="F28" i="40"/>
  <c r="AA28" i="40" s="1"/>
  <c r="AA29" i="35"/>
  <c r="AA42" i="34"/>
  <c r="S42" i="34"/>
  <c r="AC38" i="34"/>
  <c r="AA38" i="34"/>
  <c r="J37" i="34"/>
  <c r="AC37" i="34" s="1"/>
  <c r="S28" i="34"/>
  <c r="U23" i="40"/>
  <c r="G123" i="21"/>
  <c r="H123" i="21" s="1"/>
  <c r="I123" i="21" s="1"/>
  <c r="J123" i="21" s="1"/>
  <c r="K123" i="21" s="1"/>
  <c r="L123" i="21" s="1"/>
  <c r="M123" i="21" s="1"/>
  <c r="J42" i="21"/>
  <c r="AC42" i="21" s="1"/>
  <c r="H42" i="21"/>
  <c r="U42" i="21" s="1"/>
  <c r="J44" i="34"/>
  <c r="W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AA14" i="33"/>
  <c r="J36" i="37"/>
  <c r="AC36" i="37" s="1"/>
  <c r="G105" i="37"/>
  <c r="AB11" i="35"/>
  <c r="J10" i="36"/>
  <c r="AC10" i="36" s="1"/>
  <c r="AB30" i="21"/>
  <c r="W31" i="34"/>
  <c r="W13" i="36"/>
  <c r="W11" i="36"/>
  <c r="S44" i="34"/>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17" i="37"/>
  <c r="U17" i="37" s="1"/>
  <c r="AB27" i="37"/>
  <c r="AA36" i="39"/>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AC32" i="36"/>
  <c r="U35" i="35"/>
  <c r="AA12" i="35"/>
  <c r="AB28" i="37"/>
  <c r="U33" i="37"/>
  <c r="U39" i="37"/>
  <c r="W26" i="37"/>
  <c r="AC8" i="37"/>
  <c r="U26" i="37"/>
  <c r="W47" i="34"/>
  <c r="AB13" i="34"/>
  <c r="W37" i="34"/>
  <c r="AB37" i="34"/>
  <c r="AC36" i="34"/>
  <c r="AC31" i="33"/>
  <c r="U19"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U40"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4" i="3"/>
  <c r="AZ502"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Z496" i="3"/>
  <c r="G548" i="3"/>
  <c r="G538" i="3"/>
  <c r="G520" i="3"/>
  <c r="G502" i="3"/>
  <c r="BS5" i="3"/>
  <c r="BP5" i="3"/>
  <c r="G29" i="6" s="1"/>
  <c r="BN5" i="3"/>
  <c r="AZ343" i="3"/>
  <c r="BK5" i="3"/>
  <c r="BI5" i="3"/>
  <c r="BG5" i="3"/>
  <c r="BE5" i="3"/>
  <c r="BC5" i="3"/>
  <c r="G17" i="3"/>
  <c r="BA17" i="3"/>
  <c r="BT5" i="3"/>
  <c r="AZ350" i="3"/>
  <c r="AZ352" i="3"/>
  <c r="AZ360" i="3"/>
  <c r="AZ368" i="3"/>
  <c r="BA15" i="3"/>
  <c r="BB5" i="3"/>
  <c r="BR5" i="3"/>
  <c r="AZ380" i="3"/>
  <c r="AZ384" i="3"/>
  <c r="AZ388" i="3"/>
  <c r="AZ392" i="3"/>
  <c r="E8" i="6"/>
  <c r="F27" i="6" s="1"/>
  <c r="BL493" i="3"/>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W37" i="37"/>
  <c r="AC44" i="34"/>
  <c r="U13" i="37"/>
  <c r="U12" i="40"/>
  <c r="AA12" i="40"/>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E15" i="6"/>
  <c r="E60" i="40" s="1"/>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AZ587" i="3" l="1"/>
  <c r="U23" i="35"/>
  <c r="AB23" i="35"/>
  <c r="AB9" i="36"/>
  <c r="U9" i="36"/>
  <c r="U11" i="36"/>
  <c r="AB11" i="36"/>
  <c r="AC24" i="36"/>
  <c r="W24" i="36"/>
  <c r="W43" i="39"/>
  <c r="AC43" i="39"/>
  <c r="AB45" i="39"/>
  <c r="U45" i="39"/>
  <c r="F113" i="33"/>
  <c r="G113" i="33" s="1"/>
  <c r="H113" i="33" s="1"/>
  <c r="I113" i="33" s="1"/>
  <c r="J113" i="33" s="1"/>
  <c r="K113" i="33" s="1"/>
  <c r="L113" i="33" s="1"/>
  <c r="M113" i="33" s="1"/>
  <c r="J37" i="33"/>
  <c r="W37" i="33" s="1"/>
  <c r="H37" i="33"/>
  <c r="AB37" i="33" s="1"/>
  <c r="S12" i="21"/>
  <c r="AA12" i="21"/>
  <c r="AC44" i="21"/>
  <c r="W44" i="21"/>
  <c r="W46" i="21"/>
  <c r="AC46" i="21"/>
  <c r="AB13" i="33"/>
  <c r="U13" i="33"/>
  <c r="AC29" i="33"/>
  <c r="W29" i="33"/>
  <c r="U31" i="33"/>
  <c r="AB31" i="33"/>
  <c r="U45" i="33"/>
  <c r="AB45" i="33"/>
  <c r="W12" i="34"/>
  <c r="AC12" i="34"/>
  <c r="S14" i="34"/>
  <c r="AA14" i="34"/>
  <c r="U46" i="34"/>
  <c r="AB46" i="34"/>
  <c r="U12" i="35"/>
  <c r="AB12" i="35"/>
  <c r="AC11" i="35"/>
  <c r="W11" i="35"/>
  <c r="AB34" i="35"/>
  <c r="U34" i="35"/>
  <c r="W12" i="36"/>
  <c r="AC12" i="36"/>
  <c r="U44" i="39"/>
  <c r="AB44" i="39"/>
  <c r="W37" i="39"/>
  <c r="AC37" i="39"/>
  <c r="W12" i="40"/>
  <c r="AC12" i="40"/>
  <c r="AC35" i="39"/>
  <c r="W35" i="39"/>
  <c r="AZ521" i="3"/>
  <c r="AZ581" i="3"/>
  <c r="S15" i="37"/>
  <c r="G509" i="3"/>
  <c r="G28" i="6"/>
  <c r="AZ326" i="3"/>
  <c r="AZ311" i="3"/>
  <c r="AZ372" i="3"/>
  <c r="AZ347" i="3"/>
  <c r="AZ344" i="3"/>
  <c r="AZ337" i="3"/>
  <c r="AZ320" i="3"/>
  <c r="AZ313" i="3"/>
  <c r="AZ305" i="3"/>
  <c r="AZ362" i="3"/>
  <c r="S42" i="39"/>
  <c r="AB34" i="39"/>
  <c r="AB33" i="40"/>
  <c r="H5" i="3"/>
  <c r="W40" i="37"/>
  <c r="U12" i="21"/>
  <c r="U26" i="21"/>
  <c r="AA13" i="33"/>
  <c r="W14" i="37"/>
  <c r="AC33" i="36"/>
  <c r="H42" i="33"/>
  <c r="AB42" i="33" s="1"/>
  <c r="AA41" i="34"/>
  <c r="F42" i="33"/>
  <c r="AA42" i="33" s="1"/>
  <c r="F39" i="33"/>
  <c r="AA39" i="33" s="1"/>
  <c r="H43" i="33"/>
  <c r="AB43" i="33" s="1"/>
  <c r="AZ569" i="3"/>
  <c r="AZ577" i="3"/>
  <c r="AZ557" i="3"/>
  <c r="AZ516" i="3"/>
  <c r="AZ524" i="3"/>
  <c r="AZ532" i="3"/>
  <c r="AZ536" i="3"/>
  <c r="AZ544" i="3"/>
  <c r="AZ554" i="3"/>
  <c r="AZ558" i="3"/>
  <c r="AZ582" i="3"/>
  <c r="S35" i="39"/>
  <c r="W44" i="39"/>
  <c r="S11" i="36"/>
  <c r="AA14" i="37"/>
  <c r="U31" i="34"/>
  <c r="J46" i="34"/>
  <c r="J30" i="34"/>
  <c r="F45" i="33"/>
  <c r="F29" i="33"/>
  <c r="S29" i="33" s="1"/>
  <c r="F44" i="21"/>
  <c r="AA44" i="21" s="1"/>
  <c r="J28" i="21"/>
  <c r="U8" i="33"/>
  <c r="S9" i="34"/>
  <c r="S10" i="37"/>
  <c r="S10" i="36"/>
  <c r="F24" i="36"/>
  <c r="AA24" i="36" s="1"/>
  <c r="F33" i="36"/>
  <c r="AA33" i="36" s="1"/>
  <c r="F37" i="39"/>
  <c r="AA37" i="39" s="1"/>
  <c r="W32" i="40"/>
  <c r="H32" i="33"/>
  <c r="AB32" i="33" s="1"/>
  <c r="S40" i="39"/>
  <c r="S34" i="21"/>
  <c r="S40" i="21"/>
  <c r="S40" i="40"/>
  <c r="S34" i="40"/>
  <c r="AC40" i="40"/>
  <c r="W8" i="40"/>
  <c r="U33" i="33"/>
  <c r="F26" i="33"/>
  <c r="AA26" i="33" s="1"/>
  <c r="W9" i="34"/>
  <c r="S34" i="35"/>
  <c r="W28" i="35"/>
  <c r="U31" i="36"/>
  <c r="S30" i="36"/>
  <c r="U14" i="37"/>
  <c r="J45" i="39"/>
  <c r="AB41" i="21"/>
  <c r="J12" i="21"/>
  <c r="AC12" i="21" s="1"/>
  <c r="F12" i="34"/>
  <c r="J23" i="35"/>
  <c r="J36" i="35"/>
  <c r="H12" i="36"/>
  <c r="H24" i="36"/>
  <c r="AB24" i="36" s="1"/>
  <c r="H39" i="40"/>
  <c r="J41" i="33"/>
  <c r="W41" i="33" s="1"/>
  <c r="G582" i="3"/>
  <c r="G566" i="3"/>
  <c r="G552" i="3"/>
  <c r="BL586" i="3"/>
  <c r="AZ585" i="3"/>
  <c r="BA551" i="3"/>
  <c r="G551" i="3"/>
  <c r="BL550" i="3"/>
  <c r="BA550" i="3"/>
  <c r="BL548" i="3"/>
  <c r="AZ548" i="3" s="1"/>
  <c r="G526" i="3"/>
  <c r="BL15" i="3"/>
  <c r="AZ15" i="3"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C30" i="9"/>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AZ153" i="3"/>
  <c r="AZ161" i="3"/>
  <c r="AZ169" i="3"/>
  <c r="AZ177" i="3"/>
  <c r="AZ185" i="3"/>
  <c r="AZ193" i="3"/>
  <c r="AZ201" i="3"/>
  <c r="AZ207" i="3"/>
  <c r="AZ23" i="3"/>
  <c r="AZ38" i="3"/>
  <c r="AZ54" i="3"/>
  <c r="AZ57" i="3"/>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I20" i="66"/>
  <c r="C7" i="78"/>
  <c r="C7" i="79"/>
  <c r="C58" i="79" s="1"/>
  <c r="K6" i="1"/>
  <c r="D3" i="79"/>
  <c r="D3" i="78"/>
  <c r="F37" i="33"/>
  <c r="W40" i="33"/>
  <c r="U43" i="33"/>
  <c r="AC41" i="33"/>
  <c r="S38" i="33"/>
  <c r="U32" i="33"/>
  <c r="AC44" i="33"/>
  <c r="W44" i="33"/>
  <c r="AC45" i="33"/>
  <c r="AA44" i="33"/>
  <c r="H46" i="33"/>
  <c r="S41" i="33"/>
  <c r="S40" i="33"/>
  <c r="U40" i="33"/>
  <c r="W39" i="33"/>
  <c r="U35" i="33"/>
  <c r="AB26" i="33"/>
  <c r="S26" i="33"/>
  <c r="C25" i="39"/>
  <c r="A15" i="62"/>
  <c r="B61" i="72" s="1"/>
  <c r="C58" i="78"/>
  <c r="D58" i="78" s="1"/>
  <c r="E58" i="78" s="1"/>
  <c r="F58" i="78" s="1"/>
  <c r="G58" i="78" s="1"/>
  <c r="H58" i="78" s="1"/>
  <c r="I58" i="78" s="1"/>
  <c r="J58" i="78" s="1"/>
  <c r="K58" i="78" s="1"/>
  <c r="L58" i="78" s="1"/>
  <c r="M58" i="78" s="1"/>
  <c r="N58" i="78" s="1"/>
  <c r="O58" i="78" s="1"/>
  <c r="E7" i="78"/>
  <c r="S8" i="33"/>
  <c r="E29" i="6"/>
  <c r="E12" i="6"/>
  <c r="E57" i="40" s="1"/>
  <c r="E13" i="6"/>
  <c r="G11"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G30" i="6"/>
  <c r="G31" i="6" s="1"/>
  <c r="J56" i="9"/>
  <c r="J57" i="9" s="1"/>
  <c r="A24" i="51"/>
  <c r="B18" i="72" s="1"/>
  <c r="U29" i="34"/>
  <c r="E14" i="6"/>
  <c r="E64" i="39" s="1"/>
  <c r="E5" i="6"/>
  <c r="D9" i="11" s="1"/>
  <c r="C9" i="11" s="1"/>
  <c r="J105" i="43"/>
  <c r="P10" i="1"/>
  <c r="H22" i="43"/>
  <c r="L101" i="43"/>
  <c r="L109" i="43" s="1"/>
  <c r="H101" i="43"/>
  <c r="D101" i="43"/>
  <c r="D109" i="43" s="1"/>
  <c r="M101" i="43"/>
  <c r="M109" i="43" s="1"/>
  <c r="I101" i="43"/>
  <c r="E101" i="43"/>
  <c r="G22" i="43"/>
  <c r="E32" i="6"/>
  <c r="L19" i="6" s="1"/>
  <c r="G1" i="68"/>
  <c r="K1" i="12"/>
  <c r="F30" i="6"/>
  <c r="F31" i="6" s="1"/>
  <c r="E28" i="6"/>
  <c r="N103" i="43"/>
  <c r="N106" i="43"/>
  <c r="J103" i="43"/>
  <c r="F107" i="43"/>
  <c r="F106" i="43"/>
  <c r="C105" i="43"/>
  <c r="K102" i="43"/>
  <c r="G107" i="43"/>
  <c r="G104"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K105" i="43"/>
  <c r="C102" i="43"/>
  <c r="S2" i="43" s="1"/>
  <c r="F105" i="43"/>
  <c r="N104" i="43"/>
  <c r="AR11" i="1"/>
  <c r="T12" i="1"/>
  <c r="AR10" i="1"/>
  <c r="T10" i="1"/>
  <c r="E19" i="69"/>
  <c r="E19" i="68"/>
  <c r="E19" i="11"/>
  <c r="M18" i="15"/>
  <c r="E1" i="73"/>
  <c r="K1" i="73" s="1"/>
  <c r="G41" i="69"/>
  <c r="G22" i="69"/>
  <c r="G41" i="68"/>
  <c r="G22" i="68"/>
  <c r="G27" i="12"/>
  <c r="G26" i="12"/>
  <c r="G41" i="11"/>
  <c r="G22" i="11"/>
  <c r="G25" i="12"/>
  <c r="C109" i="43"/>
  <c r="J109" i="43"/>
  <c r="C100" i="43"/>
  <c r="K109"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67"/>
  <c r="F36" i="67"/>
  <c r="M29" i="67"/>
  <c r="M23" i="67"/>
  <c r="M28" i="15"/>
  <c r="F42" i="15"/>
  <c r="F6" i="67"/>
  <c r="F36" i="15"/>
  <c r="M22" i="67"/>
  <c r="F37" i="67"/>
  <c r="M9" i="67"/>
  <c r="F42" i="67"/>
  <c r="F38" i="67"/>
  <c r="F26" i="15"/>
  <c r="F40" i="15"/>
  <c r="M26" i="15"/>
  <c r="F38" i="15"/>
  <c r="F13" i="15"/>
  <c r="L48" i="15"/>
  <c r="M8" i="67"/>
  <c r="F7" i="15"/>
  <c r="M8" i="15"/>
  <c r="M23" i="15"/>
  <c r="L47" i="15"/>
  <c r="F37" i="15"/>
  <c r="F9" i="67"/>
  <c r="G1" i="73"/>
  <c r="F16" i="15"/>
  <c r="F26" i="67"/>
  <c r="AC15" i="21" l="1"/>
  <c r="C7" i="43"/>
  <c r="E59" i="40"/>
  <c r="U39" i="40"/>
  <c r="AB39" i="40"/>
  <c r="U12" i="36"/>
  <c r="AB12" i="36"/>
  <c r="AC23" i="35"/>
  <c r="W23" i="35"/>
  <c r="W45" i="39"/>
  <c r="AC45" i="39"/>
  <c r="AA45" i="33"/>
  <c r="S45" i="33"/>
  <c r="AZ13" i="3"/>
  <c r="AC36" i="35"/>
  <c r="W36" i="35"/>
  <c r="S12" i="34"/>
  <c r="AA12" i="34"/>
  <c r="W28" i="21"/>
  <c r="AC28" i="21"/>
  <c r="W30" i="34"/>
  <c r="AC30" i="34"/>
  <c r="M6" i="1"/>
  <c r="D58" i="79"/>
  <c r="E58" i="79" s="1"/>
  <c r="F58" i="79" s="1"/>
  <c r="G58" i="79" s="1"/>
  <c r="H58" i="79" s="1"/>
  <c r="I58" i="79" s="1"/>
  <c r="J58" i="79" s="1"/>
  <c r="K58" i="79" s="1"/>
  <c r="L58" i="79" s="1"/>
  <c r="M58" i="79" s="1"/>
  <c r="N58" i="79" s="1"/>
  <c r="O58" i="79" s="1"/>
  <c r="J7" i="79"/>
  <c r="F7" i="79"/>
  <c r="H7" i="79"/>
  <c r="G109" i="43"/>
  <c r="AR12" i="1"/>
  <c r="N107" i="43"/>
  <c r="J106" i="43"/>
  <c r="K106" i="43"/>
  <c r="G103" i="43"/>
  <c r="K104" i="43"/>
  <c r="K107" i="43"/>
  <c r="J102" i="43"/>
  <c r="J107" i="43"/>
  <c r="N105" i="43"/>
  <c r="G102" i="43"/>
  <c r="AB46" i="33"/>
  <c r="U46" i="33"/>
  <c r="C4" i="4"/>
  <c r="B4" i="62" s="1"/>
  <c r="E4" i="4"/>
  <c r="F7" i="78"/>
  <c r="G7" i="78"/>
  <c r="M18" i="67"/>
  <c r="F30" i="69"/>
  <c r="C48" i="69" s="1"/>
  <c r="F32" i="67"/>
  <c r="F60" i="67" s="1"/>
  <c r="F32" i="15"/>
  <c r="F60" i="15" s="1"/>
  <c r="F28" i="67"/>
  <c r="C28" i="67" s="1"/>
  <c r="F30" i="68"/>
  <c r="C30" i="68" s="1"/>
  <c r="F31" i="12"/>
  <c r="C31" i="12" s="1"/>
  <c r="F30" i="11"/>
  <c r="C30" i="11" s="1"/>
  <c r="F52" i="9"/>
  <c r="F28" i="15"/>
  <c r="C28" i="15" s="1"/>
  <c r="BA5" i="3"/>
  <c r="E27" i="6" s="1"/>
  <c r="K20" i="6" s="1"/>
  <c r="M20" i="6" s="1"/>
  <c r="I20" i="6" s="1"/>
  <c r="AQ9" i="1"/>
  <c r="D22" i="43"/>
  <c r="F109" i="43"/>
  <c r="T11" i="1"/>
  <c r="AQ13" i="1"/>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D9" i="69"/>
  <c r="C9" i="69" s="1"/>
  <c r="D19" i="12"/>
  <c r="C19" i="12" s="1"/>
  <c r="E56" i="40"/>
  <c r="T9" i="1"/>
  <c r="T13" i="1"/>
  <c r="E16" i="6"/>
  <c r="E58" i="40"/>
  <c r="E63" i="39"/>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27" i="6"/>
  <c r="M19" i="6"/>
  <c r="S25" i="6"/>
  <c r="L27" i="6"/>
  <c r="S26" i="6"/>
  <c r="S24" i="6"/>
  <c r="G16" i="1"/>
  <c r="H10" i="40" s="1"/>
  <c r="U10" i="40" s="1"/>
  <c r="C27" i="67"/>
  <c r="F70" i="67"/>
  <c r="F66" i="67"/>
  <c r="F64" i="67"/>
  <c r="F65" i="67"/>
  <c r="L59" i="15"/>
  <c r="Q74" i="15" s="1"/>
  <c r="L58" i="15"/>
  <c r="Q73" i="15" s="1"/>
  <c r="C27" i="15"/>
  <c r="F64" i="15"/>
  <c r="F65" i="15"/>
  <c r="J57" i="15"/>
  <c r="J55" i="15" s="1"/>
  <c r="J58" i="15" s="1"/>
  <c r="Q50" i="15" s="1"/>
  <c r="L56" i="15"/>
  <c r="F68" i="15"/>
  <c r="M7" i="15"/>
  <c r="F50"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24" i="15"/>
  <c r="F9" i="15"/>
  <c r="F43" i="15"/>
  <c r="M9" i="15"/>
  <c r="M6" i="15"/>
  <c r="M6" i="67"/>
  <c r="J15" i="15"/>
  <c r="L47" i="67"/>
  <c r="L48" i="67"/>
  <c r="F16" i="67"/>
  <c r="F7" i="67"/>
  <c r="J15" i="67"/>
  <c r="C16" i="15"/>
  <c r="C76" i="67"/>
  <c r="F13" i="67"/>
  <c r="F43" i="67"/>
  <c r="M26" i="67"/>
  <c r="F8" i="67"/>
  <c r="M29" i="15"/>
  <c r="F40" i="67"/>
  <c r="C76" i="15"/>
  <c r="M22" i="15"/>
  <c r="F8" i="15"/>
  <c r="M24" i="67"/>
  <c r="M17" i="15"/>
  <c r="F31" i="67"/>
  <c r="F51" i="15" l="1"/>
  <c r="Q71" i="15"/>
  <c r="F68" i="67"/>
  <c r="F51" i="67"/>
  <c r="C6" i="67"/>
  <c r="F71" i="67"/>
  <c r="Q71" i="67"/>
  <c r="F50" i="67"/>
  <c r="M7" i="67"/>
  <c r="J57" i="67"/>
  <c r="J55" i="67" s="1"/>
  <c r="J58" i="67" s="1"/>
  <c r="Q50" i="67" s="1"/>
  <c r="K53" i="67"/>
  <c r="L56" i="67"/>
  <c r="J53" i="67"/>
  <c r="L59" i="67"/>
  <c r="L58" i="67"/>
  <c r="F71" i="15"/>
  <c r="S7" i="79"/>
  <c r="AA7" i="79"/>
  <c r="U7" i="79"/>
  <c r="AB7" i="79"/>
  <c r="W7" i="79"/>
  <c r="AC7" i="79"/>
  <c r="E6" i="70"/>
  <c r="B71" i="72"/>
  <c r="K4" i="4"/>
  <c r="B46" i="48" s="1"/>
  <c r="B5" i="62"/>
  <c r="A18" i="62"/>
  <c r="B64" i="72" s="1"/>
  <c r="I7" i="78"/>
  <c r="J7" i="78" s="1"/>
  <c r="H7" i="78"/>
  <c r="AA7" i="78"/>
  <c r="S7" i="78"/>
  <c r="D113" i="43"/>
  <c r="J22" i="43"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I19" i="6"/>
  <c r="M27" i="6"/>
  <c r="H10" i="39"/>
  <c r="J10" i="39"/>
  <c r="Q61" i="15"/>
  <c r="Q60" i="15"/>
  <c r="M16" i="1"/>
  <c r="N16" i="1" s="1"/>
  <c r="Q60" i="67"/>
  <c r="Q73" i="67"/>
  <c r="F27" i="11"/>
  <c r="Q61" i="67"/>
  <c r="Q74" i="67"/>
  <c r="C49" i="67"/>
  <c r="F1" i="67"/>
  <c r="Q52" i="67"/>
  <c r="C16" i="67"/>
  <c r="F59" i="67"/>
  <c r="M17" i="67"/>
  <c r="C17" i="15"/>
  <c r="B73" i="72" l="1"/>
  <c r="B4" i="72"/>
  <c r="AB7" i="78"/>
  <c r="U7" i="78"/>
  <c r="AC7" i="78"/>
  <c r="W7"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B6" i="76"/>
  <c r="M21" i="67"/>
  <c r="F35" i="15"/>
  <c r="C11" i="79" l="1"/>
  <c r="C11" i="33"/>
  <c r="C11" i="78"/>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11" i="78" l="1"/>
  <c r="F11" i="78"/>
  <c r="H11" i="78"/>
  <c r="H11" i="79"/>
  <c r="J11" i="79"/>
  <c r="F11" i="79"/>
  <c r="F11" i="33"/>
  <c r="H11" i="33"/>
  <c r="J11" i="33"/>
  <c r="C25" i="68"/>
  <c r="C22" i="68" s="1"/>
  <c r="C31" i="68" s="1"/>
  <c r="C27" i="12"/>
  <c r="C25" i="12" s="1"/>
  <c r="C32" i="12" s="1"/>
  <c r="B2" i="12" s="1"/>
  <c r="B3" i="12" s="1"/>
  <c r="C39" i="68"/>
  <c r="C43" i="68" s="1"/>
  <c r="C42" i="68"/>
  <c r="J63" i="40"/>
  <c r="I65" i="40"/>
  <c r="C46" i="11"/>
  <c r="C45" i="11" s="1"/>
  <c r="C49" i="11" s="1"/>
  <c r="C51" i="11" s="1"/>
  <c r="C52" i="11" s="1"/>
  <c r="B2" i="11" s="1"/>
  <c r="B3" i="11" s="1"/>
  <c r="J70" i="39"/>
  <c r="W11" i="33" l="1"/>
  <c r="AC11" i="33"/>
  <c r="AA11" i="33"/>
  <c r="S11" i="33"/>
  <c r="AC11" i="79"/>
  <c r="V48" i="79" s="1"/>
  <c r="I48" i="79" s="1"/>
  <c r="W11" i="79"/>
  <c r="AB11" i="78"/>
  <c r="T48" i="78" s="1"/>
  <c r="G48" i="78" s="1"/>
  <c r="U11" i="78"/>
  <c r="AC11" i="78"/>
  <c r="V48" i="78" s="1"/>
  <c r="I48" i="78" s="1"/>
  <c r="W11" i="78"/>
  <c r="AB11" i="33"/>
  <c r="U11" i="33"/>
  <c r="S11" i="79"/>
  <c r="AA11" i="79"/>
  <c r="R48" i="79" s="1"/>
  <c r="AB11" i="79"/>
  <c r="T48" i="79" s="1"/>
  <c r="G48" i="79" s="1"/>
  <c r="U11" i="79"/>
  <c r="AA11" i="78"/>
  <c r="R48" i="78" s="1"/>
  <c r="S11" i="78"/>
  <c r="C41" i="68"/>
  <c r="C46" i="68"/>
  <c r="C45" i="68" s="1"/>
  <c r="K63" i="40"/>
  <c r="J65" i="40"/>
  <c r="K70" i="39"/>
  <c r="C56" i="11"/>
  <c r="C57" i="11" s="1"/>
  <c r="E48" i="78" l="1"/>
  <c r="I53" i="78" s="1"/>
  <c r="J53" i="78" s="1"/>
  <c r="R49" i="78"/>
  <c r="I52" i="78"/>
  <c r="J52" i="78" s="1"/>
  <c r="G52" i="78"/>
  <c r="H52" i="78" s="1"/>
  <c r="G53" i="78"/>
  <c r="H53" i="78" s="1"/>
  <c r="I52" i="79"/>
  <c r="J52" i="79" s="1"/>
  <c r="G53" i="79"/>
  <c r="H53" i="79" s="1"/>
  <c r="G52" i="79"/>
  <c r="H52" i="79" s="1"/>
  <c r="R49" i="79"/>
  <c r="E48" i="79"/>
  <c r="C49" i="68"/>
  <c r="C51" i="68" s="1"/>
  <c r="C52" i="68" s="1"/>
  <c r="C57" i="68" s="1"/>
  <c r="C56" i="68" s="1"/>
  <c r="L63" i="40"/>
  <c r="K65" i="40"/>
  <c r="L70" i="39"/>
  <c r="E2" i="70"/>
  <c r="C34" i="69"/>
  <c r="C17" i="67"/>
  <c r="C48" i="79" l="1"/>
  <c r="C49" i="79"/>
  <c r="A7" i="77" s="1"/>
  <c r="E53" i="78"/>
  <c r="F53" i="78" s="1"/>
  <c r="E52" i="78"/>
  <c r="F52" i="78" s="1"/>
  <c r="E52" i="79"/>
  <c r="F52" i="79" s="1"/>
  <c r="E53" i="79"/>
  <c r="F53" i="79" s="1"/>
  <c r="C49" i="78"/>
  <c r="C48" i="78"/>
  <c r="I53" i="79"/>
  <c r="J53" i="79" s="1"/>
  <c r="M63" i="40"/>
  <c r="L65" i="40"/>
  <c r="M70" i="39"/>
  <c r="C35" i="69"/>
  <c r="C38" i="69"/>
  <c r="D10" i="69"/>
  <c r="U6" i="1" l="1"/>
  <c r="B7" i="77"/>
  <c r="N63" i="40"/>
  <c r="M65" i="40"/>
  <c r="O70" i="39"/>
  <c r="N70" i="39"/>
  <c r="D19" i="69"/>
  <c r="C10" i="69"/>
  <c r="C8" i="69" s="1"/>
  <c r="C5" i="69" s="1"/>
  <c r="F6" i="15"/>
  <c r="F31" i="15" s="1"/>
  <c r="C10" i="15" l="1"/>
  <c r="C6" i="15"/>
  <c r="C7" i="77"/>
  <c r="D7" i="77" s="1"/>
  <c r="E7" i="77" s="1"/>
  <c r="F7" i="77" s="1"/>
  <c r="G7" i="77" s="1"/>
  <c r="F49" i="15"/>
  <c r="O63" i="40"/>
  <c r="O65" i="40" s="1"/>
  <c r="N65" i="40"/>
  <c r="C23" i="69"/>
  <c r="C19" i="69"/>
  <c r="C24" i="69" s="1"/>
  <c r="D37" i="69"/>
  <c r="C37" i="69" s="1"/>
  <c r="C33" i="69" s="1"/>
  <c r="F59" i="15"/>
  <c r="C14" i="67"/>
  <c r="C53" i="15" l="1"/>
  <c r="C49" i="15"/>
  <c r="C5" i="15"/>
  <c r="F7" i="40"/>
  <c r="H7" i="40"/>
  <c r="J7" i="40"/>
  <c r="C15" i="67"/>
  <c r="C18" i="67"/>
  <c r="C42" i="69"/>
  <c r="C39" i="69"/>
  <c r="C43" i="69" s="1"/>
  <c r="C20" i="69"/>
  <c r="C25" i="69" s="1"/>
  <c r="C22" i="69" s="1"/>
  <c r="C32" i="15" l="1"/>
  <c r="C38" i="15"/>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M27" i="15"/>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2" i="68"/>
  <c r="B3" i="67"/>
  <c r="F20" i="31"/>
  <c r="D2" i="34"/>
  <c r="D2" i="35"/>
  <c r="D2" i="37"/>
  <c r="D2" i="21"/>
  <c r="E2" i="68"/>
  <c r="D2" i="79"/>
  <c r="D2" i="78"/>
  <c r="D2" i="33"/>
  <c r="D2" i="36"/>
  <c r="B2" i="79" l="1"/>
  <c r="B3" i="79" s="1"/>
  <c r="B2" i="78"/>
  <c r="B3" i="78" s="1"/>
  <c r="B20" i="31"/>
  <c r="B2" i="36"/>
  <c r="B3" i="36" s="1"/>
  <c r="B2" i="35"/>
  <c r="B3" i="35" s="1"/>
  <c r="B2" i="37"/>
  <c r="B3" i="37" s="1"/>
  <c r="B2" i="34"/>
  <c r="B3" i="34" s="1"/>
  <c r="B2" i="21"/>
  <c r="B3" i="21" s="1"/>
  <c r="B2" i="70"/>
  <c r="B3" i="70" s="1"/>
  <c r="B3" i="68"/>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D22" i="9"/>
  <c r="B3" i="33"/>
  <c r="G52" i="39"/>
  <c r="H52" i="39" s="1"/>
  <c r="G51" i="39"/>
  <c r="H51" i="39" s="1"/>
  <c r="I51" i="39"/>
  <c r="J51" i="39" s="1"/>
  <c r="W7" i="39"/>
  <c r="U7" i="39"/>
  <c r="AA7" i="39"/>
  <c r="R47" i="39" s="1"/>
  <c r="C20" i="9"/>
  <c r="C103" i="9" l="1"/>
  <c r="G20" i="9"/>
  <c r="C32" i="9" s="1"/>
  <c r="G21"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59" i="9"/>
  <c r="M55" i="9" s="1"/>
  <c r="D19" i="53" l="1"/>
  <c r="B38" i="72" s="1"/>
  <c r="I14" i="74"/>
  <c r="B8" i="74" s="1"/>
  <c r="D127" i="9"/>
  <c r="D13" i="52" s="1"/>
  <c r="D12" i="52"/>
  <c r="D20" i="53" l="1"/>
  <c r="B40" i="72" s="1"/>
  <c r="D8" i="74"/>
  <c r="C8" i="74"/>
  <c r="H118" i="9" l="1"/>
  <c r="I118" i="9" s="1"/>
  <c r="C105" i="9" s="1"/>
  <c r="H102" i="9" l="1"/>
  <c r="D7" i="53" s="1"/>
  <c r="I4" i="52"/>
  <c r="C104" i="9"/>
  <c r="H101" i="9"/>
  <c r="H119" i="9"/>
  <c r="H5" i="52" s="1"/>
  <c r="H4" i="52"/>
  <c r="D14" i="74"/>
  <c r="B21" i="72" l="1"/>
  <c r="E14" i="74"/>
  <c r="F14" i="74"/>
  <c r="B5" i="74"/>
  <c r="M48" i="9"/>
  <c r="H107" i="9"/>
  <c r="D45" i="9"/>
  <c r="D5" i="53"/>
  <c r="D53" i="9" l="1"/>
  <c r="D52" i="9"/>
  <c r="C85" i="9"/>
  <c r="D55" i="9"/>
  <c r="M53" i="9" s="1"/>
  <c r="C93" i="9"/>
  <c r="C86" i="9" s="1"/>
  <c r="C78" i="9"/>
  <c r="C73" i="9" s="1"/>
  <c r="C72" i="9"/>
  <c r="C64" i="9"/>
  <c r="C63" i="9" s="1"/>
  <c r="C67" i="9" s="1"/>
  <c r="C68" i="9" s="1"/>
  <c r="D54" i="9" s="1"/>
  <c r="B20" i="72"/>
  <c r="D6" i="53"/>
  <c r="M49" i="9"/>
  <c r="H108" i="9"/>
  <c r="D15" i="53" s="1"/>
  <c r="D122" i="9"/>
  <c r="D13" i="53"/>
  <c r="C5" i="74"/>
  <c r="D5" i="74"/>
  <c r="B31" i="72" l="1"/>
  <c r="B22" i="72"/>
  <c r="B30" i="72"/>
  <c r="D14" i="53"/>
  <c r="D123" i="9"/>
  <c r="D9" i="52" s="1"/>
  <c r="G14" i="74"/>
  <c r="B6" i="74" s="1"/>
  <c r="D8" i="52"/>
  <c r="L68" i="9"/>
  <c r="M68" i="9" s="1"/>
  <c r="L63" i="9"/>
  <c r="M63" i="9" s="1"/>
  <c r="L64" i="9"/>
  <c r="M64" i="9" s="1"/>
  <c r="L66" i="9"/>
  <c r="M66" i="9" s="1"/>
  <c r="L65" i="9"/>
  <c r="M65" i="9" s="1"/>
  <c r="L67" i="9"/>
  <c r="M67" i="9" s="1"/>
  <c r="C79" i="9"/>
  <c r="C80" i="9" s="1"/>
  <c r="E80" i="9" s="1"/>
  <c r="E81" i="9" s="1"/>
  <c r="C95" i="9"/>
  <c r="C96" i="9" s="1"/>
  <c r="E96" i="9" s="1"/>
  <c r="E97" i="9" s="1"/>
  <c r="B32" i="72" l="1"/>
  <c r="C97" i="9"/>
  <c r="D58" i="9" s="1"/>
  <c r="D56" i="9" s="1"/>
  <c r="M54" i="9" s="1"/>
  <c r="N57" i="9" s="1"/>
  <c r="N59" i="9" s="1"/>
  <c r="C81" i="9"/>
  <c r="D6" i="74"/>
  <c r="C6" i="74"/>
  <c r="M69" i="9"/>
  <c r="N69" i="9" s="1"/>
  <c r="N58" i="9" l="1"/>
  <c r="P57" i="9"/>
  <c r="N60" i="9"/>
  <c r="N61" i="9"/>
  <c r="D34" i="9"/>
  <c r="D35" i="9"/>
  <c r="C35" i="9" l="1"/>
  <c r="F118" i="9" l="1"/>
  <c r="C34" i="9"/>
  <c r="D118" i="9" s="1"/>
  <c r="D4" i="52" l="1"/>
  <c r="B47" i="72" s="1"/>
  <c r="D119" i="9"/>
  <c r="D5" i="52" s="1"/>
  <c r="B49"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<sst xmlns="http://schemas.openxmlformats.org/spreadsheetml/2006/main" count="8136" uniqueCount="3190">
  <si>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</si>
  <si>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</si>
  <si>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</si>
  <si>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</si>
  <si>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</si>
  <si>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</si>
  <si>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</si>
  <si>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</si>
  <si>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</si>
  <si>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</si>
  <si>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</si>
  <si>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</si>
  <si>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</si>
  <si>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</si>
  <si>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</si>
  <si>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</si>
  <si>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</si>
  <si>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</si>
  <si>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</si>
  <si>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</si>
  <si>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</si>
  <si>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</si>
  <si>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</si>
  <si>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</si>
  <si>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</si>
  <si>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</si>
  <si>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</si>
  <si>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</si>
  <si>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</si>
  <si>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</si>
  <si>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</si>
  <si>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</si>
  <si>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</si>
  <si>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</si>
  <si>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</si>
  <si>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</si>
  <si>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</si>
  <si>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</si>
  <si>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</si>
  <si>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</si>
  <si>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</si>
  <si>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</si>
  <si>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</si>
  <si>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</si>
  <si>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</si>
  <si>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</si>
  <si>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</si>
  <si>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</si>
  <si>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</si>
  <si>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</si>
  <si>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</si>
  <si>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</si>
  <si>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</si>
  <si>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</si>
  <si>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</si>
  <si>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</si>
  <si>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</si>
  <si>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</si>
  <si>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</si>
  <si>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</si>
  <si>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</si>
  <si>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</si>
  <si>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</si>
  <si>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</si>
  <si>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</si>
  <si>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</si>
  <si>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</si>
  <si>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</si>
  <si>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</si>
  <si>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</si>
  <si>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</si>
  <si>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</si>
  <si>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</si>
  <si>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</si>
  <si>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</si>
  <si>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</si>
  <si>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</si>
  <si>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</si>
  <si>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</si>
  <si>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</si>
  <si>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</si>
  <si>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</si>
  <si>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</si>
  <si>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</si>
  <si>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</si>
  <si>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</si>
  <si>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</si>
  <si>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</si>
  <si>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</si>
  <si>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</si>
  <si>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</si>
  <si>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</si>
  <si>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</si>
  <si>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</si>
  <si>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</si>
  <si>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</si>
  <si>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</si>
  <si>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</si>
  <si>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</si>
  <si>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</si>
  <si>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</si>
  <si>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</si>
  <si>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</si>
  <si>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</si>
  <si>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</si>
  <si>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</si>
  <si>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</si>
  <si>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</si>
  <si>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</si>
  <si>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</si>
  <si>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</si>
  <si>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</si>
  <si>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</si>
  <si>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</si>
  <si>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</si>
  <si>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</si>
  <si>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</si>
  <si>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</si>
  <si>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</si>
  <si>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</si>
  <si>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</si>
  <si>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</si>
  <si>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</si>
  <si>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</si>
  <si>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</si>
  <si>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</si>
  <si>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</si>
  <si>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</si>
  <si>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</si>
  <si>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</si>
  <si>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</si>
  <si>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</si>
  <si>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</si>
  <si>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</si>
  <si>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</si>
  <si>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</si>
  <si>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</si>
  <si>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</si>
  <si>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</si>
  <si>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</si>
  <si>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</si>
  <si>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</si>
  <si>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</si>
  <si>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</si>
  <si>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</si>
  <si>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</si>
  <si>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</si>
  <si>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</si>
  <si>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</si>
  <si>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</si>
  <si>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</si>
  <si>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</si>
  <si>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</si>
  <si>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</si>
  <si>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</si>
  <si>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</si>
  <si>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</si>
  <si>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</si>
  <si>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</si>
  <si>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</si>
  <si>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</si>
  <si>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</si>
  <si>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</si>
  <si>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</si>
  <si>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</si>
  <si>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</si>
  <si>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</si>
  <si>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</si>
  <si>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</si>
  <si>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</si>
  <si>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</si>
  <si>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</si>
  <si>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</si>
  <si>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</si>
  <si>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</si>
  <si>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</si>
  <si>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</si>
  <si>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</si>
  <si>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</si>
  <si>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</si>
  <si>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</si>
  <si>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</si>
  <si>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</si>
  <si>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</si>
  <si>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</si>
  <si>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</si>
  <si>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</si>
  <si>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</si>
  <si>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</si>
  <si>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</si>
  <si>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</si>
  <si>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</si>
  <si>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</si>
  <si>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</si>
  <si>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</si>
  <si>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</si>
  <si>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</si>
  <si>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</si>
  <si>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</si>
  <si>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</si>
  <si>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</si>
  <si>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</si>
  <si>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</si>
  <si>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</si>
  <si>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</si>
  <si>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</si>
  <si>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</si>
  <si>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</si>
  <si>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</si>
  <si>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</si>
  <si>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</si>
  <si>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</si>
  <si>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</si>
  <si>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</si>
  <si>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</si>
  <si>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</si>
  <si>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</si>
  <si>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</si>
  <si>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</si>
  <si>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</si>
  <si>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</si>
  <si>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</si>
  <si>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</si>
  <si>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</si>
  <si>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</si>
  <si>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</si>
  <si>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</si>
  <si>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</si>
  <si>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</si>
  <si>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</si>
  <si>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</si>
  <si>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</si>
  <si>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</si>
  <si>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</si>
  <si>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</si>
  <si>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</si>
  <si>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</si>
  <si>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</si>
  <si>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</si>
  <si>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</si>
  <si>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</si>
  <si>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</si>
  <si>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</si>
  <si>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</si>
  <si>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</si>
  <si>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</si>
  <si>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</si>
  <si>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</si>
  <si>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</si>
  <si>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</si>
  <si>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</si>
  <si>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</si>
  <si>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</si>
  <si>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</si>
  <si>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</si>
  <si>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</si>
  <si>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</si>
  <si>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</si>
  <si>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</si>
  <si>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</si>
  <si>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</si>
  <si>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</si>
  <si>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</si>
  <si>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</si>
  <si>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</si>
  <si>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</si>
  <si>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</si>
  <si>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</si>
  <si>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</si>
  <si>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</si>
  <si>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</si>
  <si>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</si>
  <si>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</si>
  <si>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</si>
  <si>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</si>
  <si>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</si>
  <si>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</si>
  <si>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</si>
  <si>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</si>
  <si>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</si>
  <si>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</si>
  <si>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</si>
  <si>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</si>
  <si>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</si>
  <si>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</si>
  <si>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</si>
  <si>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</si>
  <si>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</si>
  <si>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</si>
  <si>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</si>
  <si>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</si>
  <si>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</si>
  <si>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</si>
  <si>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</si>
  <si>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</si>
  <si>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</si>
  <si>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</si>
  <si>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</si>
  <si>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</si>
  <si>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</si>
  <si>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</si>
  <si>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</si>
  <si>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</si>
  <si>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</si>
  <si>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</si>
  <si>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</si>
  <si>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</si>
  <si>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</si>
  <si>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</si>
  <si>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</si>
  <si>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</si>
  <si>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</si>
  <si>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</si>
  <si>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</si>
  <si>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</si>
  <si>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</si>
  <si>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</si>
  <si>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</si>
  <si>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</si>
  <si>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</si>
  <si>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</si>
  <si>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</si>
  <si>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</si>
  <si>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</si>
  <si>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</si>
  <si>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</si>
  <si>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</si>
  <si>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</si>
  <si>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</si>
  <si>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</si>
  <si>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</si>
  <si>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</si>
  <si>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</si>
  <si>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</si>
  <si>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</si>
  <si>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</si>
  <si>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</si>
  <si>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</si>
  <si>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</si>
  <si>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</si>
  <si>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</si>
  <si>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</si>
  <si>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</si>
  <si>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</si>
  <si>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</si>
  <si>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</si>
  <si>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</si>
  <si>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</si>
  <si>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</si>
  <si>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</si>
  <si>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</si>
  <si>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</si>
  <si>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</si>
  <si>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</si>
  <si>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</si>
  <si>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</si>
  <si>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</si>
  <si>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</si>
  <si>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</si>
  <si>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</si>
  <si>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</si>
  <si>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</si>
  <si>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</si>
  <si>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</si>
  <si>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</si>
  <si>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</si>
  <si>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</si>
  <si>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</si>
  <si>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</si>
  <si>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</si>
  <si>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</si>
  <si>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</si>
  <si>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</si>
  <si>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</si>
  <si>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</si>
  <si>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</si>
  <si>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</si>
  <si>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</si>
  <si>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</si>
  <si>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</si>
  <si>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</si>
  <si>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</si>
  <si>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</si>
  <si>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</si>
  <si>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</si>
  <si>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</si>
  <si>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</si>
  <si>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</si>
  <si>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</si>
  <si>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</si>
  <si>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</si>
  <si>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</si>
  <si>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</si>
  <si>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</si>
  <si>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</si>
  <si>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</si>
  <si>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</si>
  <si>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</si>
  <si>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</si>
  <si>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</si>
  <si>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</si>
  <si>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</si>
  <si>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</si>
  <si>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</si>
  <si>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</si>
  <si>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</si>
  <si>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</si>
  <si>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</si>
  <si>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</si>
  <si>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</si>
  <si>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</si>
  <si>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</si>
  <si>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</si>
  <si>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</si>
  <si>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</si>
  <si>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</si>
  <si>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</si>
  <si>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</si>
  <si>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</si>
  <si>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</si>
  <si>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</si>
  <si>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</si>
  <si>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</si>
  <si>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</si>
  <si>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</si>
  <si>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</si>
  <si>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</si>
  <si>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</si>
  <si>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</si>
  <si>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</si>
  <si>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</si>
  <si>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</si>
  <si>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</si>
  <si>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</si>
  <si>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</si>
  <si>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</si>
  <si>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</si>
  <si>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</si>
  <si>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</si>
  <si>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</si>
  <si>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</si>
  <si>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</si>
  <si>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</si>
  <si>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</si>
  <si>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</si>
  <si>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</si>
  <si>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</si>
  <si>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</si>
  <si>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</si>
  <si>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</si>
  <si>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</si>
  <si>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</si>
  <si>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</si>
  <si>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</si>
  <si>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</si>
  <si>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</si>
  <si>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</si>
  <si>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</si>
  <si>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</si>
  <si>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</si>
  <si>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</si>
  <si>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</si>
  <si>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</si>
  <si>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</si>
  <si>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</si>
  <si>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</si>
  <si>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</si>
  <si>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</si>
  <si>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</si>
  <si>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</si>
  <si>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</si>
  <si>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</si>
  <si>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</si>
  <si>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</si>
  <si>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</si>
  <si>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</si>
  <si>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</si>
  <si>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</si>
  <si>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</si>
  <si>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</si>
  <si>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</si>
  <si>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</si>
  <si>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</si>
  <si>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</si>
  <si>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</si>
  <si>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</si>
  <si>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</si>
  <si>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</si>
  <si>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</si>
  <si>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</si>
  <si>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</si>
  <si>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</si>
  <si>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</si>
  <si>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</si>
  <si>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</si>
  <si>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</si>
  <si>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</si>
  <si>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</si>
  <si>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</si>
  <si>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</si>
  <si>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</si>
  <si>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</si>
  <si>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</si>
  <si>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</si>
  <si>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</si>
  <si>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</si>
  <si>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</si>
  <si>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</si>
  <si>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</si>
  <si>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</si>
  <si>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</si>
  <si>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</si>
  <si>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</si>
  <si>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</si>
  <si>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</si>
  <si>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</si>
  <si>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</si>
  <si>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</si>
  <si>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</si>
  <si>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</si>
  <si>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</si>
  <si>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</si>
  <si>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</si>
  <si>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</si>
  <si>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</si>
  <si>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</si>
  <si>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</si>
  <si>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</si>
  <si>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</si>
  <si>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</si>
  <si>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</si>
  <si>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</si>
  <si>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</si>
  <si>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</si>
  <si>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</si>
  <si>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</si>
  <si>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</si>
  <si>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</si>
  <si>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</si>
  <si>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</si>
  <si>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</si>
  <si>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</si>
  <si>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</si>
  <si>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</si>
  <si>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</si>
  <si>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</si>
  <si>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</si>
  <si>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</si>
  <si>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</si>
  <si>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</si>
  <si>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</si>
  <si>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</si>
  <si>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</si>
  <si>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</si>
  <si>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</si>
  <si>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</si>
  <si>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</si>
  <si>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</si>
  <si>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</si>
  <si>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</si>
  <si>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</si>
  <si>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</si>
  <si>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</si>
  <si>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</si>
  <si>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</si>
  <si>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</si>
  <si>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</si>
  <si>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</si>
  <si>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</si>
  <si>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</si>
  <si>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</si>
  <si>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</si>
  <si>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</si>
  <si>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</si>
  <si>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</si>
  <si>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</si>
  <si>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</si>
  <si>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</si>
  <si>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</si>
  <si>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</si>
  <si>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</si>
  <si>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</si>
  <si>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</si>
  <si>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</si>
  <si>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</si>
  <si>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</si>
  <si>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</si>
  <si>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</si>
  <si>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</si>
  <si>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</si>
  <si>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</si>
  <si>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</si>
  <si>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</si>
  <si>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</si>
  <si>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</si>
  <si>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</si>
  <si>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</si>
  <si>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</si>
  <si>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</si>
  <si>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</si>
  <si>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</si>
  <si>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</si>
  <si>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</si>
  <si>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</si>
  <si>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</si>
  <si>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</si>
  <si>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</si>
  <si>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</si>
  <si>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</si>
  <si>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</si>
  <si>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</si>
  <si>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</si>
  <si>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</si>
  <si>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</si>
  <si>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</si>
  <si>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</si>
  <si>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</si>
  <si>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</si>
  <si>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</si>
  <si>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</si>
  <si>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</si>
  <si>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</si>
  <si>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</si>
  <si>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</si>
  <si>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</si>
  <si>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</si>
  <si>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</si>
  <si>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</si>
  <si>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</si>
  <si>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</si>
  <si>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</si>
  <si>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</si>
  <si>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</si>
  <si>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</si>
  <si>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</si>
  <si>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</si>
  <si>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</si>
  <si>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</si>
  <si>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</si>
  <si>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</si>
  <si>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</si>
  <si>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</si>
  <si>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</si>
  <si>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</si>
  <si>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</si>
  <si>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</si>
  <si>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</si>
  <si>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</si>
  <si>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</si>
  <si>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</si>
  <si>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</si>
  <si>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</si>
  <si>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</si>
  <si>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</si>
  <si>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</si>
  <si>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</si>
  <si>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</si>
  <si>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</si>
  <si>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</si>
  <si>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</si>
  <si>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</si>
  <si>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</si>
  <si>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</si>
  <si>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</si>
  <si>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</si>
  <si>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</si>
  <si>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</si>
  <si>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</si>
  <si>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</si>
  <si>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</si>
  <si>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</si>
  <si>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</si>
  <si>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</si>
  <si>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</si>
  <si>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</si>
  <si>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</si>
  <si>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</si>
  <si>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</si>
  <si>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</si>
  <si>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</si>
  <si>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</si>
  <si>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</si>
  <si>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</si>
  <si>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</si>
  <si>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</si>
  <si>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</si>
  <si>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</si>
  <si>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</si>
  <si>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</si>
  <si>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</si>
  <si>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</si>
  <si>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</si>
  <si>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</si>
  <si>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</si>
  <si>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</si>
  <si>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</si>
  <si>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</si>
  <si>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</si>
  <si>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</si>
  <si>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</si>
  <si>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</si>
  <si>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</si>
  <si>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</si>
  <si>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</si>
  <si>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</si>
  <si>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</si>
  <si>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</si>
  <si>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</si>
  <si>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</si>
  <si>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</si>
  <si>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</si>
  <si>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</si>
  <si>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</si>
  <si>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</si>
  <si>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</si>
  <si>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</si>
  <si>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</si>
  <si>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</si>
  <si>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</si>
  <si>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</si>
  <si>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</si>
  <si>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</si>
  <si>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</si>
  <si>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</si>
  <si>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</si>
  <si>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</si>
  <si>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</si>
  <si>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</si>
  <si>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</si>
  <si>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</si>
  <si>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</si>
  <si>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</si>
  <si>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</si>
  <si>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</si>
  <si>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</si>
  <si>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</si>
  <si>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</si>
  <si>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</si>
  <si>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</si>
  <si>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</si>
  <si>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</si>
  <si>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</si>
  <si>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</si>
  <si>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</si>
  <si>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</si>
  <si>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</si>
  <si>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</si>
  <si>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</si>
  <si>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</si>
  <si>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</si>
  <si>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</si>
  <si>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</si>
  <si>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</si>
  <si>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</si>
  <si>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</si>
  <si>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</si>
  <si>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</si>
  <si>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</si>
  <si>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</si>
  <si>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</si>
  <si>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</si>
  <si>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</si>
  <si>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</si>
  <si>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</si>
  <si>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</si>
  <si>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</si>
  <si>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</si>
  <si>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</si>
  <si>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</si>
  <si>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</si>
  <si>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</si>
  <si>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</si>
  <si>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</si>
  <si>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</si>
  <si>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</si>
  <si>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</si>
  <si>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</si>
  <si>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</si>
  <si>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</si>
  <si>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</si>
  <si>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</si>
  <si>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</si>
  <si>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</si>
  <si>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</si>
  <si>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</si>
  <si>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</si>
  <si>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</si>
  <si>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</si>
  <si>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</si>
  <si>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</si>
  <si>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</si>
  <si>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</si>
  <si>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</si>
  <si>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</si>
  <si>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</si>
  <si>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</si>
  <si>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</si>
  <si>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</si>
  <si>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</si>
  <si>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</si>
  <si>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</si>
  <si>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</si>
  <si>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</si>
  <si>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</si>
  <si>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</si>
  <si>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</si>
  <si>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</si>
  <si>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</si>
  <si>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</si>
  <si>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</si>
  <si>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</si>
  <si>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</si>
  <si>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</si>
  <si>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</si>
  <si>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</si>
  <si>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</si>
  <si>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</si>
  <si>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</si>
  <si>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</si>
  <si>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</si>
  <si>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</si>
  <si>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</si>
  <si>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</si>
  <si>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</si>
  <si>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</si>
  <si>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</si>
  <si>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</si>
  <si>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</si>
  <si>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</si>
  <si>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</si>
  <si>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</si>
  <si>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</si>
  <si>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</si>
  <si>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</si>
  <si>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</si>
  <si>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</si>
  <si>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</si>
  <si>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</si>
  <si>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</si>
  <si>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</si>
  <si>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</si>
  <si>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</si>
  <si>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</si>
  <si>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</si>
  <si>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</si>
  <si>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</si>
  <si>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</si>
  <si>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</si>
  <si>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</si>
  <si>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</si>
  <si>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</si>
  <si>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</si>
  <si>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</si>
  <si>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</si>
  <si>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</si>
  <si>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</si>
  <si>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</si>
  <si>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</si>
  <si>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</si>
  <si>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</si>
  <si>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</si>
  <si>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</si>
  <si>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</si>
  <si>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</si>
  <si>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</si>
  <si>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</si>
  <si>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</si>
  <si>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</si>
  <si>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</si>
  <si>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</si>
  <si>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</si>
  <si>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</si>
  <si>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</si>
  <si>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</si>
  <si>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</si>
  <si>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</si>
  <si>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</si>
  <si>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</si>
  <si>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</si>
  <si>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</si>
  <si>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</si>
  <si>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</si>
  <si>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</si>
  <si>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</si>
  <si>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</si>
  <si>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</si>
  <si>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</si>
  <si>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</si>
  <si>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</si>
  <si>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</si>
  <si>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</si>
  <si>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</si>
  <si>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</si>
  <si>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</si>
  <si>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</si>
  <si>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</si>
  <si>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</si>
  <si>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</si>
  <si>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</si>
  <si>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</si>
  <si>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</si>
  <si>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</si>
  <si>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</si>
  <si>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</si>
  <si>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</si>
  <si>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</si>
  <si>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</si>
  <si>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</si>
  <si>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</si>
  <si>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</si>
  <si>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</si>
  <si>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</si>
  <si>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</si>
  <si>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</si>
  <si>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</si>
  <si>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</si>
  <si>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</si>
  <si>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</si>
  <si>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</si>
  <si>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</si>
  <si>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</si>
  <si>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</si>
  <si>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</si>
  <si>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</si>
  <si>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</si>
  <si>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</si>
  <si>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</si>
  <si>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</si>
  <si>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</si>
  <si>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</si>
  <si>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</si>
  <si>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</si>
  <si>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</si>
  <si>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</si>
  <si>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</si>
  <si>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</si>
  <si>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</si>
  <si>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</si>
  <si>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</si>
  <si>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</si>
  <si>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</si>
  <si>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</si>
  <si>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</si>
  <si>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</si>
  <si>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</si>
  <si>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</si>
  <si>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</si>
  <si>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</si>
  <si>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</si>
  <si>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</si>
  <si>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</si>
  <si>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</si>
  <si>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</si>
  <si>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</si>
  <si>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</si>
  <si>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</si>
  <si>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</si>
  <si>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</si>
  <si>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</si>
  <si>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</si>
  <si>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</si>
  <si>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</si>
  <si>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</si>
  <si>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</si>
  <si>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</si>
  <si>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</si>
  <si>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</si>
  <si>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</si>
  <si>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</si>
  <si>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</si>
  <si>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</si>
  <si>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</si>
  <si>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</si>
  <si>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</si>
  <si>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</si>
  <si>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</si>
  <si>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</si>
  <si>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</si>
  <si>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</si>
  <si>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</si>
  <si>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</si>
  <si>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</si>
  <si>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</si>
  <si>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</si>
  <si>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</si>
  <si>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</si>
  <si>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</si>
  <si>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</si>
  <si>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</si>
  <si>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</si>
  <si>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</si>
  <si>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</si>
  <si>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</si>
  <si>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</si>
  <si>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</si>
  <si>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</si>
  <si>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</si>
  <si>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</si>
  <si>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</si>
  <si>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</si>
  <si>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</si>
  <si>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</si>
  <si>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</si>
  <si>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</si>
  <si>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</si>
  <si>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</si>
  <si>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</si>
  <si>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</si>
  <si>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</si>
  <si>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</si>
  <si>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</si>
  <si>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</si>
  <si>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</si>
  <si>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</si>
  <si>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</si>
  <si>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</si>
  <si>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</si>
  <si>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</si>
  <si>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</si>
  <si>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</si>
  <si>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</si>
  <si>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</si>
  <si>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</si>
  <si>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</si>
  <si>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</si>
  <si>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</si>
  <si>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</si>
  <si>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</si>
  <si>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</si>
  <si>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</si>
  <si>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</si>
  <si>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</si>
  <si>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</si>
  <si>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</si>
  <si>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</si>
  <si>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</si>
  <si>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</si>
  <si>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</si>
  <si>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</si>
  <si>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</si>
  <si>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</si>
  <si>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</si>
  <si>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</si>
  <si>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</si>
  <si>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</si>
  <si>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</si>
  <si>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</si>
  <si>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</si>
  <si>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</si>
  <si>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</si>
  <si>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</si>
  <si>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</si>
  <si>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</si>
  <si>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</si>
  <si>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</si>
  <si>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</si>
  <si>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</si>
  <si>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</si>
  <si>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</si>
  <si>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</si>
  <si>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</si>
  <si>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</si>
  <si>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</si>
  <si>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</si>
  <si>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</si>
  <si>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</si>
  <si>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</si>
  <si>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</si>
  <si>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</si>
  <si>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</si>
  <si>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</si>
  <si>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</si>
  <si>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</si>
  <si>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</si>
  <si>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</si>
  <si>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</si>
  <si>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</si>
  <si>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</si>
  <si>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</si>
  <si>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</si>
  <si>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</si>
  <si>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</si>
  <si>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</si>
  <si>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</si>
  <si>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</si>
  <si>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</si>
  <si>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</si>
  <si>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</si>
  <si>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</si>
  <si>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</si>
  <si>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</si>
  <si>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</si>
  <si>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</si>
  <si>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</si>
  <si>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</si>
  <si>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</si>
  <si>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</si>
  <si>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</si>
  <si>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</si>
  <si>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</si>
  <si>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</si>
  <si>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</si>
  <si>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</si>
  <si>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</si>
  <si>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</si>
  <si>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</si>
  <si>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</si>
  <si>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</si>
  <si>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</si>
  <si>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</si>
  <si>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</si>
  <si>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</si>
  <si>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</si>
  <si>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</si>
  <si>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</si>
  <si>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</si>
  <si>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</si>
  <si>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</si>
  <si>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</si>
  <si>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</si>
  <si>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</si>
  <si>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</si>
  <si>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</si>
  <si>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</si>
  <si>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</si>
  <si>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</si>
  <si>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</si>
  <si>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</si>
  <si>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</si>
  <si>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</si>
  <si>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</si>
  <si>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</si>
  <si>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</si>
  <si>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</si>
  <si>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</si>
  <si>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</si>
  <si>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</si>
  <si>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</si>
  <si>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</si>
  <si>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</si>
  <si>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</si>
  <si>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</si>
  <si>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</si>
  <si>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</si>
  <si>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</si>
  <si>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</si>
  <si>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</si>
  <si>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</si>
  <si>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</si>
  <si>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</si>
  <si>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</si>
  <si>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</si>
  <si>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</si>
  <si>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</si>
  <si>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</si>
  <si>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</si>
  <si>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</si>
  <si>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</si>
  <si>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</si>
  <si>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</si>
  <si>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</si>
  <si>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</si>
  <si>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</si>
  <si>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</si>
  <si>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</si>
  <si>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</si>
  <si>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</si>
  <si>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</si>
  <si>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</si>
  <si>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</si>
  <si>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</si>
  <si>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</si>
  <si>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</si>
  <si>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</si>
  <si>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</si>
  <si>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</si>
  <si>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</si>
  <si>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</si>
  <si>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</si>
  <si>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</si>
  <si>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</si>
  <si>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</si>
  <si>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</si>
  <si>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</si>
  <si>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</si>
  <si>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</si>
  <si>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</si>
  <si>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</si>
  <si>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</si>
  <si>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</si>
  <si>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</si>
  <si>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</si>
  <si>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</si>
  <si>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</si>
  <si>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</si>
  <si>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</si>
  <si>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</si>
  <si>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</si>
  <si>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</si>
  <si>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</si>
  <si>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</si>
  <si>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</si>
  <si>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</si>
  <si>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</si>
  <si>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</si>
  <si>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</si>
  <si>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</si>
  <si>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</si>
  <si>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</si>
  <si>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</si>
  <si>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</si>
  <si>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</si>
  <si>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</si>
  <si>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</si>
  <si>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</si>
  <si>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</si>
  <si>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</si>
  <si>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</si>
  <si>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</si>
  <si>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</si>
  <si>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</si>
  <si>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</si>
  <si>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</si>
  <si>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</si>
  <si>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</si>
  <si>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</si>
  <si>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</si>
  <si>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</si>
  <si>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</si>
  <si>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</si>
  <si>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</si>
  <si>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</si>
  <si>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</si>
  <si>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</si>
  <si>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</si>
  <si>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</si>
  <si>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</si>
  <si>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</si>
  <si>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</si>
  <si>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</si>
  <si>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</si>
  <si>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</si>
  <si>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</si>
  <si>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</si>
  <si>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</si>
  <si>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</si>
  <si>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</si>
  <si>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</si>
  <si>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</si>
  <si>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</si>
  <si>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</si>
  <si>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</si>
  <si>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</si>
  <si>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</si>
  <si>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</si>
  <si>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</si>
  <si>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</si>
  <si>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</si>
  <si>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</si>
  <si>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</si>
  <si>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</si>
  <si>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</si>
  <si>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</si>
  <si>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</si>
  <si>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</si>
  <si>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</si>
  <si>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</si>
  <si>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</si>
  <si>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</si>
  <si>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</si>
  <si>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</si>
  <si>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</si>
  <si>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</si>
  <si>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</si>
  <si>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</si>
  <si>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</si>
  <si>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</si>
  <si>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</si>
  <si>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</si>
  <si>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</si>
  <si>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</si>
  <si>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</si>
  <si>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</si>
  <si>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</si>
  <si>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</si>
  <si>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</si>
  <si>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</si>
  <si>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</si>
  <si>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</si>
  <si>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</si>
  <si>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</si>
  <si>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</si>
  <si>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</si>
  <si>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</si>
  <si>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</si>
  <si>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</si>
  <si>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</si>
  <si>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</si>
  <si>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</si>
  <si>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</si>
  <si>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</si>
  <si>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</si>
  <si>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</si>
  <si>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</si>
  <si>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</si>
  <si>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</si>
  <si>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</si>
  <si>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</si>
  <si>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</si>
  <si>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</si>
  <si>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</si>
  <si>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</si>
  <si>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</si>
  <si>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</si>
  <si>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</si>
  <si>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</si>
  <si>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</si>
  <si>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</si>
  <si>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</si>
  <si>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</si>
  <si>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</si>
  <si>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</si>
  <si>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</si>
  <si>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</si>
  <si>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</si>
  <si>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</si>
  <si>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</si>
  <si>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</si>
  <si>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</si>
  <si>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</si>
  <si>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</si>
  <si>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</si>
  <si>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</si>
  <si>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</si>
  <si>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</si>
  <si>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</si>
  <si>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</si>
  <si>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</si>
  <si>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</si>
  <si>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</si>
  <si>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</si>
  <si>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</si>
  <si>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</si>
  <si>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</si>
  <si>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</si>
  <si>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</si>
  <si>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</si>
  <si>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</si>
  <si>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</si>
  <si>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</si>
  <si>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</si>
  <si>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</si>
  <si>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</si>
  <si>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</si>
  <si>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</si>
  <si>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</si>
  <si>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</si>
  <si>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</si>
  <si>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</si>
  <si>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</si>
  <si>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</si>
  <si>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</si>
  <si>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</si>
  <si>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</si>
  <si>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</si>
  <si>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</si>
  <si>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</si>
  <si>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</si>
  <si>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</si>
  <si>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</si>
  <si>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</si>
  <si>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</si>
  <si>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</si>
  <si>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</si>
  <si>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</si>
  <si>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</si>
  <si>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</si>
  <si>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</si>
  <si>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</si>
  <si>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</si>
  <si>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</si>
  <si>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</si>
  <si>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</si>
  <si>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</si>
  <si>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</si>
  <si>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</si>
  <si>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</si>
  <si>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</si>
  <si>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</si>
  <si>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</si>
  <si>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</si>
  <si>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</si>
  <si>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</si>
  <si>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</si>
  <si>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</si>
  <si>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</si>
  <si>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</si>
  <si>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</si>
  <si>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</si>
  <si>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</si>
  <si>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</si>
  <si>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</si>
  <si>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</si>
  <si>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</si>
  <si>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</si>
  <si>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</si>
  <si>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</si>
  <si>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</si>
  <si>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</si>
  <si>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</si>
  <si>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</si>
  <si>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</si>
  <si>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</si>
  <si>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</si>
  <si>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</si>
  <si>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</si>
  <si>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</si>
  <si>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</si>
  <si>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</si>
  <si>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</si>
  <si>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</si>
  <si>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</si>
  <si>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</si>
  <si>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</si>
  <si>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</si>
  <si>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</si>
  <si>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</si>
  <si>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</si>
  <si>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</si>
  <si>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</si>
  <si>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</si>
  <si>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</si>
  <si>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</si>
  <si>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</si>
  <si>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</si>
  <si>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</si>
  <si>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</si>
  <si>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</si>
  <si>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</si>
  <si>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</si>
  <si>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</si>
  <si>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</si>
  <si>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</si>
  <si>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</si>
  <si>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</si>
  <si>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</si>
  <si>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</si>
  <si>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</si>
  <si>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</si>
  <si>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</si>
  <si>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</si>
  <si>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</si>
  <si>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</si>
  <si>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</si>
  <si>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</si>
  <si>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</si>
  <si>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</si>
  <si>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</si>
  <si>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</si>
  <si>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</si>
  <si>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</si>
  <si>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</si>
  <si>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</si>
  <si>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</si>
  <si>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</si>
  <si>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</si>
  <si>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</si>
  <si>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</si>
  <si>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</si>
  <si>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</si>
  <si>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</si>
  <si>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</si>
  <si>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</si>
  <si>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</si>
  <si>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</si>
  <si>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</si>
  <si>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</si>
  <si>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</si>
  <si>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</si>
  <si>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</si>
  <si>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</si>
  <si>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</si>
  <si>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</si>
  <si>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</si>
  <si>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</si>
  <si>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</si>
  <si>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</si>
  <si>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</si>
  <si>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</si>
  <si>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</si>
  <si>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</si>
  <si>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</si>
  <si>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</si>
  <si>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</si>
  <si>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</si>
  <si>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</si>
  <si>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</si>
  <si>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</si>
  <si>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</si>
  <si>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</si>
  <si>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</si>
  <si>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</si>
  <si>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</si>
  <si>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</si>
  <si>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</si>
  <si>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</si>
  <si>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</si>
  <si>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</si>
  <si>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</si>
  <si>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</si>
  <si>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</si>
  <si>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</si>
  <si>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</si>
  <si>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</si>
  <si>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</si>
  <si>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</si>
  <si>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</si>
  <si>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</si>
  <si>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</si>
  <si>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</si>
  <si>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</si>
  <si>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</si>
  <si>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</si>
  <si>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</si>
  <si>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</si>
  <si>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</si>
  <si>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</si>
  <si>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</si>
  <si>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</si>
  <si>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</si>
  <si>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</si>
  <si>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</si>
  <si>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</si>
  <si>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</si>
  <si>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</si>
  <si>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</si>
  <si>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</si>
  <si>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</si>
  <si>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</si>
  <si>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</si>
  <si>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</si>
  <si>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</si>
  <si>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</si>
  <si>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</si>
  <si>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</si>
  <si>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</si>
  <si>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</si>
  <si>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</si>
  <si>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</si>
  <si>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</si>
  <si>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</si>
  <si>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</si>
  <si>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</si>
  <si>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</si>
  <si>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</si>
  <si>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</si>
  <si>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</si>
  <si>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</si>
  <si>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</si>
  <si>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</si>
  <si>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</si>
  <si>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</si>
  <si>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</si>
  <si>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</si>
  <si>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</si>
  <si>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</si>
  <si>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</si>
  <si>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</si>
  <si>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</si>
  <si>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</si>
  <si>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</si>
  <si>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</si>
  <si>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</si>
  <si>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</si>
  <si>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</si>
  <si>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</si>
  <si>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</si>
  <si>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</si>
  <si>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</si>
  <si>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</si>
  <si>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</si>
  <si>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</si>
  <si>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</si>
  <si>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</si>
  <si>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</si>
  <si>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</si>
  <si>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</si>
  <si>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</si>
  <si>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</si>
  <si>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</si>
  <si>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</si>
  <si>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</si>
  <si>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</si>
  <si>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</si>
  <si>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</si>
  <si>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</si>
  <si>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</si>
  <si>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</si>
  <si>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</si>
  <si>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</si>
  <si>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</si>
  <si>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</si>
  <si>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</si>
  <si>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</si>
  <si>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</si>
  <si>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</si>
  <si>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</si>
  <si>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</si>
  <si>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</si>
  <si>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</si>
  <si>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</si>
  <si>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</si>
  <si>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</si>
  <si>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</si>
  <si>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</si>
  <si>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</si>
  <si>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</si>
  <si>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</si>
  <si>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</si>
  <si>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</si>
  <si>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</si>
  <si>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</si>
  <si>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</si>
  <si>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</si>
  <si>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</si>
  <si>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</si>
  <si>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</si>
  <si>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</si>
  <si>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</si>
  <si>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</si>
  <si>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</si>
  <si>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</si>
  <si>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</si>
  <si>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</si>
  <si>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</si>
  <si>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</si>
  <si>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</si>
  <si>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</si>
  <si>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</si>
  <si>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</si>
  <si>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</si>
  <si>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</si>
  <si>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</si>
  <si>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</si>
  <si>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</si>
  <si>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</si>
  <si>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</si>
  <si>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</si>
  <si>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</si>
  <si>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</si>
  <si>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</si>
  <si>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</si>
  <si>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</si>
  <si>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</si>
  <si>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</si>
  <si>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</si>
  <si>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</si>
  <si>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</si>
  <si>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</si>
  <si>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</si>
  <si>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</si>
  <si>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</si>
  <si>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</si>
  <si>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</si>
  <si>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</si>
  <si>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</si>
  <si>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</si>
  <si>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</si>
  <si>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</si>
  <si>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</si>
  <si>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</si>
  <si>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</si>
  <si>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</si>
  <si>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</si>
  <si>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</si>
  <si>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</si>
  <si>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</si>
  <si>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</si>
  <si>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</si>
  <si>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</si>
  <si>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</si>
  <si>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</si>
  <si>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</si>
  <si>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</si>
  <si>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</si>
  <si>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</si>
  <si>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</si>
  <si>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</si>
  <si>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</si>
  <si>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</si>
  <si>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</si>
  <si>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</si>
  <si>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</si>
  <si>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</si>
  <si>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</si>
  <si>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</si>
  <si>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</si>
  <si>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</si>
  <si>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</si>
  <si>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</si>
  <si>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</si>
  <si>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</si>
  <si>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</si>
  <si>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</si>
  <si>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</si>
  <si>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</si>
  <si>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</si>
  <si>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</si>
  <si>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</si>
  <si>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</si>
  <si>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</si>
  <si>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</si>
  <si>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</si>
  <si>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</si>
  <si>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</si>
  <si>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</si>
  <si>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</si>
  <si>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</si>
  <si>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</si>
  <si>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</si>
  <si>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</si>
  <si>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</si>
  <si>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</si>
  <si>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</si>
  <si>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</si>
  <si>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</si>
  <si>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</si>
  <si>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</si>
  <si>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</si>
  <si>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</si>
  <si>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</si>
  <si>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</si>
  <si>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</si>
  <si>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</si>
  <si>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</si>
  <si>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</si>
  <si>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</si>
  <si>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</si>
  <si>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</si>
  <si>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</si>
  <si>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</si>
  <si>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</si>
  <si>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</si>
  <si>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</si>
  <si>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</si>
  <si>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</si>
  <si>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</si>
  <si>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</si>
  <si>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</si>
  <si>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</si>
  <si>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</si>
  <si>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</si>
  <si>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</si>
  <si>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</si>
  <si>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</si>
  <si>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</si>
  <si>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</si>
  <si>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</si>
  <si>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</si>
  <si>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</si>
  <si>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</si>
  <si>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</si>
  <si>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</si>
  <si>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</si>
  <si>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</si>
  <si>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</si>
  <si>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</si>
  <si>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</si>
  <si>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</si>
  <si>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</si>
  <si>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</si>
  <si>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</si>
  <si>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</si>
  <si>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</si>
  <si>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</si>
  <si>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</si>
  <si>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</si>
  <si>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</si>
  <si>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</si>
  <si>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</si>
  <si>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</si>
  <si>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</si>
  <si>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</si>
  <si>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</si>
  <si>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</si>
  <si>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</si>
  <si>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</si>
  <si>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</si>
  <si>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</si>
  <si>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</si>
  <si>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</si>
  <si>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</si>
  <si>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</si>
  <si>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</si>
  <si>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</si>
  <si>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</si>
  <si>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</si>
  <si>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</si>
  <si>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</si>
  <si>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</si>
  <si>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</si>
  <si>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</si>
  <si>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</si>
  <si>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</si>
  <si>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</si>
  <si>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</si>
  <si>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</si>
  <si>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</si>
  <si>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</si>
  <si>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</si>
  <si>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</si>
  <si>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</si>
  <si>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</si>
  <si>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</si>
  <si>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</si>
  <si>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</si>
  <si>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</si>
  <si>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</si>
  <si>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</si>
  <si>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</si>
  <si>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</si>
  <si>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</si>
  <si>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</si>
  <si>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</si>
  <si>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</si>
  <si>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</si>
  <si>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</si>
  <si>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</si>
  <si>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</si>
  <si>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</si>
  <si>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</si>
  <si>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</si>
  <si>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</si>
  <si>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</si>
  <si>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</si>
  <si>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</si>
  <si>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</si>
  <si>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</si>
  <si>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</si>
  <si>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</si>
  <si>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</si>
  <si>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</si>
  <si>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</si>
  <si>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</si>
  <si>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</si>
  <si>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</si>
  <si>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</si>
  <si>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</si>
  <si>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</si>
  <si>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</si>
  <si>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</si>
  <si>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</si>
  <si>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</si>
  <si>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</si>
  <si>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</si>
  <si>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</si>
  <si>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</si>
  <si>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</si>
  <si>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</si>
  <si>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</si>
  <si>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</si>
  <si>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</si>
  <si>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</si>
  <si>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</si>
  <si>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</si>
  <si>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</si>
  <si>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</si>
  <si>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</si>
  <si>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</si>
  <si>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</si>
  <si>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</si>
  <si>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</si>
  <si>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</si>
  <si>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</si>
  <si>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</si>
  <si>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</si>
  <si>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</si>
  <si>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</si>
  <si>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</si>
  <si>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</si>
  <si>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</si>
  <si>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</si>
  <si>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</si>
  <si>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</si>
  <si>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</si>
  <si>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</si>
  <si>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</si>
  <si>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</si>
  <si>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</si>
  <si>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</si>
  <si>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</si>
  <si>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</si>
  <si>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</si>
  <si>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</si>
  <si>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</si>
  <si>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</si>
  <si>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</si>
  <si>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</si>
  <si>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</si>
  <si>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</si>
  <si>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</si>
  <si>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</si>
  <si>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</si>
  <si>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</si>
  <si>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</si>
  <si>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</si>
  <si>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</si>
  <si>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</si>
  <si>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</si>
  <si>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</si>
  <si>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</si>
  <si>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</si>
  <si>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</si>
  <si>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</si>
  <si>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</si>
  <si>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</si>
  <si>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</si>
  <si>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</si>
  <si>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</si>
  <si>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</si>
  <si>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</si>
  <si>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</si>
  <si>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</si>
  <si>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</si>
  <si>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</si>
  <si>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</si>
  <si>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</si>
  <si>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</si>
  <si>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</si>
  <si>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</si>
  <si>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</si>
  <si>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</si>
  <si>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</si>
  <si>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</si>
  <si>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</si>
  <si>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</si>
  <si>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</si>
  <si>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</si>
  <si>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</si>
  <si>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</si>
  <si>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</si>
  <si>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</si>
  <si>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</si>
  <si>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</si>
  <si>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</si>
  <si>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</si>
  <si>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</si>
  <si>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</si>
  <si>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</si>
  <si>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</si>
  <si>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</si>
  <si>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</si>
  <si>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</si>
  <si>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</si>
  <si>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</si>
  <si>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</si>
  <si>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</si>
  <si>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</si>
  <si>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</si>
  <si>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</si>
  <si>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</si>
  <si>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</si>
  <si>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</si>
  <si>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</si>
  <si>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</si>
  <si>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</si>
  <si>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</si>
  <si>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</si>
  <si>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</si>
  <si>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</si>
  <si>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</si>
  <si>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</si>
  <si>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</si>
  <si>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</si>
  <si>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</si>
  <si>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</si>
  <si>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</si>
  <si>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</si>
  <si>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</si>
  <si>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</si>
  <si>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</si>
  <si>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</si>
  <si>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</si>
  <si>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</si>
  <si>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</si>
  <si>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</si>
  <si>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</si>
  <si>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</si>
  <si>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</si>
  <si>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</si>
  <si>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</si>
  <si>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</si>
  <si>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</si>
  <si>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</si>
  <si>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</si>
  <si>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</si>
  <si>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</si>
  <si>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</si>
  <si>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</si>
  <si>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</si>
  <si>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</si>
  <si>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</si>
  <si>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</si>
  <si>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</si>
  <si>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</si>
  <si>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</si>
  <si>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</si>
  <si>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</si>
  <si>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</si>
  <si>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</si>
  <si>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</si>
  <si>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</si>
  <si>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</si>
  <si>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</si>
  <si>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</si>
  <si>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</si>
  <si>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</si>
  <si>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</si>
  <si>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</si>
  <si>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</si>
  <si>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</si>
  <si>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</si>
  <si>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</si>
  <si>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</si>
  <si>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</si>
  <si>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</si>
  <si>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</si>
  <si>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</si>
  <si>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</si>
  <si>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</si>
  <si>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</si>
  <si>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</si>
  <si>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</si>
  <si>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</si>
  <si>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</si>
  <si>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</si>
  <si>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</si>
  <si>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</si>
  <si>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</si>
  <si>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</si>
  <si>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</si>
  <si>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</si>
  <si>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</si>
  <si>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</si>
  <si>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</si>
  <si>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</si>
  <si>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</si>
  <si>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</si>
  <si>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</si>
  <si>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</si>
  <si>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</si>
  <si>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</si>
  <si>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</si>
  <si>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</si>
  <si>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</si>
  <si>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</si>
  <si>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</si>
  <si>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</si>
  <si>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</si>
  <si>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</si>
  <si>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</si>
  <si>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</si>
  <si>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</si>
  <si>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</si>
  <si>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</si>
  <si>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</si>
  <si>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</si>
  <si>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</si>
  <si>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</si>
  <si>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</si>
  <si>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</si>
  <si>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</si>
  <si>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</si>
  <si>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</si>
  <si>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</si>
  <si>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</si>
  <si>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</si>
  <si>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</si>
  <si>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</si>
  <si>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</si>
  <si>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</si>
  <si>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</si>
  <si>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</si>
  <si>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</si>
  <si>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</si>
  <si>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</si>
  <si>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</si>
  <si>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</si>
  <si>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</si>
  <si>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</si>
  <si>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</si>
  <si>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</si>
  <si>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</si>
  <si>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</si>
  <si>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</si>
  <si>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</si>
  <si>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</si>
  <si>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</si>
  <si>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</si>
  <si>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</si>
  <si>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</si>
  <si>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</si>
  <si>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</si>
  <si>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</si>
  <si>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</si>
  <si>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</si>
  <si>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</si>
  <si>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</si>
  <si>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</si>
  <si>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</si>
  <si>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</si>
  <si>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</si>
  <si>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</si>
  <si>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</si>
  <si>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</si>
  <si>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</si>
  <si>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</si>
  <si>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</si>
  <si>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</si>
  <si>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</si>
  <si>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</si>
  <si>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</si>
  <si>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</si>
  <si>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</si>
  <si>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</si>
  <si>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</si>
  <si>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</si>
  <si>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</si>
  <si>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</si>
  <si>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</si>
  <si>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</si>
  <si>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</si>
  <si>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</si>
  <si>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</si>
  <si>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</si>
  <si>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</si>
  <si>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</si>
  <si>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</si>
  <si>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</si>
  <si>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</si>
  <si>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</si>
  <si>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</si>
  <si>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</si>
  <si>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</si>
  <si>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</si>
  <si>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</si>
  <si>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</si>
  <si>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</si>
  <si>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</si>
  <si>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</si>
  <si>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</si>
  <si>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</si>
  <si>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</si>
  <si>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</si>
  <si>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</si>
  <si>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</si>
  <si>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</si>
  <si>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</si>
  <si>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</si>
  <si>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</si>
  <si>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</si>
  <si>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</si>
  <si>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</si>
  <si>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</si>
  <si>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</si>
  <si>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</si>
  <si>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</si>
  <si>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</si>
  <si>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</si>
  <si>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</si>
  <si>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</si>
  <si>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</si>
  <si>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</si>
  <si>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</si>
  <si>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</si>
  <si>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</si>
  <si>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</si>
  <si>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</si>
  <si>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</si>
  <si>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</si>
  <si>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</si>
  <si>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</si>
  <si>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</si>
  <si>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</si>
  <si>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</si>
  <si>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</si>
  <si>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</si>
  <si>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</si>
  <si>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</si>
  <si>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</si>
  <si>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</si>
  <si>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</si>
  <si>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</si>
  <si>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</si>
  <si>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</si>
  <si>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</si>
  <si>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</si>
  <si>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</si>
  <si>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</si>
  <si>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</si>
  <si>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</si>
  <si>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</si>
  <si>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</si>
  <si>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</si>
  <si>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</si>
  <si>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</si>
  <si>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</si>
  <si>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</si>
  <si>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</si>
  <si>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</si>
  <si>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</si>
  <si>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</si>
  <si>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</si>
  <si>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</si>
  <si>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</si>
  <si>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</si>
  <si>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</si>
  <si>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</si>
  <si>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</si>
  <si>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</si>
  <si>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</si>
  <si>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</si>
  <si>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</si>
  <si>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</si>
  <si>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</si>
  <si>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</si>
  <si>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</si>
  <si>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</si>
  <si>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</si>
  <si>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</si>
  <si>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</si>
  <si>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</si>
  <si>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</si>
  <si>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</si>
  <si>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</si>
  <si>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</si>
  <si>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</si>
  <si>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</si>
  <si>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</si>
  <si>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</si>
  <si>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</si>
  <si>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</si>
  <si>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</si>
  <si>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</si>
  <si>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</si>
  <si>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</si>
  <si>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</si>
  <si>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</si>
  <si>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</si>
  <si>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</si>
  <si>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</si>
  <si>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</si>
  <si>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</si>
  <si>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</si>
  <si>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</si>
  <si>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</si>
  <si>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</si>
  <si>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</si>
  <si>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</si>
  <si>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</si>
  <si>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</si>
  <si>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</si>
  <si>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</si>
  <si>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</si>
  <si>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</si>
  <si>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</si>
  <si>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</si>
  <si>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</si>
  <si>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</si>
  <si>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</si>
  <si>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</si>
  <si>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</si>
  <si>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</si>
  <si>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</si>
  <si>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</si>
  <si>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</si>
  <si>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</si>
  <si>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</si>
  <si>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</si>
  <si>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</si>
  <si>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</si>
  <si>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</si>
  <si>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</si>
  <si>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</si>
  <si>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</si>
  <si>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</si>
  <si>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</si>
  <si>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</si>
  <si>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</si>
  <si>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</si>
  <si>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</si>
  <si>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</si>
  <si>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</si>
  <si>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</si>
  <si>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</si>
  <si>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</si>
  <si>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</si>
  <si>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</si>
  <si>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</si>
  <si>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</si>
  <si>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</si>
  <si>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</si>
  <si>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</si>
  <si>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</si>
  <si>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</si>
  <si>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</si>
  <si>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</si>
  <si>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</si>
  <si>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</si>
  <si>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</si>
  <si>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</si>
  <si>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</si>
  <si>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</si>
  <si>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</si>
  <si>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</si>
  <si>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</si>
  <si>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</si>
  <si>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</si>
  <si>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</si>
  <si>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</si>
  <si>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</si>
  <si>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</si>
  <si>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</si>
  <si>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</si>
  <si>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</si>
  <si>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</si>
  <si>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</si>
  <si>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</si>
  <si>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</si>
  <si>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</si>
  <si>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</si>
  <si>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</si>
  <si>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</si>
  <si>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</si>
  <si>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</si>
  <si>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</si>
  <si>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</si>
  <si>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</si>
  <si>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</si>
  <si>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</si>
  <si>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</si>
  <si>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</si>
  <si>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</si>
  <si>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</si>
  <si>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</si>
  <si>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</si>
  <si>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</si>
  <si>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</si>
  <si>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</si>
  <si>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</si>
  <si>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</si>
  <si>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</si>
  <si>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</si>
  <si>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</si>
  <si>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</si>
  <si>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</si>
  <si>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</si>
  <si>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</si>
  <si>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</si>
  <si>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</si>
  <si>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</si>
  <si>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</si>
  <si>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</si>
  <si>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</si>
  <si>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</si>
  <si>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</si>
  <si>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</si>
  <si>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</si>
  <si>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</si>
  <si>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</si>
  <si>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</si>
  <si>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</si>
  <si>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</si>
  <si>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</si>
  <si>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</si>
  <si>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</si>
  <si>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</si>
  <si>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</si>
  <si>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</si>
  <si>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</si>
  <si>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</si>
  <si>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</si>
  <si>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</si>
  <si>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</si>
  <si>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</si>
  <si>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</si>
  <si>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</si>
  <si>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</si>
  <si>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</si>
  <si>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</si>
  <si>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</si>
  <si>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</si>
  <si>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</si>
  <si>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</si>
  <si>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</si>
  <si>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</si>
  <si>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</si>
  <si>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</si>
  <si>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</si>
  <si>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</si>
  <si>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</si>
  <si>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</si>
  <si>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</si>
  <si>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</si>
  <si>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</si>
  <si>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</si>
  <si>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</si>
  <si>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</si>
  <si>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</si>
  <si>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</si>
  <si>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</si>
  <si>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</si>
  <si>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</si>
  <si>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</si>
  <si>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</si>
  <si>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</si>
  <si>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</si>
  <si>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</si>
  <si>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</si>
  <si>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</si>
  <si>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</si>
  <si>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</si>
  <si>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</si>
  <si>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</si>
  <si>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</si>
  <si>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</si>
  <si>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</si>
  <si>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</si>
  <si>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</si>
  <si>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</si>
  <si>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</si>
  <si>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</si>
  <si>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</si>
  <si>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</si>
  <si>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</si>
  <si>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</si>
  <si>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</si>
  <si>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</si>
  <si>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</si>
  <si>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</si>
  <si>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</si>
  <si>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</si>
  <si>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</si>
  <si>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</si>
  <si>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</si>
  <si>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</si>
  <si>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</si>
  <si>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</si>
  <si>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</si>
  <si>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</si>
  <si>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</si>
  <si>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</si>
  <si>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</si>
  <si>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</si>
  <si>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</si>
  <si>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</si>
  <si>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</si>
  <si>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</si>
  <si>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</si>
  <si>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</si>
  <si>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</si>
  <si>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</si>
  <si>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</si>
  <si>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</si>
  <si>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</si>
  <si>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</si>
  <si>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</si>
  <si>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</si>
  <si>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</si>
  <si>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</si>
  <si>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</si>
  <si>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</si>
  <si>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</si>
  <si>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</si>
  <si>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</si>
  <si>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</si>
  <si>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</si>
  <si>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</si>
  <si>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</si>
  <si>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</si>
  <si>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</si>
  <si>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</si>
  <si>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</si>
  <si>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</si>
  <si>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</si>
  <si>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</si>
  <si>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</si>
  <si>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</si>
  <si>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</si>
  <si>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</si>
  <si>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</si>
  <si>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</si>
  <si>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</si>
  <si>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</si>
  <si>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</si>
  <si>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</si>
  <si>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</si>
  <si>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</si>
  <si>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</si>
  <si>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</si>
  <si>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</si>
  <si>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</si>
  <si>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</si>
  <si>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</si>
  <si>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</si>
  <si>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</si>
  <si>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</si>
  <si>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</si>
  <si>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</si>
  <si>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</si>
  <si>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</si>
  <si>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</si>
  <si>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</si>
  <si>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</si>
  <si>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</si>
  <si>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</si>
  <si>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</si>
  <si>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</si>
  <si>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</si>
  <si>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</si>
  <si>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</si>
  <si>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</si>
  <si>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</si>
  <si>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</si>
  <si>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</si>
  <si>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</si>
  <si>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</si>
  <si>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</si>
  <si>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</si>
  <si>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</si>
  <si>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</si>
  <si>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</si>
  <si>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</si>
  <si>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</si>
  <si>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</si>
  <si>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</si>
  <si>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</si>
  <si>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</si>
  <si>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</si>
  <si>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</si>
  <si>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</si>
  <si>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</si>
  <si>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</si>
  <si>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</si>
  <si>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</si>
  <si>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</si>
  <si>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</si>
  <si>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</si>
  <si>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</si>
  <si>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</si>
  <si>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</si>
  <si>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</si>
  <si>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</si>
  <si>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</si>
  <si>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</si>
  <si>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</si>
  <si>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</si>
  <si>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</si>
  <si>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</si>
  <si>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</si>
  <si>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</si>
  <si>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</si>
  <si>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</si>
  <si>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</si>
  <si>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</si>
  <si>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</si>
  <si>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</si>
  <si>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</si>
  <si>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</si>
  <si>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</si>
  <si>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</si>
  <si>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</si>
  <si>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</si>
  <si>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</si>
  <si>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</si>
  <si>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</si>
  <si>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</si>
  <si>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</si>
  <si>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</si>
  <si>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</si>
  <si>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</si>
  <si>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</si>
  <si>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</si>
  <si>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</si>
  <si>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</si>
  <si>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</si>
  <si>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</si>
  <si>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</si>
  <si>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</si>
  <si>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</si>
  <si>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</si>
  <si>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</si>
  <si>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</si>
  <si>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</si>
  <si>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</si>
  <si>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</si>
  <si>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</si>
  <si>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</si>
  <si>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</si>
  <si>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</si>
  <si>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</si>
  <si>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</si>
  <si>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</si>
  <si>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</si>
  <si>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</si>
  <si>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</si>
  <si>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</si>
  <si>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</si>
  <si>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</si>
  <si>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</si>
  <si>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</si>
  <si>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</si>
  <si>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</si>
  <si>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</si>
  <si>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</si>
  <si>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</si>
  <si>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</si>
  <si>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</si>
  <si>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</si>
  <si>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</si>
  <si>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</si>
  <si>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</si>
  <si>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</si>
  <si>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</si>
  <si>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</si>
  <si>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</si>
  <si>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</si>
  <si>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</si>
  <si>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</si>
  <si>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</si>
  <si>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</si>
  <si>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</si>
  <si>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</si>
  <si>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</si>
  <si>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</si>
  <si>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</si>
  <si>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</si>
  <si>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</si>
  <si>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</si>
  <si>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</si>
  <si>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</si>
  <si>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</si>
  <si>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</si>
  <si>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</si>
  <si>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</si>
  <si>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</si>
  <si>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</si>
  <si>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</si>
  <si>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</si>
  <si>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</si>
  <si>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</si>
  <si>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</si>
  <si>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</si>
  <si>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</si>
  <si>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</si>
  <si>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</si>
  <si>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</si>
  <si>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</si>
  <si>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</si>
  <si>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</si>
  <si>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</si>
  <si>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</si>
  <si>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</si>
  <si>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</si>
  <si>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</si>
  <si>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</si>
  <si>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</si>
  <si>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</si>
  <si>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</si>
  <si>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</si>
  <si>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</si>
  <si>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</si>
  <si>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</si>
  <si>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</si>
  <si>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</si>
  <si>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</si>
  <si>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</si>
  <si>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</si>
  <si>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</si>
  <si>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</si>
  <si>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</si>
  <si>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</si>
  <si>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</si>
  <si>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</si>
  <si>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</si>
  <si>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</si>
  <si>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</si>
  <si>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</si>
  <si>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</si>
  <si>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</si>
  <si>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</si>
  <si>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</si>
  <si>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</si>
  <si>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</si>
  <si>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</si>
  <si>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</si>
  <si>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</si>
  <si>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</si>
  <si>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</si>
  <si>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</si>
  <si>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</si>
  <si>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</si>
  <si>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</si>
  <si>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</si>
  <si>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</si>
  <si>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</si>
  <si>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</si>
  <si>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</si>
  <si>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</si>
  <si>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</si>
  <si>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</si>
  <si>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</si>
  <si>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</si>
  <si>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</si>
  <si>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</si>
  <si>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</si>
  <si>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</si>
  <si>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</si>
  <si>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</si>
  <si>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</si>
  <si>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</si>
  <si>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</si>
  <si>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</si>
  <si>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</si>
  <si>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</si>
  <si>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</si>
  <si>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</si>
  <si>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</si>
  <si>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</si>
  <si>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</si>
  <si>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</si>
  <si>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</si>
  <si>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</si>
  <si>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</si>
  <si>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</si>
  <si>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</si>
  <si>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</si>
  <si>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</si>
  <si>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</si>
  <si>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</si>
  <si>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</si>
  <si>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</si>
  <si>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</si>
  <si>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</si>
  <si>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</si>
  <si>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</si>
  <si>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</si>
  <si>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</si>
  <si>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</si>
  <si>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</si>
  <si>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</si>
  <si>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</si>
  <si>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</si>
  <si>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</si>
  <si>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</si>
  <si>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</si>
  <si>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</si>
  <si>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</si>
  <si>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</si>
  <si>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</si>
  <si>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</si>
  <si>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</si>
  <si>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</si>
  <si>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</si>
  <si>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</si>
  <si>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</si>
  <si>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</si>
  <si>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</si>
  <si>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</si>
  <si>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</si>
  <si>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</si>
  <si>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</si>
  <si>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</si>
  <si>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</si>
  <si>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</si>
  <si>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</si>
  <si>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</si>
  <si>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</si>
  <si>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</si>
  <si>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</si>
  <si>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</si>
  <si>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</si>
  <si>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</si>
  <si>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</si>
  <si>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</si>
  <si>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</si>
  <si>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</si>
  <si>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</si>
  <si>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</si>
  <si>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</si>
  <si>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</si>
  <si>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</si>
  <si>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</si>
  <si>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</si>
  <si>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</si>
  <si>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</si>
  <si>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</si>
  <si>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</si>
  <si>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</si>
  <si>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</si>
  <si>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</si>
  <si>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</si>
  <si>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</si>
  <si>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</si>
  <si>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</si>
  <si>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</si>
  <si>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</si>
  <si>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</si>
  <si>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</si>
  <si>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</si>
  <si>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</si>
  <si>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</si>
  <si>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</si>
  <si>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</si>
  <si>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</si>
  <si>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</si>
  <si>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</si>
  <si>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</si>
  <si>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</si>
  <si>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</si>
  <si>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</si>
  <si>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</si>
  <si>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</si>
  <si>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</si>
  <si>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</si>
  <si>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</si>
  <si>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</si>
  <si>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</si>
  <si>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</si>
  <si>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</si>
  <si>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</si>
  <si>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</si>
  <si>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</si>
  <si>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</si>
  <si>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</si>
  <si>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</si>
  <si>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</si>
  <si>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</si>
  <si>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</si>
  <si>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</si>
  <si>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</si>
  <si>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</si>
  <si>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</si>
  <si>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</si>
  <si>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</si>
  <si>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</si>
  <si>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</si>
  <si>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</si>
  <si>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</si>
  <si>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</si>
  <si>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</si>
  <si>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</si>
  <si>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</si>
  <si>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</si>
  <si>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</si>
  <si>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</si>
  <si>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</si>
  <si>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</si>
  <si>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</si>
  <si>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</si>
  <si>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</si>
  <si>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</si>
  <si>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</si>
  <si>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</si>
  <si>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</si>
  <si>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</si>
  <si>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</si>
  <si>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</si>
  <si>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</si>
  <si>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</si>
  <si>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</si>
  <si>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</si>
  <si>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</si>
  <si>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</si>
  <si>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</si>
  <si>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</si>
  <si>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</si>
  <si>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</si>
  <si>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</si>
  <si>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</si>
  <si>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</si>
  <si>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</si>
  <si>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</si>
  <si>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</si>
  <si>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</si>
  <si>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</si>
  <si>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</si>
  <si>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</si>
  <si>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</si>
  <si>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</si>
  <si>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</si>
  <si>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</si>
  <si>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</si>
  <si>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</si>
  <si>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</si>
  <si>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</si>
  <si>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</si>
  <si>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</si>
  <si>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</si>
  <si>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</si>
  <si>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</si>
  <si>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</si>
  <si>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</si>
  <si>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</si>
  <si>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</si>
  <si>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</si>
  <si>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</si>
  <si>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</si>
  <si>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</si>
  <si>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</si>
  <si>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</si>
  <si>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</si>
  <si>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</si>
  <si>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</si>
  <si>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</si>
  <si>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</si>
  <si>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</si>
  <si>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</si>
  <si>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</si>
  <si>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</si>
  <si>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</si>
  <si>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</si>
  <si>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</si>
  <si>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</si>
  <si>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</si>
  <si>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</si>
  <si>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</si>
  <si>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</si>
  <si>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</si>
  <si>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</si>
  <si>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</si>
  <si>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</si>
  <si>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</si>
  <si>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</si>
  <si>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</si>
  <si>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</si>
  <si>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</si>
  <si>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</si>
  <si>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</si>
  <si>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</si>
  <si>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</si>
  <si>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</si>
  <si>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</si>
  <si>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</si>
  <si>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</si>
  <si>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</si>
  <si>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</si>
  <si>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</si>
  <si>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</si>
  <si>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</si>
  <si>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</si>
  <si>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</si>
  <si>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</si>
  <si>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</si>
  <si>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</si>
  <si>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</si>
  <si>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</si>
  <si>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</si>
  <si>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</si>
  <si>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</si>
  <si>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</si>
  <si>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</si>
  <si>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</si>
  <si>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</si>
  <si>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</si>
  <si>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</si>
  <si>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</si>
  <si>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</si>
  <si>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</si>
  <si>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</si>
  <si>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</si>
  <si>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</si>
  <si>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</si>
  <si>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</si>
  <si>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</si>
  <si>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</si>
  <si>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</si>
  <si>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</si>
  <si>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</si>
  <si>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</si>
  <si>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</si>
  <si>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</si>
  <si>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</si>
  <si>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</si>
  <si>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</si>
  <si>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</si>
  <si>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</si>
  <si>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</si>
  <si>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</si>
  <si>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</si>
  <si>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</si>
  <si>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</si>
  <si>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</si>
  <si>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</si>
  <si>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</si>
  <si>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</si>
  <si>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</si>
  <si>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</si>
  <si>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</si>
  <si>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</si>
  <si>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</si>
  <si>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</si>
  <si>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</si>
  <si>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</si>
  <si>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</si>
  <si>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</si>
  <si>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</si>
  <si>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</si>
  <si>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</si>
  <si>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</si>
  <si>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</si>
  <si>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</si>
  <si>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</si>
  <si>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</si>
  <si>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</si>
  <si>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</si>
  <si>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</si>
  <si>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</si>
  <si>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</si>
  <si>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</si>
  <si>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</si>
  <si>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</si>
  <si>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</si>
  <si>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</si>
  <si>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</si>
  <si>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</si>
  <si>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</si>
  <si>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</si>
  <si>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</si>
  <si>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</si>
  <si>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</si>
  <si>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</si>
  <si>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</si>
  <si>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</si>
  <si>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</si>
  <si>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</si>
  <si>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</si>
  <si>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</si>
  <si>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</si>
  <si>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</si>
  <si>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</si>
  <si>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</si>
  <si>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</si>
  <si>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</si>
  <si>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</si>
  <si>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</si>
  <si>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</si>
  <si>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</si>
  <si>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</si>
  <si>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</si>
  <si>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</si>
  <si>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</si>
  <si>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</si>
  <si>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</si>
  <si>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</si>
  <si>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</si>
  <si>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独立商业</t>
  </si>
  <si>
    <t>商业</t>
    <phoneticPr fontId="7" type="noConversion"/>
  </si>
  <si>
    <t>3以上</t>
    <phoneticPr fontId="45" type="noConversion"/>
  </si>
  <si>
    <t>总面积</t>
    <phoneticPr fontId="205" type="noConversion"/>
  </si>
  <si>
    <t>起租</t>
    <phoneticPr fontId="205" type="noConversion"/>
  </si>
  <si>
    <t>租期</t>
    <phoneticPr fontId="205" type="noConversion"/>
  </si>
  <si>
    <t>年期</t>
    <phoneticPr fontId="205" type="noConversion"/>
  </si>
  <si>
    <t>租金</t>
    <phoneticPr fontId="205" type="noConversion"/>
  </si>
  <si>
    <t>总租金</t>
    <phoneticPr fontId="205" type="noConversion"/>
  </si>
  <si>
    <t>增长率</t>
    <phoneticPr fontId="205" type="noConversion"/>
  </si>
  <si>
    <t>市场租金</t>
    <phoneticPr fontId="205" type="noConversion"/>
  </si>
  <si>
    <t>收益法</t>
  </si>
  <si>
    <t>钢混</t>
  </si>
  <si>
    <t>押一</t>
  </si>
  <si>
    <t>比较法-商业</t>
  </si>
  <si>
    <t>聚信美</t>
    <phoneticPr fontId="3" type="noConversion"/>
  </si>
  <si>
    <t>融科金开中心</t>
    <phoneticPr fontId="3" type="noConversion"/>
  </si>
  <si>
    <t>刘梅</t>
  </si>
  <si>
    <t>吴薇</t>
  </si>
  <si>
    <t>华澳国际信托有限公司</t>
    <phoneticPr fontId="6" type="noConversion"/>
  </si>
  <si>
    <t>重庆固地实业有限公司</t>
    <phoneticPr fontId="6" type="noConversion"/>
  </si>
  <si>
    <t>重庆固地实业有限公司</t>
    <phoneticPr fontId="6" type="noConversion"/>
  </si>
  <si>
    <t>抵押</t>
  </si>
  <si>
    <t>房地产抵押价值</t>
  </si>
  <si>
    <t>其他：</t>
  </si>
  <si>
    <t>重庆市</t>
    <phoneticPr fontId="6" type="noConversion"/>
  </si>
  <si>
    <r>
      <t>北部新区金开大道</t>
    </r>
    <r>
      <rPr>
        <sz val="12"/>
        <color theme="9" tint="-0.249977111117893"/>
        <rFont val="Arial"/>
        <family val="2"/>
      </rPr>
      <t>1226</t>
    </r>
    <r>
      <rPr>
        <sz val="12"/>
        <color theme="9" tint="-0.249977111117893"/>
        <rFont val="楷体_GB2312"/>
        <family val="3"/>
        <charset val="134"/>
      </rPr>
      <t>号第三层</t>
    </r>
    <phoneticPr fontId="6" type="noConversion"/>
  </si>
  <si>
    <t>商业</t>
    <phoneticPr fontId="6" type="noConversion"/>
  </si>
  <si>
    <r>
      <t>商业</t>
    </r>
    <r>
      <rPr>
        <sz val="12"/>
        <color theme="9" tint="-0.249977111117893"/>
        <rFont val="Arial"/>
        <family val="2"/>
      </rPr>
      <t>26.5</t>
    </r>
    <r>
      <rPr>
        <sz val="12"/>
        <color theme="9" tint="-0.249977111117893"/>
        <rFont val="楷体_GB2312"/>
        <family val="3"/>
        <charset val="134"/>
      </rPr>
      <t>年</t>
    </r>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</si>
  <si>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</si>
  <si>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t>《不动产权证书》</t>
  </si>
  <si>
    <t>中国农业银行股份有限公司</t>
    <phoneticPr fontId="6" type="noConversion"/>
  </si>
  <si>
    <r>
      <rPr>
        <sz val="10"/>
        <color theme="9" tint="-0.249977111117893"/>
        <rFont val="Arial"/>
        <family val="2"/>
      </rPr>
      <t>20000</t>
    </r>
    <r>
      <rPr>
        <sz val="10"/>
        <color theme="9" tint="-0.249977111117893"/>
        <rFont val="楷体_GB2312"/>
        <family val="3"/>
        <charset val="134"/>
      </rPr>
      <t>万元</t>
    </r>
    <phoneticPr fontId="6" type="noConversion"/>
  </si>
  <si>
    <r>
      <t>重庆市北部新区金开大道</t>
    </r>
    <r>
      <rPr>
        <sz val="10"/>
        <color theme="9" tint="-0.249977111117893"/>
        <rFont val="Arial"/>
        <family val="2"/>
      </rPr>
      <t>1226</t>
    </r>
    <r>
      <rPr>
        <sz val="10"/>
        <color theme="9" tint="-0.249977111117893"/>
        <rFont val="楷体_GB2312"/>
        <family val="3"/>
        <charset val="134"/>
      </rPr>
      <t>号第三层</t>
    </r>
    <phoneticPr fontId="6" type="noConversion"/>
  </si>
  <si>
    <t>商业项目</t>
  </si>
  <si>
    <t>商场</t>
  </si>
  <si>
    <t>现房</t>
  </si>
  <si>
    <t>正常</t>
    <phoneticPr fontId="6" type="noConversion"/>
  </si>
  <si>
    <t>通路</t>
  </si>
  <si>
    <t>通电</t>
  </si>
  <si>
    <t>通讯</t>
  </si>
  <si>
    <t>通上水</t>
  </si>
  <si>
    <t>通下水</t>
  </si>
  <si>
    <t>商业</t>
    <phoneticPr fontId="45" type="noConversion"/>
  </si>
  <si>
    <t>20-30（含）</t>
  </si>
  <si>
    <t>商业</t>
    <phoneticPr fontId="205" type="noConversion"/>
  </si>
  <si>
    <t>30-40（含）</t>
  </si>
  <si>
    <t>案例C名称</t>
    <phoneticPr fontId="3" type="noConversion"/>
  </si>
  <si>
    <t>估价对象位于西部建材城，周边商业大多为建材商业，商业氛围成熟一般，人流量一般，商业繁华度一般。</t>
    <phoneticPr fontId="34" type="noConversion"/>
  </si>
  <si>
    <t>估价对象位于XX商圈，周边办公楼项目较多，入驻率高，办公集聚程度较好</t>
    <phoneticPr fontId="34" type="noConversion"/>
  </si>
  <si>
    <t>估价对象周边有559路、575路等多条公交线路，临近轻轨园博园站，停车便捷程度较好，综合评价交通便捷度较好。</t>
    <phoneticPr fontId="62" type="noConversion"/>
  </si>
  <si>
    <t>估价对象所在区域公共配套设施齐备情况较好。</t>
    <phoneticPr fontId="62" type="noConversion"/>
  </si>
  <si>
    <t>估价对象所在区域基础设施水平达“六通”。</t>
    <phoneticPr fontId="34" type="noConversion"/>
  </si>
  <si>
    <t>估价对象所在区域有重庆园博园，自然环境较好；所在区域有宝林博物馆、会仙阁艺术馆，人文环境较好；综合评价环境状况较好。</t>
    <phoneticPr fontId="62" type="noConversion"/>
  </si>
  <si>
    <t>城市主干道—金开大道</t>
    <phoneticPr fontId="34" type="noConversion"/>
  </si>
  <si>
    <t>所在区域商业氛围成熟度较好，人流量较大，商业繁华度较好。</t>
    <phoneticPr fontId="45" type="noConversion"/>
  </si>
  <si>
    <t>所在区域商业氛围成熟度较好，人流量较大，商业繁华度较好。</t>
    <phoneticPr fontId="45" type="noConversion"/>
  </si>
  <si>
    <t>周边有559路、575路等多条公交线路，临近轻轨鸳鸯站，停车便捷程度较好，综合评价交通便捷度较好。</t>
    <phoneticPr fontId="45" type="noConversion"/>
  </si>
  <si>
    <t>所在区域公共配套设施齐备情况较好。</t>
    <phoneticPr fontId="45" type="noConversion"/>
  </si>
  <si>
    <t>所在区域基础设施水平达“六通”。</t>
    <phoneticPr fontId="45" type="noConversion"/>
  </si>
  <si>
    <t>所在区域基础设施水平达“六通”。</t>
    <phoneticPr fontId="45" type="noConversion"/>
  </si>
  <si>
    <t>所在区域有重庆园博园，自然环境较好；所在区域有宝林博物馆、会仙阁艺术馆，人文环境较好；综合评价环境状况较好。</t>
    <phoneticPr fontId="45" type="noConversion"/>
  </si>
  <si>
    <t>所在区域有重庆园博园，自然环境较好；所在区域有宝林博物馆、会仙阁艺术馆，人文环境较好；综合评价环境状况较好。</t>
    <phoneticPr fontId="45" type="noConversion"/>
  </si>
  <si>
    <t>多面临街</t>
  </si>
  <si>
    <t>多面临街</t>
    <phoneticPr fontId="45" type="noConversion"/>
  </si>
  <si>
    <t>双面临街</t>
  </si>
  <si>
    <t>双面临街</t>
    <phoneticPr fontId="45" type="noConversion"/>
  </si>
  <si>
    <t>单面临街</t>
    <phoneticPr fontId="45" type="noConversion"/>
  </si>
  <si>
    <t>不临街</t>
    <phoneticPr fontId="45" type="noConversion"/>
  </si>
  <si>
    <t>好</t>
    <phoneticPr fontId="45" type="noConversion"/>
  </si>
  <si>
    <t>较好</t>
  </si>
  <si>
    <t>较好</t>
    <phoneticPr fontId="45" type="noConversion"/>
  </si>
  <si>
    <t>一般</t>
  </si>
  <si>
    <t>一般</t>
    <phoneticPr fontId="45" type="noConversion"/>
  </si>
  <si>
    <t>较差</t>
    <phoneticPr fontId="45" type="noConversion"/>
  </si>
  <si>
    <t>差</t>
    <phoneticPr fontId="45" type="noConversion"/>
  </si>
  <si>
    <t>钢</t>
    <phoneticPr fontId="45" type="noConversion"/>
  </si>
  <si>
    <t>钢混</t>
    <phoneticPr fontId="45" type="noConversion"/>
  </si>
  <si>
    <t>砖混</t>
    <phoneticPr fontId="45" type="noConversion"/>
  </si>
  <si>
    <t>精装修</t>
  </si>
  <si>
    <t>精装修</t>
    <phoneticPr fontId="45" type="noConversion"/>
  </si>
  <si>
    <t>普通装修</t>
    <phoneticPr fontId="45" type="noConversion"/>
  </si>
  <si>
    <t>简装修</t>
  </si>
  <si>
    <t>简装修</t>
    <phoneticPr fontId="45" type="noConversion"/>
  </si>
  <si>
    <t>毛坯</t>
  </si>
  <si>
    <t>毛坯</t>
    <phoneticPr fontId="45" type="noConversion"/>
  </si>
  <si>
    <t>七通</t>
    <phoneticPr fontId="45" type="noConversion"/>
  </si>
  <si>
    <t>六通</t>
  </si>
  <si>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</si>
  <si>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</si>
  <si>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</si>
  <si>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</si>
  <si>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</si>
  <si>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</si>
  <si>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</si>
  <si>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</si>
  <si>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超高层高</t>
    <phoneticPr fontId="45" type="noConversion"/>
  </si>
  <si>
    <t>标准层高</t>
  </si>
  <si>
    <t>标准层高</t>
    <phoneticPr fontId="45" type="noConversion"/>
  </si>
  <si>
    <r>
      <t>0</t>
    </r>
    <r>
      <rPr>
        <sz val="11"/>
        <color theme="1"/>
        <rFont val="宋体"/>
        <family val="3"/>
        <charset val="134"/>
      </rPr>
      <t>（含）</t>
    </r>
    <r>
      <rPr>
        <sz val="11"/>
        <color theme="1"/>
        <rFont val="Arial"/>
        <family val="2"/>
      </rPr>
      <t>-50</t>
    </r>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</si>
  <si>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</si>
  <si>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</si>
  <si>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</si>
  <si>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</si>
  <si>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</si>
  <si>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所在区域基础设施水平达“六通”。</t>
    <phoneticPr fontId="45" type="noConversion"/>
  </si>
  <si>
    <t>商业街商铺</t>
  </si>
  <si>
    <t>商业街商铺</t>
    <phoneticPr fontId="45" type="noConversion"/>
  </si>
  <si>
    <t>住宅底商</t>
  </si>
  <si>
    <t>住宅底商</t>
    <phoneticPr fontId="45" type="noConversion"/>
  </si>
  <si>
    <t>独立商业</t>
    <phoneticPr fontId="45" type="noConversion"/>
  </si>
  <si>
    <r>
      <t>50</t>
    </r>
    <r>
      <rPr>
        <sz val="11"/>
        <color indexed="10"/>
        <rFont val="宋体"/>
        <family val="3"/>
        <charset val="134"/>
      </rPr>
      <t>（含）</t>
    </r>
    <r>
      <rPr>
        <sz val="11"/>
        <color indexed="10"/>
        <rFont val="Arial"/>
        <family val="2"/>
      </rPr>
      <t>-100</t>
    </r>
    <phoneticPr fontId="45" type="noConversion"/>
  </si>
  <si>
    <t>租金</t>
  </si>
  <si>
    <t>写字楼配套底商</t>
  </si>
  <si>
    <t>写字楼配套底商</t>
    <phoneticPr fontId="205" type="noConversion"/>
  </si>
  <si>
    <t>鸳鸯北湖郡</t>
    <phoneticPr fontId="3" type="noConversion"/>
  </si>
  <si>
    <t>2017-1-0954-P01DYGJ2</t>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</si>
  <si>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</si>
  <si>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r>
      <rPr>
        <sz val="11"/>
        <color indexed="53"/>
        <rFont val="Arial"/>
        <family val="2"/>
      </rPr>
      <t>8.</t>
    </r>
    <r>
      <rPr>
        <sz val="11"/>
        <color indexed="53"/>
        <rFont val="楷体_GB2312"/>
        <family val="3"/>
        <charset val="134"/>
      </rPr>
      <t>其他需特殊说明事项：截至本《评估意见函》出具日，估价委托人未能提供估价对象《重庆市房地产权证》</t>
    </r>
    <r>
      <rPr>
        <sz val="11"/>
        <color indexed="53"/>
        <rFont val="Arial"/>
        <family val="2"/>
      </rPr>
      <t>[115</t>
    </r>
    <r>
      <rPr>
        <sz val="11"/>
        <color indexed="53"/>
        <rFont val="楷体_GB2312"/>
        <family val="3"/>
        <charset val="134"/>
      </rPr>
      <t>房地证</t>
    </r>
    <r>
      <rPr>
        <sz val="11"/>
        <color indexed="53"/>
        <rFont val="Arial"/>
        <family val="2"/>
      </rPr>
      <t>2013</t>
    </r>
    <r>
      <rPr>
        <sz val="11"/>
        <color indexed="53"/>
        <rFont val="楷体_GB2312"/>
        <family val="3"/>
        <charset val="134"/>
      </rPr>
      <t>字第</t>
    </r>
    <r>
      <rPr>
        <sz val="11"/>
        <color indexed="53"/>
        <rFont val="Arial"/>
        <family val="2"/>
      </rPr>
      <t>24323</t>
    </r>
    <r>
      <rPr>
        <sz val="11"/>
        <color indexed="53"/>
        <rFont val="楷体_GB2312"/>
        <family val="3"/>
        <charset val="134"/>
      </rPr>
      <t>号</t>
    </r>
    <r>
      <rPr>
        <sz val="11"/>
        <color indexed="53"/>
        <rFont val="Arial"/>
        <family val="2"/>
      </rPr>
      <t>]</t>
    </r>
    <r>
      <rPr>
        <sz val="11"/>
        <color indexed="53"/>
        <rFont val="楷体_GB2312"/>
        <family val="3"/>
        <charset val="134"/>
      </rPr>
      <t>等相关资料原件供估价人员进行核对。提请金融机构注意，发放贷款前，抵押物需按照规定进行抵押登记。并确定实际抵押物与本报告估价对象是否一致，如有改变，需进行重新评估。</t>
    </r>
    <phoneticPr fontId="122" type="noConversion"/>
  </si>
  <si>
    <t>注销后放款</t>
  </si>
  <si>
    <t>分摊土地面积</t>
  </si>
  <si>
    <t>建筑物价值</t>
  </si>
  <si>
    <t>融科海阔天空</t>
    <phoneticPr fontId="3" type="noConversion"/>
  </si>
  <si>
    <r>
      <t>250</t>
    </r>
    <r>
      <rPr>
        <sz val="11"/>
        <color indexed="10"/>
        <rFont val="宋体"/>
        <family val="3"/>
        <charset val="134"/>
      </rPr>
      <t>（含）以上</t>
    </r>
    <phoneticPr fontId="45" type="noConversion"/>
  </si>
  <si>
    <r>
      <t>100</t>
    </r>
    <r>
      <rPr>
        <sz val="11"/>
        <color indexed="10"/>
        <rFont val="宋体"/>
        <family val="3"/>
        <charset val="134"/>
      </rPr>
      <t>（含）</t>
    </r>
    <r>
      <rPr>
        <sz val="11"/>
        <color indexed="10"/>
        <rFont val="Arial"/>
        <family val="2"/>
      </rPr>
      <t>-150</t>
    </r>
    <phoneticPr fontId="45" type="noConversion"/>
  </si>
  <si>
    <r>
      <t>100</t>
    </r>
    <r>
      <rPr>
        <sz val="11"/>
        <color theme="1"/>
        <rFont val="宋体"/>
        <family val="3"/>
        <charset val="134"/>
      </rPr>
      <t>（含）</t>
    </r>
    <r>
      <rPr>
        <sz val="11"/>
        <color theme="1"/>
        <rFont val="Arial"/>
        <family val="2"/>
      </rPr>
      <t>-500</t>
    </r>
    <phoneticPr fontId="45" type="noConversion"/>
  </si>
  <si>
    <r>
      <t>500</t>
    </r>
    <r>
      <rPr>
        <sz val="11"/>
        <color theme="1"/>
        <rFont val="宋体"/>
        <family val="3"/>
        <charset val="134"/>
      </rPr>
      <t>（含）</t>
    </r>
    <r>
      <rPr>
        <sz val="11"/>
        <color theme="1"/>
        <rFont val="Arial"/>
        <family val="2"/>
      </rPr>
      <t>-1000</t>
    </r>
    <phoneticPr fontId="45" type="noConversion"/>
  </si>
  <si>
    <r>
      <t>1000</t>
    </r>
    <r>
      <rPr>
        <sz val="11"/>
        <color theme="1"/>
        <rFont val="宋体"/>
        <family val="3"/>
        <charset val="134"/>
      </rPr>
      <t>（含）</t>
    </r>
    <r>
      <rPr>
        <sz val="11"/>
        <color theme="1"/>
        <rFont val="Arial"/>
        <family val="2"/>
      </rPr>
      <t>-5000</t>
    </r>
    <phoneticPr fontId="45" type="noConversion"/>
  </si>
  <si>
    <r>
      <t>5000</t>
    </r>
    <r>
      <rPr>
        <sz val="11"/>
        <color indexed="10"/>
        <rFont val="宋体"/>
        <family val="3"/>
        <charset val="134"/>
      </rPr>
      <t>（含）</t>
    </r>
    <r>
      <rPr>
        <sz val="11"/>
        <color indexed="10"/>
        <rFont val="Arial"/>
        <family val="2"/>
      </rPr>
      <t>-10000</t>
    </r>
    <phoneticPr fontId="45" type="noConversion"/>
  </si>
  <si>
    <r>
      <t>50</t>
    </r>
    <r>
      <rPr>
        <sz val="11"/>
        <color theme="1"/>
        <rFont val="宋体"/>
        <family val="3"/>
        <charset val="134"/>
      </rPr>
      <t>（含）</t>
    </r>
    <r>
      <rPr>
        <sz val="11"/>
        <color theme="1"/>
        <rFont val="Arial"/>
        <family val="2"/>
      </rPr>
      <t>-100</t>
    </r>
    <phoneticPr fontId="45" type="noConversion"/>
  </si>
  <si>
    <r>
      <t>100</t>
    </r>
    <r>
      <rPr>
        <sz val="11"/>
        <color indexed="10"/>
        <rFont val="宋体"/>
        <family val="3"/>
        <charset val="134"/>
      </rPr>
      <t>（含）</t>
    </r>
    <r>
      <rPr>
        <sz val="11"/>
        <color indexed="10"/>
        <rFont val="Arial"/>
        <family val="2"/>
      </rPr>
      <t>-500</t>
    </r>
    <phoneticPr fontId="45" type="noConversion"/>
  </si>
  <si>
    <r>
      <t>10000</t>
    </r>
    <r>
      <rPr>
        <sz val="11"/>
        <color indexed="10"/>
        <rFont val="宋体"/>
        <family val="3"/>
        <charset val="134"/>
      </rPr>
      <t>（含）以上</t>
    </r>
    <phoneticPr fontId="45" type="noConversion"/>
  </si>
  <si>
    <r>
      <t>10000</t>
    </r>
    <r>
      <rPr>
        <sz val="11"/>
        <color indexed="10"/>
        <rFont val="宋体"/>
        <family val="3"/>
        <charset val="134"/>
      </rPr>
      <t>（含）以上</t>
    </r>
    <phoneticPr fontId="45"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</si>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</sst>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theme="9" tint="-0.249977111117893"/>
      <name val="Arial"/>
      <family val="2"/>
    </font>
    <font>
      <sz val="11"/>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30" fillId="0" borderId="0" xfId="0" applyFont="1">
      <alignment vertical="center"/>
    </xf>
    <xf numFmtId="14" fontId="0" fillId="0" borderId="0" xfId="0" applyNumberFormat="1">
      <alignment vertical="center"/>
    </xf>
    <xf numFmtId="176" fontId="0" fillId="0" borderId="0" xfId="0" applyNumberFormat="1">
      <alignment vertical="center"/>
    </xf>
    <xf numFmtId="179"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4" fontId="86" fillId="0" borderId="13" xfId="0" applyNumberFormat="1" applyFont="1" applyFill="1" applyBorder="1" applyAlignment="1" applyProtection="1">
      <alignment horizontal="left" vertical="center"/>
      <protection locked="0"/>
    </xf>
    <xf numFmtId="184" fontId="86" fillId="0" borderId="1" xfId="0" applyNumberFormat="1" applyFont="1" applyFill="1" applyBorder="1" applyAlignment="1" applyProtection="1">
      <alignment horizontal="center" vertical="center" shrinkToFit="1"/>
      <protection locked="0"/>
    </xf>
    <xf numFmtId="184" fontId="254" fillId="0" borderId="24" xfId="0" applyNumberFormat="1" applyFont="1" applyFill="1" applyBorder="1" applyAlignment="1" applyProtection="1">
      <alignment horizontal="left" vertical="center" shrinkToFit="1"/>
      <protection locked="0"/>
    </xf>
    <xf numFmtId="10" fontId="71" fillId="9" borderId="1" xfId="1" applyNumberFormat="1" applyFont="1" applyFill="1" applyBorder="1" applyAlignment="1" applyProtection="1">
      <alignment horizontal="center" vertical="center"/>
      <protection locked="0"/>
    </xf>
    <xf numFmtId="9" fontId="68" fillId="9" borderId="37"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35"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2789</v>
      </c>
      <c r="B1" s="3055" t="s">
        <v>2877</v>
      </c>
    </row>
    <row r="2" spans="1:2" s="3060" customFormat="1" ht="15" thickTop="1">
      <c r="A2" s="3058" t="s">
        <v>2790</v>
      </c>
      <c r="B2" s="3059" t="str">
        <f>'预评函-封皮'!B37:I37</f>
        <v>重庆市北部新区金开大道1226号第三层房地产抵押价值预评估</v>
      </c>
    </row>
    <row r="3" spans="1:2" s="3063" customFormat="1">
      <c r="A3" s="3061" t="s">
        <v>2791</v>
      </c>
      <c r="B3" s="3062" t="str">
        <f>'预评函-封皮'!B40</f>
        <v>重庆固地实业有限公司</v>
      </c>
    </row>
    <row r="4" spans="1:2" s="3063" customFormat="1">
      <c r="A4" s="3061" t="s">
        <v>2792</v>
      </c>
      <c r="B4" s="3062" t="str">
        <f ca="1">'预评函-封皮'!B46</f>
        <v>刘梅（注册号：1120140022)、吴薇（注册号：1419970001)</v>
      </c>
    </row>
    <row r="5" spans="1:2" s="3057" customFormat="1" ht="15" thickBot="1">
      <c r="A5" s="3064" t="s">
        <v>2793</v>
      </c>
      <c r="B5" s="3065" t="str">
        <f>'预评函-封皮'!B49</f>
        <v>康正预评字2017-1-0954-P01DYGJ2号</v>
      </c>
    </row>
    <row r="6" spans="1:2" s="3060" customFormat="1" ht="15" thickTop="1">
      <c r="A6" s="3058" t="s">
        <v>2794</v>
      </c>
      <c r="B6" s="3059" t="str">
        <f>'预评函-1'!A4</f>
        <v>受贵公司委托，我公司对重庆市北部新区金开大道1226号第三层房地产抵押价值进行了预评估。</v>
      </c>
    </row>
    <row r="7" spans="1:2" s="3063" customFormat="1">
      <c r="A7" s="3061" t="s">
        <v>2834</v>
      </c>
      <c r="B7" s="3062" t="str">
        <f>'预评函-1'!A7</f>
        <v>估价对象为重庆市北部新区金开大道1226号第三层房地产，为所有。根据《重庆市房地产权证》[115房地证2013字第24323号]，估价对象（分摊）出让国有建设用地使用权面积为7774.02平方米，建筑面积为37870.64平方米。</v>
      </c>
    </row>
    <row r="8" spans="1:2" s="3063" customFormat="1">
      <c r="A8" s="3061" t="s">
        <v>2835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2836</v>
      </c>
      <c r="B9" s="3062" t="str">
        <f>'预评函-1'!A10</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0" spans="1:2" s="3063" customFormat="1">
      <c r="A10" s="3061" t="s">
        <v>2837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2795</v>
      </c>
      <c r="B11" s="3062" t="str">
        <f>'预评函-1'!A13</f>
        <v>为估价委托人在向华澳国际信托有限公司办理贷款手续过程中，确定房地产抵押贷款额度提供参考依据而评估房地产抵押价值。</v>
      </c>
    </row>
    <row r="12" spans="1:2" s="3063" customFormat="1">
      <c r="A12" s="3061" t="s">
        <v>2796</v>
      </c>
      <c r="B12" s="3062" t="str">
        <f>'预评函-1'!A15</f>
        <v>2017年10月18日（评估专业人员实地查勘之日）</v>
      </c>
    </row>
    <row r="13" spans="1:2" s="3063" customFormat="1">
      <c r="A13" s="3061" t="s">
        <v>2797</v>
      </c>
      <c r="B13" s="3062" t="str">
        <f>'预评函-1'!A18</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4" spans="1:2" s="3063" customFormat="1">
      <c r="A14" s="3061" t="s">
        <v>2798</v>
      </c>
      <c r="B14" s="3062" t="str">
        <f>'预评函-1'!A19</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2799</v>
      </c>
      <c r="B15" s="3062" t="str">
        <f>'预评函-1'!A20</f>
        <v>本次估价的“房地产抵押价值”是指估价对象在价值时点的“房地产价值”扣减估价师于价值时点所知悉的法定优先受偿款后的余额。</v>
      </c>
    </row>
    <row r="16" spans="1:2" s="3063" customFormat="1">
      <c r="A16" s="3061" t="s">
        <v>2800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2801</v>
      </c>
      <c r="B17" s="3062" t="str">
        <f>'预评函-1'!A22</f>
        <v/>
      </c>
    </row>
    <row r="18" spans="1:2" s="3057" customFormat="1" ht="15" thickBot="1">
      <c r="A18" s="3064" t="s">
        <v>2802</v>
      </c>
      <c r="B18" s="3065" t="str">
        <f>'预评函-1'!A24</f>
        <v>本次评估采用的主估价方法为比较法和收益法。</v>
      </c>
    </row>
    <row r="19" spans="1:2" s="3060" customFormat="1" ht="15" thickTop="1">
      <c r="A19" s="3058" t="s">
        <v>2803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2804</v>
      </c>
      <c r="B20" s="3062">
        <f ca="1">'预评函-2'!D5</f>
        <v>56443</v>
      </c>
    </row>
    <row r="21" spans="1:2" s="3063" customFormat="1">
      <c r="A21" s="3061" t="s">
        <v>2805</v>
      </c>
      <c r="B21" s="3062">
        <f ca="1">'预评函-2'!D7</f>
        <v>14904</v>
      </c>
    </row>
    <row r="22" spans="1:2" s="3063" customFormat="1">
      <c r="A22" s="3061" t="s">
        <v>2806</v>
      </c>
      <c r="B22" s="3062" t="str">
        <f ca="1">'预评函-2'!D6</f>
        <v>伍亿陆仟肆佰肆拾叁万元整</v>
      </c>
    </row>
    <row r="23" spans="1:2" s="3063" customFormat="1">
      <c r="A23" s="3061" t="s">
        <v>2865</v>
      </c>
      <c r="B23" s="3062" t="str">
        <f>'预评函-2'!B8</f>
        <v>2.估价师知悉的法定优先受偿款</v>
      </c>
    </row>
    <row r="24" spans="1:2" s="3063" customFormat="1">
      <c r="A24" s="3061" t="s">
        <v>2871</v>
      </c>
      <c r="B24" s="3062">
        <f>'预评函-2'!D8</f>
        <v>0</v>
      </c>
    </row>
    <row r="25" spans="1:2" s="3063" customFormat="1">
      <c r="A25" s="3061" t="s">
        <v>2807</v>
      </c>
      <c r="B25" s="3062" t="str">
        <f>'预评函-2'!D9</f>
        <v>零元整</v>
      </c>
    </row>
    <row r="26" spans="1:2" s="3063" customFormat="1">
      <c r="A26" s="3061" t="s">
        <v>2808</v>
      </c>
      <c r="B26" s="3062">
        <f>'预评函-2'!D10</f>
        <v>20000</v>
      </c>
    </row>
    <row r="27" spans="1:2" s="3063" customFormat="1">
      <c r="A27" s="3061" t="s">
        <v>2809</v>
      </c>
      <c r="B27" s="3062">
        <f>'预评函-2'!D11</f>
        <v>0</v>
      </c>
    </row>
    <row r="28" spans="1:2" s="3063" customFormat="1">
      <c r="A28" s="3061" t="s">
        <v>2810</v>
      </c>
      <c r="B28" s="3062">
        <f>'预评函-2'!D12</f>
        <v>0</v>
      </c>
    </row>
    <row r="29" spans="1:2" s="3063" customFormat="1">
      <c r="A29" s="3061" t="s">
        <v>2869</v>
      </c>
      <c r="B29" s="3062" t="str">
        <f>'预评函-2'!B13</f>
        <v>3.房地产抵押价值</v>
      </c>
    </row>
    <row r="30" spans="1:2" s="3063" customFormat="1">
      <c r="A30" s="3061" t="s">
        <v>2870</v>
      </c>
      <c r="B30" s="3062">
        <f ca="1">'预评函-2'!D13</f>
        <v>56443</v>
      </c>
    </row>
    <row r="31" spans="1:2" s="3063" customFormat="1">
      <c r="A31" s="3061" t="s">
        <v>2845</v>
      </c>
      <c r="B31" s="3062">
        <f ca="1">'预评函-2'!D15</f>
        <v>14904</v>
      </c>
    </row>
    <row r="32" spans="1:2" s="3063" customFormat="1">
      <c r="A32" s="3061" t="s">
        <v>2811</v>
      </c>
      <c r="B32" s="3062" t="str">
        <f ca="1">'预评函-2'!D14</f>
        <v>伍亿陆仟肆佰肆拾叁万元整</v>
      </c>
    </row>
    <row r="33" spans="1:2" s="3063" customFormat="1">
      <c r="A33" s="3061" t="s">
        <v>2847</v>
      </c>
      <c r="B33" s="3062" t="str">
        <f>'预评函-2'!B16</f>
        <v>——</v>
      </c>
    </row>
    <row r="34" spans="1:2" s="3063" customFormat="1">
      <c r="A34" s="3061" t="s">
        <v>2872</v>
      </c>
      <c r="B34" s="3062" t="str">
        <f>'预评函-2'!D16</f>
        <v>——</v>
      </c>
    </row>
    <row r="35" spans="1:2" s="3063" customFormat="1">
      <c r="A35" s="3061" t="s">
        <v>2846</v>
      </c>
      <c r="B35" s="3062" t="str">
        <f>'预评函-2'!D18</f>
        <v>——</v>
      </c>
    </row>
    <row r="36" spans="1:2" s="3063" customFormat="1">
      <c r="A36" s="3061" t="s">
        <v>2812</v>
      </c>
      <c r="B36" s="3062" t="e">
        <f>'预评函-2'!D17</f>
        <v>#VALUE!</v>
      </c>
    </row>
    <row r="37" spans="1:2" s="3063" customFormat="1">
      <c r="A37" s="3061" t="s">
        <v>2848</v>
      </c>
      <c r="B37" s="3062" t="str">
        <f>'预评函-2'!B19</f>
        <v>——</v>
      </c>
    </row>
    <row r="38" spans="1:2" s="3063" customFormat="1">
      <c r="A38" s="3061" t="s">
        <v>2873</v>
      </c>
      <c r="B38" s="3062" t="str">
        <f>'预评函-2'!D19</f>
        <v>——</v>
      </c>
    </row>
    <row r="39" spans="1:2" s="3063" customFormat="1">
      <c r="A39" s="3061" t="s">
        <v>2813</v>
      </c>
      <c r="B39" s="3062" t="str">
        <f>'预评函-2'!D21</f>
        <v>——</v>
      </c>
    </row>
    <row r="40" spans="1:2" s="3063" customFormat="1">
      <c r="A40" s="3061" t="s">
        <v>2814</v>
      </c>
      <c r="B40" s="3062" t="e">
        <f>'预评函-2'!D20</f>
        <v>#VALUE!</v>
      </c>
    </row>
    <row r="41" spans="1:2" s="3063" customFormat="1">
      <c r="A41" s="3061" t="s">
        <v>2868</v>
      </c>
      <c r="B41" s="3062" t="str">
        <f>'预评函-3'!A4</f>
        <v>重庆市北部新区金开大道1226号第三层房地产</v>
      </c>
    </row>
    <row r="42" spans="1:2" s="3063" customFormat="1">
      <c r="A42" s="3061" t="s">
        <v>2866</v>
      </c>
      <c r="B42" s="3062" t="str">
        <f>'预评函-3'!B2</f>
        <v>建筑面积</v>
      </c>
    </row>
    <row r="43" spans="1:2" s="3063" customFormat="1">
      <c r="A43" s="3061" t="s">
        <v>2867</v>
      </c>
      <c r="B43" s="3062">
        <f>'预评函-3'!B4</f>
        <v>37870.639999999999</v>
      </c>
    </row>
    <row r="44" spans="1:2" s="3063" customFormat="1">
      <c r="A44" s="3061" t="s">
        <v>2844</v>
      </c>
      <c r="B44" s="3062" t="str">
        <f>'预评函-3'!C2</f>
        <v>(分摊)土地面积</v>
      </c>
    </row>
    <row r="45" spans="1:2" s="3063" customFormat="1">
      <c r="A45" s="3061" t="s">
        <v>2815</v>
      </c>
      <c r="B45" s="3062">
        <f>'预评函-3'!C4</f>
        <v>7774.02</v>
      </c>
    </row>
    <row r="46" spans="1:2" s="3063" customFormat="1">
      <c r="A46" s="3061" t="s">
        <v>2842</v>
      </c>
      <c r="B46" s="3062" t="str">
        <f>'预评函-3'!D2</f>
        <v>出让国有建设用地使用权价值</v>
      </c>
    </row>
    <row r="47" spans="1:2" s="3063" customFormat="1">
      <c r="A47" s="3061" t="s">
        <v>2816</v>
      </c>
      <c r="B47" s="3062">
        <f ca="1">'预评函-3'!D4</f>
        <v>32906</v>
      </c>
    </row>
    <row r="48" spans="1:2" s="3063" customFormat="1">
      <c r="A48" s="3061" t="s">
        <v>2817</v>
      </c>
      <c r="B48" s="3062">
        <f ca="1">'预评函-3'!E4</f>
        <v>8689</v>
      </c>
    </row>
    <row r="49" spans="1:2" s="3063" customFormat="1">
      <c r="A49" s="3061" t="s">
        <v>2818</v>
      </c>
      <c r="B49" s="3062" t="str">
        <f ca="1">'预评函-3'!D5</f>
        <v>叁亿贰仟玖佰零陆万元整</v>
      </c>
    </row>
    <row r="50" spans="1:2" s="3063" customFormat="1">
      <c r="A50" s="3061" t="s">
        <v>2843</v>
      </c>
      <c r="B50" s="3062" t="str">
        <f>'预评函-3'!F2</f>
        <v>建筑物价值</v>
      </c>
    </row>
    <row r="51" spans="1:2" s="3063" customFormat="1">
      <c r="A51" s="3061" t="s">
        <v>2819</v>
      </c>
      <c r="B51" s="3062">
        <f ca="1">'预评函-3'!F4</f>
        <v>23537</v>
      </c>
    </row>
    <row r="52" spans="1:2" s="3063" customFormat="1">
      <c r="A52" s="3061" t="s">
        <v>2820</v>
      </c>
      <c r="B52" s="3062">
        <f ca="1">'预评函-3'!G4</f>
        <v>6215</v>
      </c>
    </row>
    <row r="53" spans="1:2" s="3063" customFormat="1">
      <c r="A53" s="3061" t="s">
        <v>2849</v>
      </c>
      <c r="B53" s="3062" t="str">
        <f ca="1">'预评函-3'!F5</f>
        <v>贰亿叁仟伍佰叁拾柒万元整</v>
      </c>
    </row>
    <row r="54" spans="1:2" s="3063" customFormat="1">
      <c r="A54" s="3061" t="s">
        <v>2875</v>
      </c>
      <c r="B54" s="3062" t="str">
        <f>'预评函-3'!A8</f>
        <v>房地产抵押价值</v>
      </c>
    </row>
    <row r="55" spans="1:2" s="3063" customFormat="1">
      <c r="A55" s="3061" t="s">
        <v>2850</v>
      </c>
      <c r="B55" s="3062" t="str">
        <f>'预评函-3'!A10</f>
        <v/>
      </c>
    </row>
    <row r="56" spans="1:2" s="3063" customFormat="1">
      <c r="A56" s="3061" t="s">
        <v>2851</v>
      </c>
      <c r="B56" s="3062" t="str">
        <f>'预评函-3'!A12</f>
        <v/>
      </c>
    </row>
    <row r="57" spans="1:2" s="3057" customFormat="1" ht="15" thickBot="1">
      <c r="A57" s="3064" t="s">
        <v>2876</v>
      </c>
      <c r="B57" s="3065" t="str">
        <f>'预评函-3'!A6</f>
        <v>估价师知悉的法定优先受偿款</v>
      </c>
    </row>
    <row r="58" spans="1:2" s="3060" customFormat="1" ht="15" thickTop="1">
      <c r="A58" s="3058" t="s">
        <v>2821</v>
      </c>
      <c r="B58" s="3059" t="str">
        <f>'预评函-4'!A12</f>
        <v>2.本《评估意见函》仅供金融机构进行内部审核使用，不做其他目的之用。</v>
      </c>
    </row>
    <row r="59" spans="1:2" s="3063" customFormat="1">
      <c r="A59" s="3061" t="s">
        <v>2822</v>
      </c>
      <c r="B59" s="3062" t="str">
        <f>'预评函-4'!A13</f>
        <v>3.抵押双方在办理抵押登记手续时，应使用本公司出具的正式《房地产评估报告》，特提醒报告使用者注意。</v>
      </c>
    </row>
    <row r="60" spans="1:2" s="3063" customFormat="1">
      <c r="A60" s="3061" t="s">
        <v>2823</v>
      </c>
      <c r="B60" s="3062" t="str">
        <f>'预评函-4'!A14</f>
        <v>4.本次评估估价师所知悉的法定优先受偿款情况说明如下：</v>
      </c>
    </row>
    <row r="61" spans="1:2" s="3063" customFormat="1">
      <c r="A61" s="3061" t="s">
        <v>2824</v>
      </c>
      <c r="B61" s="3062" t="str">
        <f>'预评函-4'!A15</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063" customFormat="1">
      <c r="A62" s="3061" t="s">
        <v>2825</v>
      </c>
      <c r="B62" s="3062" t="str">
        <f>'预评函-4'!A16</f>
        <v>（2）根据《工程款支付情况说明》，截至价值时点，估价对象不存在应付未付工程款项。（只要没有施工方盖章的，均“设定”进行表述）</v>
      </c>
    </row>
    <row r="63" spans="1:2" s="3063" customFormat="1">
      <c r="A63" s="3061" t="s">
        <v>2826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2838</v>
      </c>
      <c r="B64" s="3062" t="str">
        <f>'预评函-4'!A18</f>
        <v>故，本次评估不存在估价师知悉的法定优先受偿款</v>
      </c>
    </row>
    <row r="65" spans="1:2" s="3063" customFormat="1">
      <c r="A65" s="3061" t="s">
        <v>2827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2828</v>
      </c>
      <c r="B66" s="3062" t="str">
        <f>'预评函-4'!A20</f>
        <v>——</v>
      </c>
    </row>
    <row r="67" spans="1:2" s="3063" customFormat="1">
      <c r="A67" s="3061" t="s">
        <v>2839</v>
      </c>
      <c r="B67" s="3062" t="str">
        <f>'预评函-4'!A21</f>
        <v>——</v>
      </c>
    </row>
    <row r="68" spans="1:2" s="3063" customFormat="1">
      <c r="A68" s="3061" t="s">
        <v>2840</v>
      </c>
      <c r="B68" s="3062" t="str">
        <f>'预评函-4'!A22</f>
        <v>8.其他需特殊说明事项：截至本《评估意见函》出具日，估价委托人未能提供估价对象《重庆市房地产权证》[115房地证2013字第24323号]等相关资料原件供估价人员进行核对。提请金融机构注意，发放贷款前，抵押物需按照规定进行抵押登记。并确定实际抵押物与本报告估价对象是否一致，如有改变，需进行重新评估。</v>
      </c>
    </row>
    <row r="69" spans="1:2" s="3057" customFormat="1" ht="15" thickBot="1">
      <c r="A69" s="3064" t="s">
        <v>2829</v>
      </c>
      <c r="B69" s="3066">
        <f>'预评函-4'!C31</f>
        <v>42551</v>
      </c>
    </row>
    <row r="70" spans="1:2" ht="15" thickTop="1">
      <c r="A70" s="3067" t="s">
        <v>2830</v>
      </c>
      <c r="B70" s="3068" t="str">
        <f>'预评函-4'!A4</f>
        <v>刘梅</v>
      </c>
    </row>
    <row r="71" spans="1:2">
      <c r="A71" s="3061" t="s">
        <v>2831</v>
      </c>
      <c r="B71" s="3062">
        <f ca="1">'预评函-4'!B4</f>
        <v>1120140022</v>
      </c>
    </row>
    <row r="72" spans="1:2">
      <c r="A72" s="3061" t="s">
        <v>2832</v>
      </c>
      <c r="B72" s="3070" t="str">
        <f>'预评函-4'!A5</f>
        <v>吴薇</v>
      </c>
    </row>
    <row r="73" spans="1:2" s="3057" customFormat="1" ht="15" thickBot="1">
      <c r="A73" s="3064" t="s">
        <v>2833</v>
      </c>
      <c r="B73" s="3065">
        <f ca="1">'预评函-4'!B5</f>
        <v>1419970001</v>
      </c>
    </row>
    <row r="74" spans="1:2" ht="15" thickTop="1">
      <c r="A74" s="3054" t="s">
        <v>2893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69"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2634</v>
      </c>
      <c r="R1" s="1487" t="s">
        <v>2624</v>
      </c>
      <c r="S1" s="290" t="s">
        <v>267</v>
      </c>
      <c r="T1" s="291" t="s">
        <v>268</v>
      </c>
      <c r="U1" s="290" t="s">
        <v>269</v>
      </c>
      <c r="V1" s="290" t="s">
        <v>270</v>
      </c>
      <c r="W1" s="1487" t="s">
        <v>1848</v>
      </c>
    </row>
    <row r="2" spans="1:23">
      <c r="A2" s="2798" t="s">
        <v>111</v>
      </c>
      <c r="B2" s="2798" t="s">
        <v>577</v>
      </c>
      <c r="C2" s="1770"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2628</v>
      </c>
      <c r="S2" s="292" t="s">
        <v>229</v>
      </c>
      <c r="T2" s="292" t="s">
        <v>230</v>
      </c>
      <c r="U2" s="292" t="s">
        <v>229</v>
      </c>
      <c r="V2" s="292" t="s">
        <v>231</v>
      </c>
      <c r="W2" s="292" t="s">
        <v>229</v>
      </c>
    </row>
    <row r="3" spans="1:23">
      <c r="A3" s="2798" t="s">
        <v>576</v>
      </c>
      <c r="B3" s="2799" t="s">
        <v>2670</v>
      </c>
      <c r="C3" s="1771"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2626</v>
      </c>
      <c r="S3" s="292" t="s">
        <v>237</v>
      </c>
      <c r="T3" s="292" t="s">
        <v>238</v>
      </c>
      <c r="U3" s="292" t="s">
        <v>237</v>
      </c>
      <c r="V3" s="292" t="s">
        <v>239</v>
      </c>
      <c r="W3" s="292" t="s">
        <v>237</v>
      </c>
    </row>
    <row r="4" spans="1:23">
      <c r="A4" s="2798" t="s">
        <v>578</v>
      </c>
      <c r="B4" s="2798" t="s">
        <v>579</v>
      </c>
      <c r="C4" s="1770" t="s">
        <v>1876</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2629</v>
      </c>
      <c r="S4" s="292" t="s">
        <v>240</v>
      </c>
      <c r="T4" s="292" t="s">
        <v>241</v>
      </c>
      <c r="U4" s="292" t="s">
        <v>240</v>
      </c>
      <c r="W4" s="292" t="s">
        <v>240</v>
      </c>
    </row>
    <row r="5" spans="1:23">
      <c r="A5" s="2798" t="s">
        <v>580</v>
      </c>
      <c r="B5" s="2798" t="s">
        <v>581</v>
      </c>
      <c r="C5" s="1770" t="s">
        <v>1877</v>
      </c>
      <c r="F5" s="292" t="s">
        <v>242</v>
      </c>
      <c r="H5" s="292" t="s">
        <v>243</v>
      </c>
      <c r="I5" s="292" t="s">
        <v>244</v>
      </c>
      <c r="K5" s="292" t="s">
        <v>245</v>
      </c>
      <c r="L5" s="292" t="s">
        <v>245</v>
      </c>
      <c r="M5" s="292" t="s">
        <v>245</v>
      </c>
      <c r="N5" s="292" t="s">
        <v>245</v>
      </c>
      <c r="O5" s="292" t="s">
        <v>245</v>
      </c>
      <c r="P5" s="292" t="s">
        <v>245</v>
      </c>
      <c r="Q5" s="292" t="s">
        <v>245</v>
      </c>
      <c r="R5" s="2764" t="s">
        <v>2630</v>
      </c>
      <c r="S5" s="292" t="s">
        <v>245</v>
      </c>
      <c r="T5" s="292" t="s">
        <v>246</v>
      </c>
      <c r="U5" s="292" t="s">
        <v>245</v>
      </c>
      <c r="W5" s="292" t="s">
        <v>245</v>
      </c>
    </row>
    <row r="6" spans="1:23">
      <c r="A6" s="2798" t="s">
        <v>582</v>
      </c>
      <c r="B6" s="2799" t="s">
        <v>2671</v>
      </c>
      <c r="C6" s="1772" t="s">
        <v>160</v>
      </c>
      <c r="F6" s="292" t="s">
        <v>247</v>
      </c>
      <c r="H6" s="292" t="s">
        <v>248</v>
      </c>
      <c r="I6" s="292" t="s">
        <v>249</v>
      </c>
      <c r="K6" s="292" t="s">
        <v>250</v>
      </c>
      <c r="L6" s="292" t="s">
        <v>250</v>
      </c>
      <c r="M6" s="292" t="s">
        <v>250</v>
      </c>
      <c r="N6" s="292" t="s">
        <v>250</v>
      </c>
      <c r="O6" s="292" t="s">
        <v>250</v>
      </c>
      <c r="P6" s="292" t="s">
        <v>250</v>
      </c>
      <c r="Q6" s="292" t="s">
        <v>250</v>
      </c>
      <c r="R6" s="2764" t="s">
        <v>2631</v>
      </c>
      <c r="S6" s="292" t="s">
        <v>250</v>
      </c>
      <c r="T6" s="292"/>
      <c r="U6" s="292" t="s">
        <v>250</v>
      </c>
      <c r="W6" s="292" t="s">
        <v>250</v>
      </c>
    </row>
    <row r="7" spans="1:23">
      <c r="A7" s="2798" t="s">
        <v>584</v>
      </c>
      <c r="B7" s="2799" t="s">
        <v>2672</v>
      </c>
      <c r="C7" s="1770" t="s">
        <v>161</v>
      </c>
      <c r="F7" s="292" t="s">
        <v>251</v>
      </c>
      <c r="H7" s="292" t="s">
        <v>252</v>
      </c>
      <c r="I7" s="292" t="s">
        <v>253</v>
      </c>
    </row>
    <row r="8" spans="1:23">
      <c r="A8" s="2798" t="s">
        <v>586</v>
      </c>
      <c r="B8" s="2798" t="s">
        <v>583</v>
      </c>
      <c r="C8" s="1770" t="s">
        <v>1878</v>
      </c>
      <c r="F8" s="292" t="s">
        <v>280</v>
      </c>
      <c r="H8" s="292"/>
      <c r="I8" s="292" t="s">
        <v>281</v>
      </c>
    </row>
    <row r="9" spans="1:23">
      <c r="A9" s="2798" t="s">
        <v>588</v>
      </c>
      <c r="B9" s="2798" t="s">
        <v>585</v>
      </c>
      <c r="C9" s="1770" t="s">
        <v>1879</v>
      </c>
      <c r="F9" s="292" t="s">
        <v>282</v>
      </c>
      <c r="H9" s="292"/>
    </row>
    <row r="10" spans="1:23">
      <c r="A10" s="2798" t="s">
        <v>590</v>
      </c>
      <c r="B10" s="2798" t="s">
        <v>587</v>
      </c>
      <c r="C10" s="1770" t="s">
        <v>1880</v>
      </c>
      <c r="F10" s="292" t="s">
        <v>51</v>
      </c>
    </row>
    <row r="11" spans="1:23">
      <c r="A11" s="2798" t="s">
        <v>592</v>
      </c>
      <c r="B11" s="2798" t="s">
        <v>589</v>
      </c>
      <c r="C11" s="1770" t="s">
        <v>1881</v>
      </c>
    </row>
    <row r="12" spans="1:23">
      <c r="A12" s="2798" t="s">
        <v>594</v>
      </c>
      <c r="B12" s="2798" t="s">
        <v>591</v>
      </c>
      <c r="C12" s="1770" t="s">
        <v>1882</v>
      </c>
    </row>
    <row r="13" spans="1:23">
      <c r="A13" s="2798" t="s">
        <v>596</v>
      </c>
      <c r="B13" s="2798" t="s">
        <v>593</v>
      </c>
      <c r="C13" s="1770" t="s">
        <v>1883</v>
      </c>
    </row>
    <row r="14" spans="1:23">
      <c r="A14" s="2798" t="s">
        <v>598</v>
      </c>
      <c r="B14" s="2798" t="s">
        <v>595</v>
      </c>
      <c r="C14" s="292" t="s">
        <v>51</v>
      </c>
    </row>
    <row r="15" spans="1:23">
      <c r="A15" s="2798" t="s">
        <v>599</v>
      </c>
      <c r="B15" s="2798" t="s">
        <v>597</v>
      </c>
      <c r="C15" s="1773"/>
    </row>
    <row r="16" spans="1:23">
      <c r="A16" s="2798" t="s">
        <v>600</v>
      </c>
      <c r="B16" s="2798" t="s">
        <v>1864</v>
      </c>
      <c r="C16" s="1773"/>
    </row>
    <row r="17" spans="1:3">
      <c r="A17" s="2798" t="s">
        <v>601</v>
      </c>
      <c r="B17" s="2798" t="s">
        <v>1865</v>
      </c>
      <c r="C17" s="1773"/>
    </row>
    <row r="18" spans="1:3">
      <c r="A18" s="2798" t="s">
        <v>602</v>
      </c>
      <c r="B18" s="2798" t="s">
        <v>1865</v>
      </c>
      <c r="C18" s="1773"/>
    </row>
    <row r="19" spans="1:3">
      <c r="A19" s="2798" t="s">
        <v>603</v>
      </c>
      <c r="B19" s="2798" t="s">
        <v>1865</v>
      </c>
      <c r="C19" s="1773"/>
    </row>
    <row r="20" spans="1:3">
      <c r="A20" s="2798" t="s">
        <v>604</v>
      </c>
      <c r="B20" s="2798" t="s">
        <v>1865</v>
      </c>
      <c r="C20" s="1773"/>
    </row>
    <row r="21" spans="1:3">
      <c r="A21" s="2798" t="s">
        <v>605</v>
      </c>
      <c r="B21" s="2798" t="s">
        <v>1865</v>
      </c>
      <c r="C21" s="1773"/>
    </row>
    <row r="22" spans="1:3">
      <c r="A22" s="2798" t="s">
        <v>606</v>
      </c>
      <c r="B22" s="2798" t="s">
        <v>1865</v>
      </c>
      <c r="C22" s="1773"/>
    </row>
    <row r="23" spans="1:3">
      <c r="A23" s="2798" t="s">
        <v>607</v>
      </c>
      <c r="B23" s="2798" t="s">
        <v>1865</v>
      </c>
      <c r="C23" s="1773"/>
    </row>
    <row r="24" spans="1:3">
      <c r="A24" s="2798" t="s">
        <v>608</v>
      </c>
      <c r="B24" s="2798" t="s">
        <v>1865</v>
      </c>
      <c r="C24" s="1773"/>
    </row>
    <row r="25" spans="1:3">
      <c r="A25" s="2798" t="s">
        <v>609</v>
      </c>
      <c r="B25" s="2798" t="s">
        <v>1865</v>
      </c>
      <c r="C25" s="1773"/>
    </row>
    <row r="26" spans="1:3">
      <c r="A26" s="2798" t="s">
        <v>610</v>
      </c>
      <c r="B26" s="2798" t="s">
        <v>1865</v>
      </c>
      <c r="C26" s="1773"/>
    </row>
    <row r="27" spans="1:3">
      <c r="A27" s="2798" t="s">
        <v>1865</v>
      </c>
      <c r="B27" s="2798" t="s">
        <v>1865</v>
      </c>
      <c r="C27" s="1773"/>
    </row>
    <row r="28" spans="1:3">
      <c r="A28" s="2798" t="s">
        <v>1865</v>
      </c>
      <c r="B28" s="2798" t="s">
        <v>1865</v>
      </c>
      <c r="C28" s="1773"/>
    </row>
    <row r="29" spans="1:3">
      <c r="A29" s="2798" t="s">
        <v>1865</v>
      </c>
      <c r="B29" s="2798" t="s">
        <v>1865</v>
      </c>
      <c r="C29" s="1773"/>
    </row>
    <row r="30" spans="1:3">
      <c r="A30" s="2798" t="s">
        <v>1865</v>
      </c>
      <c r="B30" s="2798" t="s">
        <v>1865</v>
      </c>
      <c r="C30" s="1773"/>
    </row>
    <row r="31" spans="1:3">
      <c r="A31" s="2798" t="s">
        <v>1865</v>
      </c>
      <c r="B31" s="2798" t="s">
        <v>1865</v>
      </c>
      <c r="C31" s="1773"/>
    </row>
    <row r="32" spans="1:3">
      <c r="A32" s="2798" t="s">
        <v>1865</v>
      </c>
      <c r="B32" s="2798" t="s">
        <v>1865</v>
      </c>
      <c r="C32" s="1773"/>
    </row>
    <row r="33" spans="1:3">
      <c r="A33" s="2798" t="s">
        <v>1865</v>
      </c>
      <c r="B33" s="2798" t="s">
        <v>1865</v>
      </c>
      <c r="C33" s="1773"/>
    </row>
    <row r="34" spans="1:3">
      <c r="A34" s="2798" t="s">
        <v>1865</v>
      </c>
      <c r="B34" s="2798" t="s">
        <v>1865</v>
      </c>
      <c r="C34" s="1773"/>
    </row>
    <row r="35" spans="1:3">
      <c r="A35" s="2798" t="s">
        <v>1865</v>
      </c>
      <c r="B35" s="2798" t="s">
        <v>1865</v>
      </c>
      <c r="C35" s="1773"/>
    </row>
    <row r="36" spans="1:3">
      <c r="A36" s="2798" t="s">
        <v>1865</v>
      </c>
      <c r="B36" s="2798" t="s">
        <v>1865</v>
      </c>
      <c r="C36" s="1773"/>
    </row>
    <row r="37" spans="1:3">
      <c r="A37" s="2798" t="s">
        <v>1865</v>
      </c>
      <c r="B37" s="2798" t="s">
        <v>1865</v>
      </c>
      <c r="C37" s="1773"/>
    </row>
    <row r="38" spans="1:3">
      <c r="A38" s="2798" t="s">
        <v>1865</v>
      </c>
      <c r="B38" s="2798" t="s">
        <v>1865</v>
      </c>
      <c r="C38" s="1773"/>
    </row>
    <row r="39" spans="1:3">
      <c r="A39" s="2798" t="s">
        <v>1865</v>
      </c>
      <c r="B39" s="2798" t="s">
        <v>1865</v>
      </c>
      <c r="C39" s="1773"/>
    </row>
    <row r="40" spans="1:3">
      <c r="A40" s="2798" t="s">
        <v>1865</v>
      </c>
      <c r="B40" s="2798" t="s">
        <v>1865</v>
      </c>
      <c r="C40" s="1773"/>
    </row>
    <row r="41" spans="1:3">
      <c r="A41" s="2798" t="s">
        <v>1865</v>
      </c>
      <c r="B41" s="2798" t="s">
        <v>1865</v>
      </c>
      <c r="C41" s="1773"/>
    </row>
    <row r="42" spans="1:3">
      <c r="A42" s="2798" t="s">
        <v>1865</v>
      </c>
      <c r="B42" s="2798" t="s">
        <v>1865</v>
      </c>
      <c r="C42" s="1773"/>
    </row>
    <row r="43" spans="1:3">
      <c r="A43" s="2798" t="s">
        <v>1865</v>
      </c>
      <c r="B43" s="2798" t="s">
        <v>1865</v>
      </c>
      <c r="C43" s="1773"/>
    </row>
    <row r="44" spans="1:3">
      <c r="A44" s="2798" t="s">
        <v>1865</v>
      </c>
      <c r="B44" s="2798" t="s">
        <v>1865</v>
      </c>
      <c r="C44" s="1773"/>
    </row>
    <row r="45" spans="1:3">
      <c r="A45" s="2798" t="s">
        <v>1865</v>
      </c>
      <c r="B45" s="2798" t="s">
        <v>1865</v>
      </c>
      <c r="C45" s="1773"/>
    </row>
    <row r="46" spans="1:3">
      <c r="A46" s="2798" t="s">
        <v>1865</v>
      </c>
      <c r="B46" s="2798" t="s">
        <v>1865</v>
      </c>
      <c r="C46" s="1773"/>
    </row>
    <row r="47" spans="1:3">
      <c r="A47" s="2798" t="s">
        <v>1865</v>
      </c>
      <c r="B47" s="2798" t="s">
        <v>1865</v>
      </c>
      <c r="C47" s="1773"/>
    </row>
    <row r="48" spans="1:3">
      <c r="A48" s="2798" t="s">
        <v>1865</v>
      </c>
      <c r="B48" s="2798" t="s">
        <v>1865</v>
      </c>
      <c r="C48" s="1773"/>
    </row>
    <row r="49" spans="1:4">
      <c r="A49" s="2798" t="s">
        <v>1865</v>
      </c>
      <c r="B49" s="2798" t="s">
        <v>1865</v>
      </c>
      <c r="C49" s="1773"/>
    </row>
    <row r="50" spans="1:4">
      <c r="A50" s="2798" t="s">
        <v>1865</v>
      </c>
      <c r="B50" s="2798" t="s">
        <v>1865</v>
      </c>
      <c r="C50" s="1773"/>
    </row>
    <row r="51" spans="1:4">
      <c r="A51" s="1953" t="s">
        <v>2007</v>
      </c>
      <c r="B51" s="2095"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固地实业有限公司拟使用重庆市北部新区金开大道1226号第三层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95" t="s">
        <v>2857</v>
      </c>
    </row>
    <row r="52" spans="1:4">
      <c r="A52" s="1953" t="s">
        <v>2010</v>
      </c>
      <c r="B52" s="1953" t="s">
        <v>2011</v>
      </c>
      <c r="C52" s="1162" t="s">
        <v>2012</v>
      </c>
      <c r="D52" s="1162" t="s">
        <v>2013</v>
      </c>
    </row>
    <row r="53" spans="1:4">
      <c r="A53" s="3425" t="s">
        <v>2014</v>
      </c>
      <c r="B53" s="2095"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5"/>
      <c r="B54" s="2095" t="s">
        <v>2016</v>
      </c>
      <c r="C54" s="1162" t="s">
        <v>2854</v>
      </c>
    </row>
    <row r="55" spans="1:4">
      <c r="A55" s="3425"/>
      <c r="B55" s="2095" t="s">
        <v>2017</v>
      </c>
      <c r="C55" s="1162" t="s">
        <v>2855</v>
      </c>
    </row>
    <row r="56" spans="1:4">
      <c r="A56" s="3425"/>
      <c r="B56" s="2095" t="s">
        <v>2018</v>
      </c>
      <c r="C56" s="1162" t="s">
        <v>2864</v>
      </c>
    </row>
    <row r="57" spans="1:4">
      <c r="A57" s="3425"/>
      <c r="B57" s="2095" t="s">
        <v>2019</v>
      </c>
      <c r="C57" s="1162" t="s">
        <v>2856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1203" customWidth="1"/>
    <col min="2" max="2" width="11.75" style="1203" customWidth="1"/>
    <col min="3" max="3" width="11.5" style="1203" customWidth="1"/>
    <col min="4" max="4" width="12.6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2117</v>
      </c>
      <c r="B1" s="3426" t="str">
        <f>IF(B10="北京市","北京市",C10)&amp;F10&amp;IF(结果表!G1="在建","出让国有建设用地使用权及在建建筑物",IF(结果表!G1="土地","出让国有建设用地使用权",))&amp;B9&amp;"预评估"</f>
        <v>重庆市北部新区金开大道1226号第三层房地产抵押价值预评估</v>
      </c>
      <c r="C1" s="3427"/>
      <c r="D1" s="3427"/>
      <c r="E1" s="3427"/>
      <c r="F1" s="3427"/>
      <c r="G1" s="3427"/>
      <c r="H1" s="3427"/>
      <c r="I1" s="3428"/>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重庆市北部新区金开大道1226号第三层房地产抵押价值</v>
      </c>
    </row>
    <row r="2" spans="1:19" ht="18" customHeight="1">
      <c r="A2" s="1997" t="s">
        <v>2118</v>
      </c>
      <c r="B2" s="1944" t="s">
        <v>3172</v>
      </c>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重庆市北部新区金开大道1226号第三层房地产</v>
      </c>
    </row>
    <row r="3" spans="1:19" ht="18" customHeight="1">
      <c r="A3" s="1942" t="s">
        <v>2000</v>
      </c>
      <c r="B3" s="3376">
        <v>43026</v>
      </c>
      <c r="C3" s="1925" t="s">
        <v>2001</v>
      </c>
      <c r="D3" s="3376">
        <v>43026</v>
      </c>
      <c r="E3" s="1997"/>
      <c r="F3" s="1997"/>
      <c r="G3" s="1997"/>
      <c r="H3" s="1997"/>
      <c r="I3" s="1997"/>
      <c r="J3" s="1997"/>
      <c r="K3" s="2102"/>
      <c r="L3" s="1998"/>
      <c r="M3" s="1998"/>
      <c r="N3" s="1197"/>
      <c r="O3" s="11"/>
      <c r="P3" s="1197"/>
      <c r="Q3" s="1197"/>
      <c r="R3" s="1197"/>
      <c r="S3" s="1196"/>
    </row>
    <row r="4" spans="1:19" ht="18" customHeight="1" thickBot="1">
      <c r="A4" s="1926" t="s">
        <v>2002</v>
      </c>
      <c r="B4" s="1927" t="s">
        <v>3073</v>
      </c>
      <c r="C4" s="1928">
        <f ca="1">SUMIF(注册房地产估价师,B4,估价师及机构信息!B3:B24)</f>
        <v>1120140022</v>
      </c>
      <c r="D4" s="1927" t="s">
        <v>3074</v>
      </c>
      <c r="E4" s="1929">
        <f ca="1">SUMIF(注册房地产估价师,D4,估价师及机构信息!B3:B24)</f>
        <v>1419970001</v>
      </c>
      <c r="F4" s="1927" t="s">
        <v>528</v>
      </c>
      <c r="G4" s="1956">
        <f>SUMIF(注册房地产估价师,F4,估价师及机构信息!B3:B24)</f>
        <v>0</v>
      </c>
      <c r="H4" s="1927" t="s">
        <v>528</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2082</v>
      </c>
      <c r="B5" s="3375" t="s">
        <v>3076</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2083</v>
      </c>
      <c r="B6" s="2042" t="s">
        <v>3075</v>
      </c>
      <c r="C6" s="2043"/>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2860</v>
      </c>
      <c r="B7" s="2042" t="s">
        <v>3077</v>
      </c>
      <c r="C7" s="2043"/>
      <c r="D7" s="2004"/>
      <c r="E7" s="2000"/>
      <c r="F7" s="2002"/>
      <c r="G7" s="2002"/>
      <c r="H7" s="2002"/>
      <c r="I7" s="2002"/>
      <c r="J7" s="2002"/>
      <c r="K7" s="2104"/>
      <c r="L7" s="1998"/>
      <c r="M7" s="1998"/>
      <c r="N7" s="1197"/>
      <c r="O7" s="11"/>
      <c r="P7" s="1197"/>
      <c r="Q7" s="1197"/>
      <c r="R7" s="1197"/>
    </row>
    <row r="8" spans="1:19" ht="18" customHeight="1">
      <c r="A8" s="1931" t="s">
        <v>1952</v>
      </c>
      <c r="B8" s="2036" t="s">
        <v>3078</v>
      </c>
      <c r="C8" s="2005"/>
      <c r="D8" s="3429" t="s">
        <v>2009</v>
      </c>
      <c r="E8" s="2037" t="s">
        <v>3079</v>
      </c>
      <c r="F8" s="2038"/>
      <c r="G8" s="1997"/>
      <c r="H8" s="1997"/>
      <c r="I8" s="1997"/>
      <c r="J8" s="2002"/>
      <c r="K8" s="2103"/>
      <c r="L8" s="1998"/>
      <c r="M8" s="1998"/>
      <c r="N8" s="1197"/>
      <c r="O8" s="11"/>
      <c r="P8" s="1197"/>
      <c r="Q8" s="1197"/>
      <c r="R8" s="1197"/>
    </row>
    <row r="9" spans="1:19" ht="18" customHeight="1" thickBot="1">
      <c r="A9" s="1956" t="s">
        <v>1953</v>
      </c>
      <c r="B9" s="1957" t="s">
        <v>3079</v>
      </c>
      <c r="C9" s="2006"/>
      <c r="D9" s="3430"/>
      <c r="E9" s="1957" t="s">
        <v>528</v>
      </c>
      <c r="F9" s="2890"/>
      <c r="G9" s="2001"/>
      <c r="H9" s="2001"/>
      <c r="I9" s="2001"/>
      <c r="J9" s="2002"/>
      <c r="K9" s="2104"/>
      <c r="L9" s="1998"/>
      <c r="M9" s="1998"/>
      <c r="N9" s="1197"/>
      <c r="O9" s="11"/>
      <c r="P9" s="1197"/>
      <c r="Q9" s="1197"/>
      <c r="R9" s="1197"/>
    </row>
    <row r="10" spans="1:19" ht="18" customHeight="1" thickTop="1">
      <c r="A10" s="2011" t="s">
        <v>2054</v>
      </c>
      <c r="B10" s="2057" t="s">
        <v>3080</v>
      </c>
      <c r="C10" s="2039" t="s">
        <v>3081</v>
      </c>
      <c r="D10" s="2003"/>
      <c r="E10" s="1941" t="s">
        <v>1954</v>
      </c>
      <c r="F10" s="1954" t="s">
        <v>3082</v>
      </c>
      <c r="G10" s="2888"/>
      <c r="H10" s="2889"/>
      <c r="I10" s="2003"/>
      <c r="J10" s="2002"/>
      <c r="K10" s="2104"/>
      <c r="L10" s="1998"/>
      <c r="M10" s="1998"/>
      <c r="N10" s="1197"/>
      <c r="O10" s="11"/>
      <c r="P10" s="1197"/>
      <c r="Q10" s="1197"/>
      <c r="R10" s="1197"/>
    </row>
    <row r="11" spans="1:19" ht="18" customHeight="1">
      <c r="A11" s="1960" t="s">
        <v>2055</v>
      </c>
      <c r="B11" s="2056"/>
      <c r="C11" s="2040"/>
      <c r="D11" s="2007"/>
      <c r="E11" s="2002"/>
      <c r="F11" s="2002"/>
      <c r="G11" s="2002"/>
      <c r="H11" s="2002"/>
      <c r="I11" s="2002"/>
      <c r="J11" s="2002"/>
      <c r="K11" s="2104"/>
      <c r="L11" s="1998"/>
      <c r="M11" s="1998"/>
      <c r="N11" s="1197"/>
      <c r="O11" s="11"/>
      <c r="P11" s="1197"/>
      <c r="Q11" s="1197"/>
      <c r="R11" s="1197"/>
    </row>
    <row r="12" spans="1:19" ht="18" customHeight="1">
      <c r="A12" s="2055" t="s">
        <v>2081</v>
      </c>
      <c r="B12" s="2056" t="s">
        <v>2020</v>
      </c>
      <c r="C12" s="2014" t="s">
        <v>2085</v>
      </c>
      <c r="D12" s="2026" t="s">
        <v>1946</v>
      </c>
      <c r="E12" s="2026" t="s">
        <v>2697</v>
      </c>
      <c r="F12" s="2026" t="s">
        <v>2698</v>
      </c>
      <c r="G12" s="2026" t="s">
        <v>2699</v>
      </c>
      <c r="H12" s="2026" t="s">
        <v>2700</v>
      </c>
      <c r="I12" s="2026" t="s">
        <v>2701</v>
      </c>
      <c r="J12" s="2002"/>
      <c r="K12" s="2104"/>
      <c r="L12" s="1998"/>
      <c r="M12" s="1998"/>
      <c r="N12" s="1197"/>
      <c r="O12" s="11"/>
      <c r="P12" s="1197"/>
      <c r="Q12" s="1197"/>
      <c r="R12" s="1197"/>
    </row>
    <row r="13" spans="1:19" ht="18" customHeight="1">
      <c r="A13" s="2010"/>
      <c r="B13" s="2084"/>
      <c r="C13" s="2085" t="s">
        <v>2084</v>
      </c>
      <c r="D13" s="3232"/>
      <c r="E13" s="3377">
        <v>52702</v>
      </c>
      <c r="F13" s="3232"/>
      <c r="G13" s="3232"/>
      <c r="H13" s="3232"/>
      <c r="I13" s="2051"/>
      <c r="J13" s="2002"/>
      <c r="K13" s="2104"/>
      <c r="L13" s="1998"/>
      <c r="M13" s="1998"/>
      <c r="N13" s="1197"/>
      <c r="O13" s="11"/>
      <c r="P13" s="1197"/>
      <c r="Q13" s="1197"/>
      <c r="R13" s="1197"/>
    </row>
    <row r="14" spans="1:19" ht="18" customHeight="1">
      <c r="A14" s="2010"/>
      <c r="B14" s="2084"/>
      <c r="C14" s="2085" t="s">
        <v>2086</v>
      </c>
      <c r="D14" s="2054"/>
      <c r="E14" s="2054">
        <v>40</v>
      </c>
      <c r="F14" s="2054"/>
      <c r="G14" s="2054"/>
      <c r="H14" s="2054"/>
      <c r="I14" s="2054"/>
      <c r="J14" s="2002"/>
      <c r="K14" s="2105"/>
      <c r="L14" s="1998"/>
      <c r="M14" s="1998"/>
      <c r="N14" s="1197"/>
      <c r="O14" s="11"/>
      <c r="P14" s="1197"/>
      <c r="Q14" s="1197"/>
      <c r="R14" s="1197"/>
    </row>
    <row r="15" spans="1:19" ht="18" customHeight="1">
      <c r="A15" s="2011"/>
      <c r="B15" s="2086"/>
      <c r="C15" s="2085" t="s">
        <v>2087</v>
      </c>
      <c r="D15" s="2053" t="str">
        <f>IF(B12="出让",IF(D13="","",ROUNDDOWN(MIN((D13-$D$3)/365,D14),2)),D14)</f>
        <v/>
      </c>
      <c r="E15" s="2053">
        <f>IF(B12="出让",IF(E13="","",ROUNDDOWN(MIN((E13-$D$3)/365,E14),2)),E14)</f>
        <v>26.5</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6"/>
      <c r="L15" s="1231"/>
      <c r="M15" s="1231"/>
      <c r="N15" s="2022"/>
      <c r="O15" s="1231"/>
      <c r="P15" s="2022"/>
      <c r="Q15" s="1197"/>
      <c r="R15" s="1197"/>
    </row>
    <row r="16" spans="1:19" ht="30.75" customHeight="1">
      <c r="A16" s="1941" t="s">
        <v>2088</v>
      </c>
      <c r="B16" s="3436" t="s">
        <v>3083</v>
      </c>
      <c r="C16" s="3437"/>
      <c r="D16" s="3438"/>
      <c r="E16" s="1958" t="s">
        <v>2021</v>
      </c>
      <c r="F16" s="3439" t="s">
        <v>3084</v>
      </c>
      <c r="G16" s="3440"/>
      <c r="H16" s="3440"/>
      <c r="I16" s="3441"/>
      <c r="J16" s="1197"/>
      <c r="K16" s="2106"/>
      <c r="L16" s="1231"/>
      <c r="M16" s="1231"/>
      <c r="N16" s="2022"/>
      <c r="O16" s="1231"/>
      <c r="P16" s="2022"/>
      <c r="Q16" s="1197"/>
      <c r="R16" s="1197"/>
    </row>
    <row r="17" spans="1:22" ht="18" customHeight="1">
      <c r="A17" s="2009" t="s">
        <v>1955</v>
      </c>
      <c r="B17" s="1942" t="s">
        <v>1956</v>
      </c>
      <c r="C17" s="2087">
        <f>'数据-汇总表'!E3</f>
        <v>37870.639999999999</v>
      </c>
      <c r="D17" s="1943" t="s">
        <v>1957</v>
      </c>
      <c r="E17" s="3442" t="s">
        <v>3173</v>
      </c>
      <c r="F17" s="3443"/>
      <c r="G17" s="3443"/>
      <c r="H17" s="3443"/>
      <c r="I17" s="3444"/>
      <c r="J17" s="1197"/>
      <c r="K17" s="2697"/>
      <c r="L17" s="1231"/>
      <c r="M17" s="1231"/>
      <c r="N17" s="2022"/>
      <c r="O17" s="1231"/>
      <c r="P17" s="2022"/>
      <c r="Q17" s="1197"/>
      <c r="R17" s="1197"/>
      <c r="S17" s="1197"/>
      <c r="T17" s="1197"/>
      <c r="U17" s="1197"/>
      <c r="V17" s="1197"/>
    </row>
    <row r="18" spans="1:22" ht="36" customHeight="1" thickBot="1">
      <c r="A18" s="2896" t="s">
        <v>2693</v>
      </c>
      <c r="B18" s="1926" t="s">
        <v>1958</v>
      </c>
      <c r="C18" s="2897">
        <f>'数据-汇总表'!D3</f>
        <v>7774.02</v>
      </c>
      <c r="D18" s="2898" t="s">
        <v>1957</v>
      </c>
      <c r="E18" s="3445" t="s">
        <v>3085</v>
      </c>
      <c r="F18" s="3446"/>
      <c r="G18" s="3446"/>
      <c r="H18" s="3446"/>
      <c r="I18" s="3447"/>
      <c r="J18" s="1197"/>
      <c r="K18" s="2697"/>
      <c r="L18" s="1231"/>
      <c r="M18" s="1231"/>
      <c r="N18" s="2022"/>
      <c r="O18" s="1231"/>
      <c r="P18" s="2022"/>
      <c r="Q18" s="1197"/>
      <c r="R18" s="1197"/>
      <c r="S18" s="1197"/>
      <c r="T18" s="1197"/>
      <c r="U18" s="1197"/>
      <c r="V18" s="1197"/>
    </row>
    <row r="19" spans="1:22" ht="37.5" customHeight="1" thickTop="1" thickBot="1">
      <c r="A19" s="2895" t="s">
        <v>2038</v>
      </c>
      <c r="B19" s="2062" t="s">
        <v>2039</v>
      </c>
      <c r="C19" s="2063" t="s">
        <v>3043</v>
      </c>
      <c r="D19" s="2045" t="s">
        <v>2042</v>
      </c>
      <c r="E19" s="2044" t="s">
        <v>3043</v>
      </c>
      <c r="F19" s="2046" t="str">
        <f>IF(AND(C19="是",E19="否"),"是否提供他项权证或相关说明","")</f>
        <v/>
      </c>
      <c r="G19" s="2047" t="s">
        <v>528</v>
      </c>
      <c r="H19" s="2002"/>
      <c r="I19" s="2002"/>
      <c r="J19" s="2002"/>
      <c r="K19" s="2104"/>
      <c r="L19" s="1998"/>
      <c r="M19" s="1998"/>
      <c r="N19" s="2022"/>
      <c r="O19" s="1231"/>
      <c r="P19" s="2022"/>
      <c r="Q19" s="1197"/>
      <c r="R19" s="1197"/>
      <c r="S19" s="1197"/>
      <c r="T19" s="1197"/>
      <c r="U19" s="1197"/>
      <c r="V19" s="1197"/>
    </row>
    <row r="20" spans="1:22" ht="18" customHeight="1">
      <c r="A20" s="2064" t="s">
        <v>2043</v>
      </c>
      <c r="B20" s="3432" t="s">
        <v>2044</v>
      </c>
      <c r="C20" s="3433"/>
      <c r="D20" s="3434" t="s">
        <v>2045</v>
      </c>
      <c r="E20" s="3435"/>
      <c r="F20" s="2069" t="s">
        <v>2046</v>
      </c>
      <c r="G20" s="2002"/>
      <c r="H20" s="2002"/>
      <c r="I20" s="2002"/>
      <c r="J20" s="2002"/>
      <c r="K20" s="3431" t="s">
        <v>2041</v>
      </c>
      <c r="L20" s="2611"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98"/>
      <c r="N20" s="2022"/>
      <c r="O20" s="1231"/>
      <c r="P20" s="2022"/>
      <c r="Q20" s="1197"/>
      <c r="R20" s="1197"/>
      <c r="S20" s="1197"/>
      <c r="T20" s="1197"/>
      <c r="U20" s="1197"/>
      <c r="V20" s="1197"/>
    </row>
    <row r="21" spans="1:22" ht="24.75" customHeight="1">
      <c r="A21" s="2064"/>
      <c r="B21" s="2065" t="s">
        <v>3086</v>
      </c>
      <c r="C21" s="2034" t="s">
        <v>2047</v>
      </c>
      <c r="D21" s="1991"/>
      <c r="E21" s="2035" t="s">
        <v>528</v>
      </c>
      <c r="F21" s="1980"/>
      <c r="G21" s="2002"/>
      <c r="H21" s="2002"/>
      <c r="I21" s="2002"/>
      <c r="J21" s="2002"/>
      <c r="K21" s="3431"/>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上述抵押权设定日期为2012年8月27日，权利人为中国农业银行股份有限公司，权利范围为重庆市北部新区金开大道1226号第三层，权利价值为20000万元。</v>
      </c>
      <c r="M21" s="1998"/>
      <c r="N21" s="2022"/>
      <c r="O21" s="1231"/>
      <c r="P21" s="2022"/>
      <c r="Q21" s="1197"/>
      <c r="R21" s="1197"/>
      <c r="S21" s="1197"/>
      <c r="T21" s="1197"/>
      <c r="U21" s="1197"/>
      <c r="V21" s="1197"/>
    </row>
    <row r="22" spans="1:22" ht="24.75" customHeight="1" thickBot="1">
      <c r="A22" s="2064"/>
      <c r="B22" s="2066" t="s">
        <v>528</v>
      </c>
      <c r="C22" s="2034" t="s">
        <v>528</v>
      </c>
      <c r="D22" s="1997"/>
      <c r="E22" s="1997"/>
      <c r="F22" s="2070"/>
      <c r="G22" s="2002"/>
      <c r="H22" s="2002"/>
      <c r="I22" s="2002"/>
      <c r="J22" s="2002"/>
      <c r="K22" s="3431"/>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98"/>
      <c r="N22" s="2022"/>
      <c r="O22" s="1231"/>
      <c r="P22" s="2022"/>
      <c r="Q22" s="1197"/>
      <c r="R22" s="1197"/>
      <c r="S22" s="1197"/>
      <c r="T22" s="1197"/>
      <c r="U22" s="1197"/>
      <c r="V22" s="1197"/>
    </row>
    <row r="23" spans="1:22" ht="18" customHeight="1">
      <c r="A23" s="1979" t="s">
        <v>2048</v>
      </c>
      <c r="B23" s="2067" t="s">
        <v>2049</v>
      </c>
      <c r="C23" s="3378">
        <v>41148</v>
      </c>
      <c r="D23" s="1981" t="s">
        <v>2049</v>
      </c>
      <c r="E23" s="1989"/>
      <c r="F23" s="2070"/>
      <c r="G23" s="2002"/>
      <c r="H23" s="2002"/>
      <c r="I23" s="2002"/>
      <c r="J23" s="2002"/>
      <c r="K23" s="226"/>
      <c r="L23" s="2611"/>
      <c r="M23" s="1998"/>
      <c r="N23" s="2022"/>
      <c r="O23" s="1231"/>
      <c r="P23" s="2022"/>
      <c r="Q23" s="1197"/>
      <c r="R23" s="1197"/>
      <c r="S23" s="1197"/>
      <c r="T23" s="1197"/>
      <c r="U23" s="1197"/>
      <c r="V23" s="1197"/>
    </row>
    <row r="24" spans="1:22" ht="24">
      <c r="A24" s="1982"/>
      <c r="B24" s="2067" t="s">
        <v>2050</v>
      </c>
      <c r="C24" s="2068" t="s">
        <v>3087</v>
      </c>
      <c r="D24" s="1979" t="s">
        <v>2050</v>
      </c>
      <c r="E24" s="1990"/>
      <c r="F24" s="2070"/>
      <c r="G24" s="2002"/>
      <c r="H24" s="2002"/>
      <c r="I24" s="2002"/>
      <c r="J24" s="2002"/>
      <c r="K24" s="226"/>
      <c r="L24" s="2611"/>
      <c r="M24" s="1998"/>
      <c r="N24" s="2022"/>
      <c r="O24" s="1231"/>
      <c r="P24" s="2022"/>
      <c r="Q24" s="1197"/>
      <c r="R24" s="1197"/>
      <c r="S24" s="1197"/>
      <c r="T24" s="1197"/>
      <c r="U24" s="1197"/>
      <c r="V24" s="1197"/>
    </row>
    <row r="25" spans="1:22" ht="36.75">
      <c r="A25" s="1982"/>
      <c r="B25" s="2067" t="s">
        <v>2051</v>
      </c>
      <c r="C25" s="2068" t="s">
        <v>3089</v>
      </c>
      <c r="D25" s="1979" t="s">
        <v>2051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9"/>
      <c r="B26" s="2071" t="s">
        <v>2052</v>
      </c>
      <c r="C26" s="2072" t="s">
        <v>3088</v>
      </c>
      <c r="D26" s="2061" t="s">
        <v>2052</v>
      </c>
      <c r="E26" s="2060"/>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49" t="s">
        <v>2056</v>
      </c>
      <c r="B27" s="2011" t="s">
        <v>2057</v>
      </c>
      <c r="C27" s="1932" t="s">
        <v>3090</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49"/>
      <c r="B28" s="1942" t="s">
        <v>2058</v>
      </c>
      <c r="C28" s="1934" t="s">
        <v>3091</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49"/>
      <c r="B29" s="1942" t="s">
        <v>2059</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50"/>
      <c r="B30" s="1942" t="s">
        <v>2060</v>
      </c>
      <c r="C30" s="3451"/>
      <c r="D30" s="3452"/>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53" t="s">
        <v>2061</v>
      </c>
      <c r="B31" s="1938" t="s">
        <v>3092</v>
      </c>
      <c r="C31" s="1939" t="str">
        <f>IF(B31="现房","成新及维护状况正常否",IF(B31="在建","工程状态是否正常",IF(B31="土地","是否闲置","-")))</f>
        <v>成新及维护状况正常否</v>
      </c>
      <c r="D31" s="2012"/>
      <c r="E31" s="1940" t="s">
        <v>3093</v>
      </c>
      <c r="F31" s="2002"/>
      <c r="G31" s="2002"/>
      <c r="H31" s="2002"/>
      <c r="I31" s="2002"/>
      <c r="J31" s="2002"/>
      <c r="K31" s="2108"/>
      <c r="L31" s="1998"/>
      <c r="M31" s="1998"/>
      <c r="N31" s="1197"/>
      <c r="O31" s="11"/>
      <c r="P31" s="1197"/>
      <c r="Q31" s="1197"/>
      <c r="R31" s="1197"/>
      <c r="S31" s="1197"/>
      <c r="T31" s="1197"/>
      <c r="U31" s="1197"/>
      <c r="V31" s="1197"/>
    </row>
    <row r="32" spans="1:22" ht="18" customHeight="1">
      <c r="A32" s="3454"/>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54"/>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2022</v>
      </c>
      <c r="B34" s="1962" t="s">
        <v>3094</v>
      </c>
      <c r="C34" s="1962" t="s">
        <v>3095</v>
      </c>
      <c r="D34" s="1962" t="s">
        <v>3096</v>
      </c>
      <c r="E34" s="1962" t="s">
        <v>3097</v>
      </c>
      <c r="F34" s="1962" t="s">
        <v>3098</v>
      </c>
      <c r="G34" s="1962"/>
      <c r="H34" s="1962"/>
      <c r="I34" s="2002"/>
      <c r="J34" s="2002"/>
      <c r="K34" s="2885">
        <f>COUNTIF(B34:H34,"——")</f>
        <v>0</v>
      </c>
      <c r="L34" s="2014" t="s">
        <v>2090</v>
      </c>
      <c r="M34" s="2014" t="s">
        <v>2091</v>
      </c>
      <c r="N34" s="2014" t="s">
        <v>2092</v>
      </c>
      <c r="O34" s="2014" t="s">
        <v>2093</v>
      </c>
      <c r="P34" s="2014" t="s">
        <v>2094</v>
      </c>
      <c r="Q34" s="2014" t="s">
        <v>2095</v>
      </c>
      <c r="R34" s="2014" t="s">
        <v>2096</v>
      </c>
      <c r="S34" s="3448" t="s">
        <v>2097</v>
      </c>
      <c r="T34" s="2015" t="str">
        <f>NUMBERSTRING(7-K34,1)&amp;"通"</f>
        <v>七通</v>
      </c>
      <c r="U34" s="1197"/>
      <c r="V34" s="1197"/>
    </row>
    <row r="35" spans="1:22" ht="18" customHeight="1">
      <c r="A35" s="2016"/>
      <c r="B35" s="3455" t="s">
        <v>1871</v>
      </c>
      <c r="C35" s="3455"/>
      <c r="D35" s="3455"/>
      <c r="E35" s="3455"/>
      <c r="F35" s="2017" t="str">
        <f>C10</f>
        <v>重庆市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48"/>
      <c r="T35" s="23" t="str">
        <f>IF(T34="一通",L35,IF(T34="二通",M35,IF(T34="三通",N35,IF(T34="四通",O35,IF(T34="五通",P35,IF(T34="六通",Q35,R35))))))</f>
        <v>通路、通电、通讯、通上水、通下水、、</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8" t="s">
        <v>1872</v>
      </c>
      <c r="B38" s="2049"/>
      <c r="C38" s="2049"/>
      <c r="D38" s="2049"/>
      <c r="E38" s="2049"/>
      <c r="F38" s="2050"/>
      <c r="G38" s="2001"/>
      <c r="H38" s="2001"/>
      <c r="I38" s="2001"/>
      <c r="J38" s="2002"/>
      <c r="K38" s="2104"/>
      <c r="L38" s="1998"/>
      <c r="M38" s="1998"/>
      <c r="N38" s="1197"/>
      <c r="O38" s="11"/>
      <c r="P38" s="1197"/>
      <c r="Q38" s="1197"/>
      <c r="R38" s="1197"/>
      <c r="S38" s="1197"/>
      <c r="T38" s="1197"/>
      <c r="U38" s="1197"/>
      <c r="V38" s="1197"/>
    </row>
    <row r="39" spans="1:22" s="3308" customFormat="1" ht="18" customHeight="1" thickTop="1" thickBot="1">
      <c r="A39" s="3309" t="s">
        <v>3021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2063</v>
      </c>
      <c r="B42" s="1988" t="s">
        <v>2064</v>
      </c>
      <c r="C42" s="1988" t="s">
        <v>2065</v>
      </c>
      <c r="D42" s="1988" t="s">
        <v>2066</v>
      </c>
      <c r="E42" s="1988" t="s">
        <v>2067</v>
      </c>
      <c r="F42" s="1988" t="s">
        <v>2068</v>
      </c>
      <c r="G42" s="1988" t="s">
        <v>2069</v>
      </c>
      <c r="H42" s="1988" t="s">
        <v>2070</v>
      </c>
      <c r="I42" s="1988" t="s">
        <v>2071</v>
      </c>
      <c r="J42" s="2100" t="s">
        <v>2072</v>
      </c>
      <c r="K42" s="2026" t="s">
        <v>2073</v>
      </c>
      <c r="L42" s="2026" t="s">
        <v>2074</v>
      </c>
      <c r="M42" s="2026" t="s">
        <v>2075</v>
      </c>
      <c r="N42" s="1988" t="s">
        <v>2076</v>
      </c>
      <c r="O42" s="1988" t="s">
        <v>2077</v>
      </c>
      <c r="P42" s="1988" t="s">
        <v>2078</v>
      </c>
      <c r="Q42" s="2014" t="s">
        <v>2079</v>
      </c>
      <c r="R42" s="2014"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2397</v>
      </c>
      <c r="AZ2" s="2521" t="s">
        <v>2398</v>
      </c>
      <c r="BA2" s="2522" t="s">
        <v>2399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7774.02</v>
      </c>
      <c r="B3" s="302">
        <f>IF(C3="否",G5-AT5,G5)</f>
        <v>37870.639999999999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37870.639999999999</v>
      </c>
      <c r="H5" s="305">
        <f t="shared" ref="H5:AT5" si="0">SUM(H13:H656)</f>
        <v>37870.639999999999</v>
      </c>
      <c r="I5" s="305">
        <f t="shared" si="0"/>
        <v>37870.639999999999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37870.639999999999</v>
      </c>
      <c r="BA5" s="307">
        <f t="shared" si="1"/>
        <v>37870.639999999999</v>
      </c>
      <c r="BB5" s="307">
        <f t="shared" si="1"/>
        <v>37870.639999999999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7774.02</v>
      </c>
      <c r="F6" s="305" t="s">
        <v>23</v>
      </c>
      <c r="G6" s="305" t="s">
        <v>25</v>
      </c>
      <c r="H6" s="309">
        <f>SUMIF(I$12:AB$12,"总值",I6:AB6)</f>
        <v>7774.02</v>
      </c>
      <c r="I6" s="305">
        <f t="shared" ref="I6:AB6" si="2">ROUND($A$3*I5/$B$3,2)</f>
        <v>7774.02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7774.02</v>
      </c>
      <c r="AZ6" s="305" t="s">
        <v>29</v>
      </c>
      <c r="BA6" s="305">
        <f>ROUND($AY$6*BA5/$AZ$5,2)</f>
        <v>7774.02</v>
      </c>
      <c r="BB6" s="305">
        <f>ROUND($AY$6*BB5/$AZ$5,2)</f>
        <v>7774.02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3055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c r="L11" s="259"/>
      <c r="M11" s="258"/>
      <c r="N11" s="259"/>
      <c r="O11" s="258"/>
      <c r="P11" s="259"/>
      <c r="Q11" s="258"/>
      <c r="R11" s="259"/>
      <c r="S11" s="258"/>
      <c r="T11" s="259"/>
      <c r="U11" s="258"/>
      <c r="V11" s="259"/>
      <c r="W11" s="258"/>
      <c r="X11" s="259"/>
      <c r="Y11" s="258"/>
      <c r="Z11" s="259"/>
      <c r="AA11" s="258"/>
      <c r="AB11" s="259"/>
      <c r="AC11" s="240"/>
      <c r="AD11" s="2513" t="s">
        <v>2386</v>
      </c>
      <c r="AE11" s="2492"/>
      <c r="AF11" s="2513" t="s">
        <v>2386</v>
      </c>
      <c r="AG11" s="2492"/>
      <c r="AH11" s="2513" t="s">
        <v>2387</v>
      </c>
      <c r="AI11" s="2514"/>
      <c r="AJ11" s="2513" t="s">
        <v>2387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3043</v>
      </c>
      <c r="E13" s="305">
        <f>IF($C$3="是",ROUND($A$3*G13/$B$3,2),ROUND($A$3*(G13-AT13)/$B$3,2))</f>
        <v>7774.02</v>
      </c>
      <c r="F13" s="321"/>
      <c r="G13" s="322">
        <f>H13+AC13+AT13</f>
        <v>37870.639999999999</v>
      </c>
      <c r="H13" s="309">
        <f>SUMIF(I$12:AB$12,"总值",I13:AB13)</f>
        <v>37870.639999999999</v>
      </c>
      <c r="I13" s="1418">
        <v>37870.639999999999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7774.02</v>
      </c>
      <c r="AZ13" s="305">
        <f>BA13+BL13</f>
        <v>37870.639999999999</v>
      </c>
      <c r="BA13" s="305">
        <f>SUM(BB13:BK13)</f>
        <v>37870.639999999999</v>
      </c>
      <c r="BB13" s="305">
        <f>IF($D13="是",I13-J13,0)</f>
        <v>37870.639999999999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5" t="s">
        <v>2</v>
      </c>
      <c r="B1" s="3395" t="s">
        <v>37</v>
      </c>
      <c r="C1" s="3395" t="s">
        <v>38</v>
      </c>
      <c r="D1" s="3456" t="s">
        <v>197</v>
      </c>
      <c r="E1" s="3456" t="s">
        <v>198</v>
      </c>
      <c r="F1" s="3456"/>
      <c r="G1" s="3456"/>
      <c r="H1" s="3456"/>
      <c r="I1" s="3456"/>
      <c r="J1" s="3456"/>
      <c r="K1" s="3456"/>
      <c r="L1" s="3456"/>
      <c r="M1" s="3456"/>
    </row>
    <row r="2" spans="1:13" ht="27" customHeight="1">
      <c r="A2" s="3395"/>
      <c r="B2" s="3395"/>
      <c r="C2" s="3395"/>
      <c r="D2" s="3456"/>
      <c r="E2" s="3456" t="s">
        <v>181</v>
      </c>
      <c r="F2" s="3456" t="s">
        <v>182</v>
      </c>
      <c r="G2" s="3456"/>
      <c r="H2" s="3456"/>
      <c r="I2" s="3456"/>
      <c r="J2" s="3456" t="s">
        <v>183</v>
      </c>
      <c r="K2" s="3456"/>
      <c r="L2" s="3456"/>
      <c r="M2" s="3456"/>
    </row>
    <row r="3" spans="1:13" ht="28.5">
      <c r="A3" s="3395"/>
      <c r="B3" s="3395"/>
      <c r="C3" s="3395"/>
      <c r="D3" s="3456"/>
      <c r="E3" s="3456"/>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6" t="s">
        <v>199</v>
      </c>
      <c r="B9" s="3456"/>
      <c r="C9" s="34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4" sqref="F44"/>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66" t="s">
        <v>641</v>
      </c>
      <c r="B2" s="3466"/>
      <c r="C2" s="3466"/>
      <c r="D2" s="2210" t="s">
        <v>642</v>
      </c>
      <c r="E2" s="19" t="s">
        <v>643</v>
      </c>
      <c r="F2" s="2226"/>
      <c r="G2" s="1180"/>
      <c r="H2" s="1181"/>
      <c r="I2" s="2218" t="s">
        <v>644</v>
      </c>
      <c r="J2" s="2226"/>
      <c r="K2" s="2226"/>
      <c r="L2" s="2226"/>
      <c r="M2" s="2226"/>
      <c r="N2" s="2235"/>
      <c r="O2" s="2226"/>
      <c r="P2" s="2226"/>
    </row>
    <row r="3" spans="1:16" ht="15.75" thickBot="1">
      <c r="A3" s="3467" t="s">
        <v>645</v>
      </c>
      <c r="B3" s="3467"/>
      <c r="C3" s="3467"/>
      <c r="D3" s="335">
        <f>'数据-基础表'!AY6</f>
        <v>7774.02</v>
      </c>
      <c r="E3" s="335">
        <f>'数据-基础表'!AZ5</f>
        <v>37870.639999999999</v>
      </c>
      <c r="F3" s="2226"/>
      <c r="G3" s="442"/>
      <c r="H3" s="440" t="s">
        <v>646</v>
      </c>
      <c r="I3" s="344">
        <f>ROUND('数据-基础表'!B3/'数据-基础表'!A3,2)</f>
        <v>4.87</v>
      </c>
      <c r="J3" s="2226"/>
      <c r="K3" s="2226"/>
      <c r="L3" s="2226"/>
      <c r="M3" s="2226"/>
      <c r="N3" s="2235"/>
      <c r="O3" s="2226"/>
      <c r="P3" s="2226"/>
    </row>
    <row r="4" spans="1:16" ht="14.25">
      <c r="A4" s="3468"/>
      <c r="B4" s="3469"/>
      <c r="C4" s="3470"/>
      <c r="D4" s="20" t="s">
        <v>642</v>
      </c>
      <c r="E4" s="21" t="s">
        <v>643</v>
      </c>
      <c r="F4" s="2226"/>
      <c r="G4" s="1182" t="s">
        <v>1789</v>
      </c>
      <c r="H4" s="440" t="s">
        <v>647</v>
      </c>
      <c r="I4" s="344">
        <f>ROUND(SUMIF('数据-基础表'!I9:AS9,"地上",'数据-基础表'!I5:AS5)/'数据-基础表'!A3,2)</f>
        <v>4.87</v>
      </c>
      <c r="J4" s="2226"/>
      <c r="K4" s="2226"/>
      <c r="L4" s="2226"/>
      <c r="M4" s="2226"/>
      <c r="N4" s="2235"/>
      <c r="O4" s="2226"/>
      <c r="P4" s="2226"/>
    </row>
    <row r="5" spans="1:16" ht="14.25">
      <c r="A5" s="22" t="s">
        <v>648</v>
      </c>
      <c r="B5" s="3471" t="s">
        <v>649</v>
      </c>
      <c r="C5" s="3471"/>
      <c r="D5" s="337">
        <f>ROUND($D$3*E5/$E$3,2)</f>
        <v>0</v>
      </c>
      <c r="E5" s="338">
        <f>SUMIF('数据-基础表'!$11:$11,"住宅",'数据-基础表'!$5:$5)</f>
        <v>0</v>
      </c>
      <c r="F5" s="2226"/>
      <c r="G5" s="442"/>
      <c r="H5" s="440" t="s">
        <v>646</v>
      </c>
      <c r="I5" s="344">
        <f>ROUND(E31/D31,2)</f>
        <v>4.87</v>
      </c>
      <c r="J5" s="2226"/>
      <c r="K5" s="2226"/>
      <c r="L5" s="2226"/>
      <c r="M5" s="2226"/>
      <c r="N5" s="2226"/>
      <c r="O5" s="2226"/>
      <c r="P5" s="2226"/>
    </row>
    <row r="6" spans="1:16" ht="15" thickBot="1">
      <c r="A6" s="24"/>
      <c r="B6" s="3471" t="s">
        <v>650</v>
      </c>
      <c r="C6" s="3471"/>
      <c r="D6" s="337">
        <f>ROUND($D$3*E6/$E$3,2)</f>
        <v>7774.02</v>
      </c>
      <c r="E6" s="338">
        <f>E3-E5</f>
        <v>37870.639999999999</v>
      </c>
      <c r="F6" s="2226"/>
      <c r="G6" s="1761" t="s">
        <v>1790</v>
      </c>
      <c r="H6" s="442" t="s">
        <v>647</v>
      </c>
      <c r="I6" s="1762">
        <f>ROUND(F31/D31,2)</f>
        <v>4.87</v>
      </c>
      <c r="J6" s="2226"/>
      <c r="K6" s="2226"/>
      <c r="L6" s="2226"/>
      <c r="M6" s="2226"/>
      <c r="N6" s="2226"/>
      <c r="O6" s="2226"/>
      <c r="P6" s="2226"/>
    </row>
    <row r="7" spans="1:16" ht="14.25">
      <c r="A7" s="3463"/>
      <c r="B7" s="3464"/>
      <c r="C7" s="3465"/>
      <c r="D7" s="20" t="s">
        <v>642</v>
      </c>
      <c r="E7" s="25" t="s">
        <v>643</v>
      </c>
      <c r="F7" s="2226"/>
      <c r="G7" s="1180" t="s">
        <v>1869</v>
      </c>
      <c r="H7" s="38"/>
      <c r="I7" s="763"/>
      <c r="J7" s="2226"/>
      <c r="K7" s="2226"/>
      <c r="L7" s="2226"/>
      <c r="M7" s="2226"/>
      <c r="N7" s="2226"/>
      <c r="O7" s="2226"/>
      <c r="P7" s="2226"/>
    </row>
    <row r="8" spans="1:16" ht="14.25">
      <c r="A8" s="22" t="s">
        <v>651</v>
      </c>
      <c r="B8" s="26" t="s">
        <v>652</v>
      </c>
      <c r="C8" s="23" t="s">
        <v>653</v>
      </c>
      <c r="D8" s="337">
        <f t="shared" ref="D8:D15" si="0">ROUND($D$3*E8/$E$3,2)</f>
        <v>7774.02</v>
      </c>
      <c r="E8" s="340">
        <f>SUMIF('数据-基础表'!BB10:BK10,"地上",'数据-基础表'!BB5:BK5)</f>
        <v>37870.639999999999</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7774.02</v>
      </c>
      <c r="E16" s="342">
        <f>SUM(E8:E15)</f>
        <v>37870.639999999999</v>
      </c>
      <c r="F16" s="2226"/>
      <c r="G16" s="2227"/>
      <c r="H16" s="1179" t="s">
        <v>531</v>
      </c>
      <c r="I16" s="1183"/>
      <c r="J16" s="2226"/>
      <c r="K16" s="3460" t="s">
        <v>531</v>
      </c>
      <c r="L16" s="3461"/>
      <c r="M16" s="3461"/>
      <c r="N16" s="3461"/>
      <c r="O16" s="3461"/>
      <c r="P16" s="3462"/>
    </row>
    <row r="17" spans="1:19" ht="14.25">
      <c r="A17" s="29" t="s">
        <v>661</v>
      </c>
      <c r="B17" s="30" t="s">
        <v>662</v>
      </c>
      <c r="C17" s="34" t="s">
        <v>2379</v>
      </c>
      <c r="D17" s="2076" t="s">
        <v>642</v>
      </c>
      <c r="E17" s="2074" t="s">
        <v>643</v>
      </c>
      <c r="F17" s="36"/>
      <c r="G17" s="37"/>
      <c r="H17" s="1184" t="s">
        <v>663</v>
      </c>
      <c r="I17" s="1185" t="s">
        <v>204</v>
      </c>
      <c r="J17" s="2226"/>
      <c r="K17" s="3457" t="s">
        <v>669</v>
      </c>
      <c r="L17" s="3458"/>
      <c r="M17" s="3459"/>
      <c r="N17" s="3457" t="s">
        <v>2681</v>
      </c>
      <c r="O17" s="3458"/>
      <c r="P17" s="3459"/>
      <c r="R17" s="2486" t="s">
        <v>2380</v>
      </c>
      <c r="S17" s="354"/>
    </row>
    <row r="18" spans="1:19">
      <c r="A18" s="27"/>
      <c r="B18" s="31"/>
      <c r="C18" s="35"/>
      <c r="D18" s="2077"/>
      <c r="E18" s="2075" t="s">
        <v>664</v>
      </c>
      <c r="F18" s="15" t="s">
        <v>665</v>
      </c>
      <c r="G18" s="16" t="s">
        <v>666</v>
      </c>
      <c r="H18" s="1186" t="s">
        <v>667</v>
      </c>
      <c r="I18" s="1187" t="s">
        <v>668</v>
      </c>
      <c r="J18" s="2226"/>
      <c r="K18" s="1186" t="s">
        <v>2674</v>
      </c>
      <c r="L18" s="6" t="s">
        <v>2682</v>
      </c>
      <c r="M18" s="2804" t="s">
        <v>2680</v>
      </c>
      <c r="N18" s="1186" t="s">
        <v>2674</v>
      </c>
      <c r="O18" s="6" t="s">
        <v>2682</v>
      </c>
      <c r="P18" s="2804" t="s">
        <v>2680</v>
      </c>
      <c r="R18" s="2487" t="s">
        <v>2381</v>
      </c>
      <c r="S18" s="2487" t="s">
        <v>2382</v>
      </c>
    </row>
    <row r="19" spans="1:19" ht="14.25">
      <c r="A19" s="32"/>
      <c r="B19" s="26" t="s">
        <v>116</v>
      </c>
      <c r="C19" s="1421" t="s">
        <v>3057</v>
      </c>
      <c r="D19" s="337">
        <f>ROUND($D$3*E19/$E$3,2)</f>
        <v>7774.02</v>
      </c>
      <c r="E19" s="345">
        <f t="shared" ref="E19:E26" si="1">SUM(F19:G19)</f>
        <v>37870.639999999999</v>
      </c>
      <c r="F19" s="346">
        <f>'数据-基础表'!I13</f>
        <v>37870.639999999999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7774.02</v>
      </c>
      <c r="S19" s="2489">
        <f t="shared" si="5"/>
        <v>37870.639999999999</v>
      </c>
    </row>
    <row r="20" spans="1:19" ht="14.25">
      <c r="A20" s="33"/>
      <c r="B20" s="26" t="s">
        <v>635</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7774.02</v>
      </c>
      <c r="E27" s="2809">
        <f>IF(SUM(E19:E26)='数据-基础表'!BA5,SUM(E19:E26),IF(F27="地上面积有误","面积有误","地下面积有误"))</f>
        <v>37870.639999999999</v>
      </c>
      <c r="F27" s="2808">
        <f>IF(SUM(F19:F26)=E8,SUM(F19:F26),"地上面积有误")</f>
        <v>37870.639999999999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7774.02</v>
      </c>
      <c r="S27" s="2488">
        <f>IF(SUM(S19:S26)=$E$3,SUM(S19:S26),SUM(S19:S26)&amp;"误差"&amp;ROUND(SUM(S19:S26)-E3,2))</f>
        <v>37870.639999999999</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2383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7774.02</v>
      </c>
      <c r="E31" s="1189">
        <f>E27+E30</f>
        <v>37870.639999999999</v>
      </c>
      <c r="F31" s="1190">
        <f>F27+F30</f>
        <v>37870.639999999999</v>
      </c>
      <c r="G31" s="1191">
        <f>G27+G30</f>
        <v>0</v>
      </c>
      <c r="H31" s="2226"/>
      <c r="I31" s="2226"/>
      <c r="J31" s="2226"/>
      <c r="K31" s="2226"/>
      <c r="L31" s="2226"/>
      <c r="M31" s="2226"/>
      <c r="N31" s="2226"/>
      <c r="O31" s="2226"/>
      <c r="P31" s="2226"/>
    </row>
    <row r="32" spans="1:19" ht="14.25">
      <c r="A32" s="1182"/>
      <c r="B32" s="1182" t="s">
        <v>2695</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43026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2385</v>
      </c>
      <c r="B5" s="48" t="s">
        <v>676</v>
      </c>
      <c r="C5" s="49" t="s">
        <v>677</v>
      </c>
      <c r="D5" s="50" t="s">
        <v>678</v>
      </c>
      <c r="E5" s="51" t="s">
        <v>679</v>
      </c>
      <c r="F5" s="52" t="s">
        <v>680</v>
      </c>
      <c r="G5" s="51" t="s">
        <v>681</v>
      </c>
      <c r="H5" s="51" t="s">
        <v>682</v>
      </c>
      <c r="I5" s="51" t="s">
        <v>683</v>
      </c>
      <c r="J5" s="53" t="s">
        <v>684</v>
      </c>
      <c r="K5" s="54" t="s">
        <v>685</v>
      </c>
      <c r="L5" s="55" t="s">
        <v>686</v>
      </c>
      <c r="M5" s="56" t="s">
        <v>687</v>
      </c>
      <c r="N5" s="1202" t="s">
        <v>77</v>
      </c>
      <c r="O5" s="55" t="s">
        <v>688</v>
      </c>
      <c r="P5" s="57" t="s">
        <v>689</v>
      </c>
      <c r="Q5" s="58" t="s">
        <v>690</v>
      </c>
      <c r="R5" s="273" t="s">
        <v>691</v>
      </c>
      <c r="S5" s="59" t="s">
        <v>2675</v>
      </c>
      <c r="T5" s="274" t="s">
        <v>692</v>
      </c>
      <c r="U5" s="2518" t="s">
        <v>2391</v>
      </c>
      <c r="V5" s="51" t="s">
        <v>693</v>
      </c>
      <c r="W5" s="2519" t="s">
        <v>2392</v>
      </c>
      <c r="X5" s="62"/>
      <c r="Y5" s="60" t="s">
        <v>694</v>
      </c>
      <c r="Z5" s="61" t="s">
        <v>695</v>
      </c>
      <c r="AA5" s="51" t="s">
        <v>693</v>
      </c>
      <c r="AB5" s="2519" t="s">
        <v>2392</v>
      </c>
      <c r="AC5" s="62"/>
      <c r="AD5" s="62" t="s">
        <v>694</v>
      </c>
      <c r="AE5" s="14" t="s">
        <v>536</v>
      </c>
      <c r="AF5" s="51" t="s">
        <v>696</v>
      </c>
      <c r="AG5" s="60" t="s">
        <v>697</v>
      </c>
      <c r="AH5" s="14" t="s">
        <v>2396</v>
      </c>
      <c r="AI5" s="61" t="s">
        <v>2314</v>
      </c>
      <c r="AJ5" s="61" t="s">
        <v>698</v>
      </c>
      <c r="AK5" s="2519" t="s">
        <v>2393</v>
      </c>
      <c r="AL5" s="2519" t="s">
        <v>2394</v>
      </c>
      <c r="AM5" s="360" t="s">
        <v>2395</v>
      </c>
      <c r="AN5" s="2576" t="s">
        <v>2435</v>
      </c>
      <c r="AO5" s="2014" t="s">
        <v>2666</v>
      </c>
      <c r="AP5" s="2892" t="s">
        <v>2676</v>
      </c>
      <c r="AQ5" s="2893" t="s">
        <v>2786</v>
      </c>
      <c r="AR5" s="2893" t="s">
        <v>2787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3032</v>
      </c>
      <c r="D6" s="2058">
        <f>SUMIF(项目基本情况!D$12:I$12,C6,项目基本情况!D$14:I$14)</f>
        <v>40</v>
      </c>
      <c r="E6" s="2052">
        <f>IF(B6="","",SUMIF(项目基本情况!D$12:I$12,C6,项目基本情况!D$13:I$13))</f>
        <v>52702</v>
      </c>
      <c r="F6" s="362">
        <f>SUMIF(项目基本情况!D$12:I$12,C6,项目基本情况!D$15:I$15)</f>
        <v>26.5</v>
      </c>
      <c r="G6" s="363">
        <f>IF(ISERROR(ROUND(POWER(1+H6,D6-F6)*(POWER(1+H6,F6)-1)/(POWER(1+H6,D6)-1),3)),0,ROUND(POWER(1+H6,D6-F6)*(POWER(1+H6,F6)-1)/(POWER(1+H6,D6)-1),3))</f>
        <v>0.85899999999999999</v>
      </c>
      <c r="H6" s="1476">
        <v>5.5E-2</v>
      </c>
      <c r="I6" s="1476">
        <v>0.06</v>
      </c>
      <c r="J6" s="364">
        <v>8.5000000000000006E-2</v>
      </c>
      <c r="K6" s="2497">
        <f>SUMIF('数据-汇总表'!C$19:C$33,A6,'数据-汇总表'!E$19:E$33)</f>
        <v>37870.639999999999</v>
      </c>
      <c r="L6" s="1477">
        <v>2600</v>
      </c>
      <c r="M6" s="365">
        <f t="shared" ref="M6:M14" si="0">ROUND(K6*L6/10000,0)</f>
        <v>9846</v>
      </c>
      <c r="N6" s="3379">
        <f>ROUND(1-(2017-2011)/60,2)</f>
        <v>0.9</v>
      </c>
      <c r="O6" s="365" t="str">
        <f>IF($N$5="成新度","——",ROUND(M6*N6,0))</f>
        <v>——</v>
      </c>
      <c r="P6" s="366" t="str">
        <f>IF($N$5="成新度","——",M6-O6)</f>
        <v>——</v>
      </c>
      <c r="Q6" s="1478">
        <v>0.2</v>
      </c>
      <c r="R6" s="367">
        <f ca="1">SUMIF('数据-汇总表'!C$19:C$33,A6,'数据-汇总表'!R$19:R$27)</f>
        <v>7774.02</v>
      </c>
      <c r="S6" s="343">
        <f>IF('数据-汇总表'!$I$17="按面积比例",SUMIF('数据-汇总表'!C$19:C$33,A6,'数据-汇总表'!K$19:K$33),SUMIF('数据-汇总表'!C$19:C$33,A6,'数据-汇总表'!N$19:N$33))</f>
        <v>0</v>
      </c>
      <c r="T6" s="2891">
        <f>ROUND($L$14*S6/10000,0)</f>
        <v>0</v>
      </c>
      <c r="U6" s="368">
        <f>租约!A7</f>
        <v>2.8</v>
      </c>
      <c r="V6" s="369">
        <f>租约!G2</f>
        <v>0.02</v>
      </c>
      <c r="W6" s="369">
        <v>0.1</v>
      </c>
      <c r="X6" s="2507"/>
      <c r="Y6" s="370">
        <f>N6</f>
        <v>0.9</v>
      </c>
      <c r="Z6" s="371"/>
      <c r="AA6" s="364"/>
      <c r="AB6" s="364"/>
      <c r="AC6" s="2507"/>
      <c r="AD6" s="372"/>
      <c r="AE6" s="2508">
        <f ca="1">IF(AN6="",0,SUMIF(INDIRECT("'"&amp;AN6&amp;"'"&amp;"!E:E"),$AE$5,INDIRECT("'"&amp;AN6&amp;"'"&amp;"!F:F")))</f>
        <v>26.5</v>
      </c>
      <c r="AF6" s="352"/>
      <c r="AG6" s="478">
        <f>IF(AF6="",0,AE6-AF6)</f>
        <v>0</v>
      </c>
      <c r="AH6" s="373"/>
      <c r="AI6" s="375">
        <v>365</v>
      </c>
      <c r="AJ6" s="376"/>
      <c r="AK6" s="377">
        <v>1.4999999999999999E-2</v>
      </c>
      <c r="AL6" s="378">
        <v>1.5E-3</v>
      </c>
      <c r="AM6" s="379">
        <v>1.4999999999999999E-2</v>
      </c>
      <c r="AN6" s="2577" t="s">
        <v>3067</v>
      </c>
      <c r="AO6" s="344">
        <f ca="1">SUMIF(INDIRECT("'"&amp;AN6&amp;"'"&amp;"!A:A"),"总价",INDIRECT("'"&amp;AN6&amp;"'"&amp;"!B:B"))</f>
        <v>45525</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533</v>
      </c>
      <c r="B14" s="2494" t="s">
        <v>532</v>
      </c>
      <c r="C14" s="2495" t="s">
        <v>533</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2384</v>
      </c>
      <c r="B15" s="2494" t="s">
        <v>532</v>
      </c>
      <c r="C15" s="2495" t="s">
        <v>2089</v>
      </c>
      <c r="D15" s="2058"/>
      <c r="E15" s="2052"/>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0.85899999999999999</v>
      </c>
      <c r="H16" s="389">
        <f>ROUND(SUMPRODUCT(H6:H13,K6:K13)/SUMPRODUCT((H6:H13&gt;0)*(K6:K13)),3)</f>
        <v>5.5E-2</v>
      </c>
      <c r="I16" s="390"/>
      <c r="J16" s="390"/>
      <c r="K16" s="391">
        <f>SUM(K6:K15)</f>
        <v>37870.639999999999</v>
      </c>
      <c r="L16" s="392">
        <f>ROUND(M16*10000/SUM(K6:K14),0)</f>
        <v>2600</v>
      </c>
      <c r="M16" s="392">
        <f>SUM(M6:M14)</f>
        <v>9846</v>
      </c>
      <c r="N16" s="393">
        <f>ROUND(SUMPRODUCT(M6:M14,N6:N14)/M16,3)</f>
        <v>0.9</v>
      </c>
      <c r="O16" s="392">
        <f>SUM(O6:O14)</f>
        <v>0</v>
      </c>
      <c r="P16" s="392">
        <f>SUM(P6:P14)</f>
        <v>0</v>
      </c>
      <c r="Q16" s="394">
        <f>ROUND(SUMPRODUCT(Q6:Q13,K6:K13)/SUMPRODUCT((Q6:Q13&gt;0)*(K6:K13)),2)</f>
        <v>0.2</v>
      </c>
      <c r="R16" s="2501">
        <f ca="1">SUM(R6:R13)</f>
        <v>7774.02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1</v>
      </c>
      <c r="C20" s="2233" t="s">
        <v>2401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290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2678</v>
      </c>
      <c r="B29" s="411"/>
      <c r="C29" s="2529" t="s">
        <v>2679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0.05</v>
      </c>
      <c r="C33" s="3287" t="s">
        <v>2989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87" t="s">
        <v>2990</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200</v>
      </c>
      <c r="C35" s="3287" t="s">
        <v>2991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87" t="s">
        <v>2992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0.03</v>
      </c>
      <c r="C37" s="3287" t="s">
        <v>2993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0.03</v>
      </c>
      <c r="C38" s="3287" t="s">
        <v>2993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2605</v>
      </c>
      <c r="B40" s="2637">
        <f ca="1">存贷款利率!G1</f>
        <v>4.3499999999999997E-2</v>
      </c>
      <c r="C40" s="2531" t="s">
        <v>537</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2">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87" t="s">
        <v>2995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88" t="s">
        <v>2994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88" t="s">
        <v>3022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v>0</v>
      </c>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0.03</v>
      </c>
      <c r="C48" s="3310" t="s">
        <v>3023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0" t="s">
        <v>3024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20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1223</v>
      </c>
      <c r="C53" s="2235" t="s">
        <v>2996</v>
      </c>
      <c r="D53" s="2238" t="s">
        <v>3000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162</v>
      </c>
      <c r="B54" s="374">
        <v>20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163</v>
      </c>
      <c r="B55" s="374">
        <v>16</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158</v>
      </c>
      <c r="B56" s="374">
        <v>12</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159</v>
      </c>
      <c r="B57" s="374">
        <v>10</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160</v>
      </c>
      <c r="B58" s="374">
        <v>8</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161</v>
      </c>
      <c r="B59" s="374">
        <v>6</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v>4</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2997</v>
      </c>
      <c r="B61" s="374">
        <v>2</v>
      </c>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72" t="s">
        <v>748</v>
      </c>
      <c r="B1" s="3473"/>
      <c r="C1" s="3473"/>
      <c r="D1" s="3473"/>
      <c r="E1" s="3473"/>
      <c r="F1" s="3473"/>
      <c r="G1" s="347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749</v>
      </c>
      <c r="D2" s="1212"/>
      <c r="E2" s="1213"/>
      <c r="F2" s="1200"/>
      <c r="G2" s="1211" t="s">
        <v>750</v>
      </c>
      <c r="H2" s="2256"/>
      <c r="I2" s="2256"/>
      <c r="J2" s="2256"/>
      <c r="K2" s="2256"/>
      <c r="L2" s="2256"/>
      <c r="M2" s="2256"/>
      <c r="N2" s="2256"/>
      <c r="O2" s="2256"/>
      <c r="P2" s="2256"/>
      <c r="Q2" s="2256"/>
      <c r="R2" s="2256"/>
    </row>
    <row r="3" spans="1:29" ht="54">
      <c r="A3" s="1021" t="s">
        <v>751</v>
      </c>
      <c r="B3" s="51" t="s">
        <v>52</v>
      </c>
      <c r="C3" s="3289" t="s">
        <v>752</v>
      </c>
      <c r="D3" s="2257"/>
      <c r="E3" s="1030" t="s">
        <v>751</v>
      </c>
      <c r="F3" s="1214" t="s">
        <v>96</v>
      </c>
      <c r="G3" s="3293" t="s">
        <v>3002</v>
      </c>
      <c r="H3" s="2256"/>
      <c r="I3" s="2256"/>
      <c r="J3" s="2256"/>
      <c r="K3" s="2256"/>
      <c r="L3" s="2256"/>
      <c r="M3" s="2256"/>
      <c r="N3" s="2256"/>
      <c r="O3" s="2256"/>
      <c r="P3" s="2256"/>
      <c r="Q3" s="2256"/>
      <c r="R3" s="2256"/>
    </row>
    <row r="4" spans="1:29" ht="67.5">
      <c r="A4" s="1030"/>
      <c r="B4" s="2212" t="s">
        <v>753</v>
      </c>
      <c r="C4" s="3290" t="s">
        <v>3104</v>
      </c>
      <c r="D4" s="2257"/>
      <c r="E4" s="1215"/>
      <c r="F4" s="2216" t="s">
        <v>754</v>
      </c>
      <c r="G4" s="3291" t="s">
        <v>755</v>
      </c>
      <c r="H4" s="2256"/>
      <c r="I4" s="2256"/>
      <c r="J4" s="2256"/>
      <c r="K4" s="2256"/>
      <c r="L4" s="2256"/>
      <c r="M4" s="2256"/>
      <c r="N4" s="2256"/>
      <c r="O4" s="2256"/>
      <c r="P4" s="2256"/>
      <c r="Q4" s="2256"/>
      <c r="R4" s="2256"/>
    </row>
    <row r="5" spans="1:29" ht="40.5">
      <c r="A5" s="1030"/>
      <c r="B5" s="2212" t="s">
        <v>756</v>
      </c>
      <c r="C5" s="3290" t="s">
        <v>3105</v>
      </c>
      <c r="D5" s="2257"/>
      <c r="E5" s="1215"/>
      <c r="F5" s="2745" t="s">
        <v>2621</v>
      </c>
      <c r="G5" s="3291" t="s">
        <v>2623</v>
      </c>
      <c r="H5" s="2256"/>
      <c r="I5" s="2256"/>
      <c r="J5" s="2256"/>
      <c r="K5" s="2256"/>
      <c r="L5" s="2256"/>
      <c r="M5" s="2256"/>
      <c r="N5" s="2256"/>
      <c r="O5" s="2256"/>
      <c r="P5" s="2256"/>
      <c r="Q5" s="2256"/>
      <c r="R5" s="2256"/>
    </row>
    <row r="6" spans="1:29" ht="67.5">
      <c r="A6" s="1030"/>
      <c r="B6" s="2212" t="s">
        <v>69</v>
      </c>
      <c r="C6" s="3291" t="s">
        <v>3106</v>
      </c>
      <c r="D6" s="2257"/>
      <c r="E6" s="1215"/>
      <c r="F6" s="2745" t="s">
        <v>2620</v>
      </c>
      <c r="G6" s="3291" t="s">
        <v>2622</v>
      </c>
      <c r="H6" s="2256"/>
      <c r="I6" s="2256"/>
      <c r="J6" s="2256"/>
      <c r="K6" s="2256"/>
      <c r="L6" s="2256"/>
      <c r="M6" s="2256"/>
      <c r="N6" s="2256"/>
      <c r="O6" s="2256"/>
      <c r="P6" s="2256"/>
      <c r="Q6" s="2256"/>
      <c r="R6" s="2256"/>
    </row>
    <row r="7" spans="1:29" ht="41.25" thickBot="1">
      <c r="A7" s="1030"/>
      <c r="B7" s="2212" t="s">
        <v>2621</v>
      </c>
      <c r="C7" s="3291" t="s">
        <v>3107</v>
      </c>
      <c r="D7" s="2258"/>
      <c r="E7" s="1216"/>
      <c r="F7" s="1217" t="s">
        <v>734</v>
      </c>
      <c r="G7" s="3294" t="s">
        <v>3003</v>
      </c>
      <c r="H7" s="2256"/>
      <c r="I7" s="2256"/>
      <c r="J7" s="2256"/>
      <c r="K7" s="2256"/>
      <c r="L7" s="2256"/>
      <c r="M7" s="2256"/>
      <c r="N7" s="2256"/>
      <c r="O7" s="2256"/>
      <c r="P7" s="2256"/>
      <c r="Q7" s="2256"/>
      <c r="R7" s="2256"/>
    </row>
    <row r="8" spans="1:29" ht="27">
      <c r="A8" s="1030"/>
      <c r="B8" s="2745" t="s">
        <v>2620</v>
      </c>
      <c r="C8" s="3291" t="s">
        <v>3108</v>
      </c>
      <c r="D8" s="2258"/>
      <c r="E8" s="2258"/>
      <c r="F8" s="2259"/>
      <c r="G8" s="2259"/>
      <c r="H8" s="2256"/>
      <c r="I8" s="2256"/>
      <c r="J8" s="2256"/>
      <c r="K8" s="2256"/>
      <c r="L8" s="2256"/>
      <c r="M8" s="2256"/>
      <c r="N8" s="2256"/>
      <c r="O8" s="2256"/>
      <c r="P8" s="2256"/>
      <c r="Q8" s="2256"/>
      <c r="R8" s="2256"/>
    </row>
    <row r="9" spans="1:29" ht="81">
      <c r="A9" s="1030"/>
      <c r="B9" s="2212" t="s">
        <v>70</v>
      </c>
      <c r="C9" s="3290" t="s">
        <v>3109</v>
      </c>
      <c r="D9" s="2257"/>
      <c r="E9" s="2258"/>
      <c r="F9" s="2259"/>
      <c r="G9" s="2259"/>
      <c r="H9" s="2256"/>
      <c r="I9" s="2256"/>
      <c r="J9" s="2256"/>
      <c r="K9" s="2256"/>
      <c r="L9" s="2256"/>
      <c r="M9" s="2256"/>
      <c r="N9" s="2256"/>
      <c r="O9" s="2256"/>
      <c r="P9" s="2256"/>
      <c r="Q9" s="2256"/>
      <c r="R9" s="2256"/>
    </row>
    <row r="10" spans="1:29" s="40" customFormat="1" ht="14.25" thickBot="1">
      <c r="A10" s="1219"/>
      <c r="B10" s="1220" t="s">
        <v>735</v>
      </c>
      <c r="C10" s="3292" t="s">
        <v>3110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1"/>
      <c r="B14" s="1222"/>
      <c r="C14" s="1223" t="s">
        <v>737</v>
      </c>
      <c r="D14" s="2257"/>
      <c r="E14" s="1224"/>
      <c r="F14" s="1224"/>
      <c r="G14" s="1211" t="s">
        <v>738</v>
      </c>
    </row>
    <row r="15" spans="1:29" ht="54">
      <c r="A15" s="46" t="s">
        <v>739</v>
      </c>
      <c r="B15" s="14" t="s">
        <v>52</v>
      </c>
      <c r="C15" s="1225" t="str">
        <f>C3</f>
        <v>估价对象周边居住用地比例、居住小区规模和社区发展完善程度，综合评价居住社区成熟度一般</v>
      </c>
      <c r="D15" s="2257"/>
      <c r="E15" s="2758" t="s">
        <v>740</v>
      </c>
      <c r="F15" s="14" t="s">
        <v>741</v>
      </c>
      <c r="G15" s="1023" t="str">
        <f>G3</f>
        <v>估价对象位于XX开发区，园区建设成熟度XX，产业集聚程度XX</v>
      </c>
    </row>
    <row r="16" spans="1:29" ht="67.5">
      <c r="A16" s="2761"/>
      <c r="B16" s="1226" t="s">
        <v>742</v>
      </c>
      <c r="C16" s="1227" t="str">
        <f>C4</f>
        <v>估价对象位于西部建材城，周边商业大多为建材商业，商业氛围成熟一般，人流量一般，商业繁华度一般。</v>
      </c>
      <c r="D16" s="2257"/>
      <c r="E16" s="2759"/>
      <c r="F16" s="1228" t="s">
        <v>743</v>
      </c>
      <c r="G16" s="1025" t="str">
        <f>G4</f>
        <v>估价对象周边道路状况、公共交通通达情况、停车便捷程度，综合评价交通便捷度较好</v>
      </c>
    </row>
    <row r="17" spans="1:18" ht="40.5">
      <c r="A17" s="2761"/>
      <c r="B17" s="1226" t="s">
        <v>744</v>
      </c>
      <c r="C17" s="1227" t="str">
        <f>C5</f>
        <v>估价对象位于XX商圈，周边办公楼项目较多，入驻率高，办公集聚程度较好</v>
      </c>
      <c r="D17" s="2258"/>
      <c r="E17" s="2759"/>
      <c r="F17" s="1228" t="s">
        <v>745</v>
      </c>
      <c r="G17" s="271"/>
    </row>
    <row r="18" spans="1:18" ht="67.5">
      <c r="A18" s="2761"/>
      <c r="B18" s="1228" t="s">
        <v>69</v>
      </c>
      <c r="C18" s="1025" t="str">
        <f>C6</f>
        <v>估价对象周边有559路、575路等多条公交线路，临近轻轨园博园站，停车便捷程度较好，综合评价交通便捷度较好。</v>
      </c>
      <c r="D18" s="2258"/>
      <c r="E18" s="2759"/>
      <c r="F18" s="1228" t="s">
        <v>734</v>
      </c>
      <c r="G18" s="1025" t="str">
        <f>G7</f>
        <v>该园区内是否有污染型企业，绿化情况，卫生条件，整体环境状况判断</v>
      </c>
    </row>
    <row r="19" spans="1:18" ht="27">
      <c r="A19" s="2761"/>
      <c r="B19" s="1228" t="s">
        <v>88</v>
      </c>
      <c r="C19" s="271"/>
      <c r="D19" s="2257"/>
      <c r="E19" s="2759"/>
      <c r="F19" s="2745" t="s">
        <v>2621</v>
      </c>
      <c r="G19" s="1025" t="str">
        <f>G5</f>
        <v>估价对象所在区域公共配套设施齐备情况</v>
      </c>
    </row>
    <row r="20" spans="1:18" ht="81">
      <c r="A20" s="2761"/>
      <c r="B20" s="1228" t="s">
        <v>87</v>
      </c>
      <c r="C20" s="1227" t="str">
        <f>C9</f>
        <v>估价对象所在区域有重庆园博园，自然环境较好；所在区域有宝林博物馆、会仙阁艺术馆，人文环境较好；综合评价环境状况较好。</v>
      </c>
      <c r="D20" s="2258"/>
      <c r="E20" s="2759"/>
      <c r="F20" s="2745" t="s">
        <v>2620</v>
      </c>
      <c r="G20" s="1025" t="str">
        <f>G6</f>
        <v>估价对象所在区域基础设施水平</v>
      </c>
    </row>
    <row r="21" spans="1:18" ht="27">
      <c r="A21" s="2761"/>
      <c r="B21" s="2745" t="s">
        <v>2621</v>
      </c>
      <c r="C21" s="1025" t="str">
        <f>C7</f>
        <v>估价对象所在区域公共配套设施齐备情况较好。</v>
      </c>
      <c r="D21" s="2257"/>
      <c r="E21" s="2759"/>
      <c r="F21" s="1228" t="s">
        <v>86</v>
      </c>
      <c r="G21" s="283"/>
    </row>
    <row r="22" spans="1:18" ht="13.5" customHeight="1">
      <c r="A22" s="2761"/>
      <c r="B22" s="2745" t="s">
        <v>2620</v>
      </c>
      <c r="C22" s="1025" t="str">
        <f>C8</f>
        <v>估价对象所在区域基础设施水平达“六通”。</v>
      </c>
      <c r="D22" s="2257"/>
      <c r="E22" s="2759"/>
      <c r="F22" s="1228" t="s">
        <v>746</v>
      </c>
      <c r="G22" s="271"/>
    </row>
    <row r="23" spans="1:18" s="2256" customFormat="1" ht="14.25" thickBot="1">
      <c r="A23" s="2761"/>
      <c r="B23" s="1228" t="s">
        <v>86</v>
      </c>
      <c r="C23" s="283"/>
      <c r="D23" s="2269"/>
      <c r="E23" s="2760"/>
      <c r="F23" s="1229" t="s">
        <v>747</v>
      </c>
      <c r="G23" s="284"/>
      <c r="H23" s="2269"/>
      <c r="I23" s="2270"/>
      <c r="J23" s="2269"/>
      <c r="K23" s="2269"/>
      <c r="L23" s="2270"/>
      <c r="M23" s="2269"/>
      <c r="N23" s="2269"/>
      <c r="O23" s="2270"/>
      <c r="P23" s="2269"/>
      <c r="Q23" s="2269"/>
      <c r="R23" s="2271"/>
    </row>
    <row r="24" spans="1:18" s="2256" customFormat="1" ht="14.25" thickBot="1">
      <c r="A24" s="2762"/>
      <c r="B24" s="1229" t="s">
        <v>85</v>
      </c>
      <c r="C24" s="1230" t="str">
        <f>C10</f>
        <v>城市主干道—金开大道</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2972</v>
      </c>
      <c r="B1" s="3255">
        <f>SUM(B14:B23)</f>
        <v>37870.639999999999</v>
      </c>
      <c r="C1" s="3254"/>
      <c r="D1" s="3254"/>
      <c r="E1" s="3254"/>
      <c r="F1" s="3254"/>
      <c r="G1" s="3252"/>
    </row>
    <row r="2" spans="1:10" ht="16.5">
      <c r="A2" s="3255" t="s">
        <v>2960</v>
      </c>
      <c r="B2" s="3255">
        <f>SUM(C14:C23)</f>
        <v>7774.02</v>
      </c>
      <c r="C2" s="3254"/>
      <c r="D2" s="3254"/>
      <c r="E2" s="3254"/>
      <c r="F2" s="3254"/>
      <c r="G2" s="3252"/>
    </row>
    <row r="3" spans="1:10" ht="16.5">
      <c r="A3" s="3255" t="s">
        <v>2969</v>
      </c>
      <c r="B3" s="3256">
        <f>项目基本情况!D3</f>
        <v>43026</v>
      </c>
      <c r="C3" s="3254"/>
      <c r="D3" s="3254"/>
      <c r="E3" s="3254"/>
      <c r="F3" s="3254"/>
      <c r="G3" s="3252"/>
    </row>
    <row r="4" spans="1:10" ht="33">
      <c r="A4" s="3255" t="s">
        <v>2968</v>
      </c>
      <c r="B4" s="3255" t="s">
        <v>2967</v>
      </c>
      <c r="C4" s="3255" t="s">
        <v>2966</v>
      </c>
      <c r="D4" s="3255" t="s">
        <v>2965</v>
      </c>
      <c r="E4" s="3254"/>
      <c r="F4" s="3252"/>
      <c r="G4" s="3252"/>
    </row>
    <row r="5" spans="1:10" ht="16.5">
      <c r="A5" s="3255" t="s">
        <v>2964</v>
      </c>
      <c r="B5" s="3255">
        <f ca="1">SUM(D14:D23)</f>
        <v>56443</v>
      </c>
      <c r="C5" s="3255">
        <f ca="1">ROUND(B5*10000/$B$1,0)</f>
        <v>14904</v>
      </c>
      <c r="D5" s="3255">
        <f ca="1">ROUND(B5*10000/$B$2,0)</f>
        <v>72605</v>
      </c>
      <c r="E5" s="3254"/>
      <c r="F5" s="3252"/>
      <c r="G5" s="3252"/>
    </row>
    <row r="6" spans="1:10" ht="16.5">
      <c r="A6" s="3255" t="s">
        <v>2963</v>
      </c>
      <c r="B6" s="3255">
        <f ca="1">SUM(G14:G23)</f>
        <v>56443</v>
      </c>
      <c r="C6" s="3255">
        <f ca="1">ROUND(B6*10000/$B$1,0)</f>
        <v>14904</v>
      </c>
      <c r="D6" s="3255">
        <f ca="1">ROUND(B6*10000/$B$2,0)</f>
        <v>72605</v>
      </c>
      <c r="E6" s="3254"/>
      <c r="F6" s="3252"/>
      <c r="G6" s="3252"/>
    </row>
    <row r="7" spans="1:10" ht="16.5">
      <c r="A7" s="3255" t="s">
        <v>2971</v>
      </c>
      <c r="B7" s="3255">
        <f>SUM(H14:H23)</f>
        <v>0</v>
      </c>
      <c r="C7" s="3255">
        <f>ROUND(B7*10000/$B$1,0)</f>
        <v>0</v>
      </c>
      <c r="D7" s="3255">
        <f>ROUND(B7*10000/$B$2,0)</f>
        <v>0</v>
      </c>
      <c r="E7" s="3254"/>
      <c r="F7" s="3252"/>
      <c r="G7" s="3252"/>
    </row>
    <row r="8" spans="1:10" ht="16.5">
      <c r="A8" s="3255" t="s">
        <v>2861</v>
      </c>
      <c r="B8" s="3255">
        <f>SUM(I14:I23)</f>
        <v>0</v>
      </c>
      <c r="C8" s="3255">
        <f>ROUND(B8*10000/$B$1,0)</f>
        <v>0</v>
      </c>
      <c r="D8" s="3255">
        <f>ROUND(B8*10000/$B$2,0)</f>
        <v>0</v>
      </c>
      <c r="E8" s="3254"/>
      <c r="F8" s="3252"/>
      <c r="G8" s="3252"/>
    </row>
    <row r="9" spans="1:10" ht="16.5">
      <c r="A9" s="3255" t="s">
        <v>2962</v>
      </c>
      <c r="B9" s="3257"/>
      <c r="C9" s="3254"/>
      <c r="D9" s="3254"/>
      <c r="E9" s="3254"/>
      <c r="F9" s="3252"/>
      <c r="G9" s="3252"/>
    </row>
    <row r="10" spans="1:10" ht="16.5">
      <c r="A10" s="3255" t="s">
        <v>2961</v>
      </c>
      <c r="B10" s="3257"/>
      <c r="C10" s="3254"/>
      <c r="D10" s="3254"/>
      <c r="E10" s="3254"/>
      <c r="F10" s="3252"/>
      <c r="G10" s="3252"/>
    </row>
    <row r="11" spans="1:10" ht="16.5">
      <c r="A11" s="3255" t="s">
        <v>2977</v>
      </c>
      <c r="B11" s="3257"/>
      <c r="C11" s="3254"/>
      <c r="D11" s="3254"/>
      <c r="E11" s="3254"/>
      <c r="F11" s="3252"/>
      <c r="G11" s="3252"/>
    </row>
    <row r="12" spans="1:10" ht="16.5">
      <c r="A12" s="3254"/>
      <c r="B12" s="3254"/>
      <c r="C12" s="3254"/>
      <c r="D12" s="3254"/>
      <c r="E12" s="3254"/>
      <c r="F12" s="3252"/>
      <c r="G12" s="3252"/>
    </row>
    <row r="13" spans="1:10" ht="33">
      <c r="A13" s="3260" t="s">
        <v>2976</v>
      </c>
      <c r="B13" s="3253" t="s">
        <v>2973</v>
      </c>
      <c r="C13" s="3253" t="s">
        <v>2975</v>
      </c>
      <c r="D13" s="3253" t="s">
        <v>2974</v>
      </c>
      <c r="E13" s="3255" t="s">
        <v>2966</v>
      </c>
      <c r="F13" s="3255" t="s">
        <v>2965</v>
      </c>
      <c r="G13" s="3253" t="s">
        <v>2959</v>
      </c>
      <c r="H13" s="3253" t="s">
        <v>2970</v>
      </c>
      <c r="I13" s="3253" t="s">
        <v>2958</v>
      </c>
      <c r="J13" s="3252"/>
    </row>
    <row r="14" spans="1:10" ht="16.5">
      <c r="A14" s="3251" t="s">
        <v>2957</v>
      </c>
      <c r="B14" s="3253">
        <f>'数据-汇总表'!E3</f>
        <v>37870.639999999999</v>
      </c>
      <c r="C14" s="3253">
        <f>'数据-汇总表'!D3</f>
        <v>7774.02</v>
      </c>
      <c r="D14" s="3253">
        <f ca="1">结果表!H118</f>
        <v>56443</v>
      </c>
      <c r="E14" s="3253">
        <f ca="1">ROUND(D14*10000/B14,0)</f>
        <v>14904</v>
      </c>
      <c r="F14" s="3253">
        <f ca="1">ROUND(D14*10000/C14,0)</f>
        <v>72605</v>
      </c>
      <c r="G14" s="3253">
        <f ca="1">结果表!D122</f>
        <v>56443</v>
      </c>
      <c r="H14" s="3253" t="str">
        <f>结果表!D124</f>
        <v>——</v>
      </c>
      <c r="I14" s="3253" t="str">
        <f>结果表!D126</f>
        <v>——</v>
      </c>
      <c r="J14" s="3252"/>
    </row>
    <row r="15" spans="1:10" ht="16.5">
      <c r="A15" s="3251" t="s">
        <v>2956</v>
      </c>
      <c r="B15" s="3258"/>
      <c r="C15" s="3258"/>
      <c r="D15" s="3258"/>
      <c r="E15" s="3253" t="e">
        <f t="shared" ref="E15:E23" si="0">ROUND(D15*10000/B15,0)</f>
        <v>#DIV/0!</v>
      </c>
      <c r="F15" s="3253" t="e">
        <f t="shared" ref="F15:F23" si="1">ROUND(D15*10000/C15,0)</f>
        <v>#DIV/0!</v>
      </c>
      <c r="G15" s="3259"/>
      <c r="H15" s="3259"/>
      <c r="I15" s="3258"/>
      <c r="J15" s="3252"/>
    </row>
    <row r="16" spans="1:10" ht="16.5">
      <c r="A16" s="3251" t="s">
        <v>2955</v>
      </c>
      <c r="B16" s="3258"/>
      <c r="C16" s="3258"/>
      <c r="D16" s="3258"/>
      <c r="E16" s="3253" t="e">
        <f t="shared" si="0"/>
        <v>#DIV/0!</v>
      </c>
      <c r="F16" s="3253" t="e">
        <f t="shared" si="1"/>
        <v>#DIV/0!</v>
      </c>
      <c r="G16" s="3259"/>
      <c r="H16" s="3259"/>
      <c r="I16" s="3258"/>
    </row>
    <row r="17" spans="1:9" ht="16.5">
      <c r="A17" s="3251" t="s">
        <v>2954</v>
      </c>
      <c r="B17" s="3258"/>
      <c r="C17" s="3258"/>
      <c r="D17" s="3258"/>
      <c r="E17" s="3253" t="e">
        <f t="shared" si="0"/>
        <v>#DIV/0!</v>
      </c>
      <c r="F17" s="3253" t="e">
        <f t="shared" si="1"/>
        <v>#DIV/0!</v>
      </c>
      <c r="G17" s="3259"/>
      <c r="H17" s="3259"/>
      <c r="I17" s="3258"/>
    </row>
    <row r="18" spans="1:9" ht="16.5">
      <c r="A18" s="3251" t="s">
        <v>2953</v>
      </c>
      <c r="B18" s="3258"/>
      <c r="C18" s="3258"/>
      <c r="D18" s="3258"/>
      <c r="E18" s="3253" t="e">
        <f t="shared" si="0"/>
        <v>#DIV/0!</v>
      </c>
      <c r="F18" s="3253" t="e">
        <f t="shared" si="1"/>
        <v>#DIV/0!</v>
      </c>
      <c r="G18" s="3258"/>
      <c r="H18" s="3258"/>
      <c r="I18" s="3258"/>
    </row>
    <row r="19" spans="1:9" ht="16.5">
      <c r="A19" s="3251" t="s">
        <v>2952</v>
      </c>
      <c r="B19" s="3258"/>
      <c r="C19" s="3258"/>
      <c r="D19" s="3258"/>
      <c r="E19" s="3253" t="e">
        <f t="shared" si="0"/>
        <v>#DIV/0!</v>
      </c>
      <c r="F19" s="3253" t="e">
        <f t="shared" si="1"/>
        <v>#DIV/0!</v>
      </c>
      <c r="G19" s="3258"/>
      <c r="H19" s="3258"/>
      <c r="I19" s="3258"/>
    </row>
    <row r="20" spans="1:9" ht="16.5">
      <c r="A20" s="3251" t="s">
        <v>2951</v>
      </c>
      <c r="B20" s="3258"/>
      <c r="C20" s="3258"/>
      <c r="D20" s="3258"/>
      <c r="E20" s="3253" t="e">
        <f t="shared" si="0"/>
        <v>#DIV/0!</v>
      </c>
      <c r="F20" s="3253" t="e">
        <f t="shared" si="1"/>
        <v>#DIV/0!</v>
      </c>
      <c r="G20" s="3258"/>
      <c r="H20" s="3258"/>
      <c r="I20" s="3258"/>
    </row>
    <row r="21" spans="1:9" ht="16.5">
      <c r="A21" s="3251" t="s">
        <v>2950</v>
      </c>
      <c r="B21" s="3258"/>
      <c r="C21" s="3258"/>
      <c r="D21" s="3258"/>
      <c r="E21" s="3253" t="e">
        <f t="shared" si="0"/>
        <v>#DIV/0!</v>
      </c>
      <c r="F21" s="3253" t="e">
        <f t="shared" si="1"/>
        <v>#DIV/0!</v>
      </c>
      <c r="G21" s="3258"/>
      <c r="H21" s="3258"/>
      <c r="I21" s="3258"/>
    </row>
    <row r="22" spans="1:9" ht="16.5">
      <c r="A22" s="3251" t="s">
        <v>2949</v>
      </c>
      <c r="B22" s="3258"/>
      <c r="C22" s="3258"/>
      <c r="D22" s="3258"/>
      <c r="E22" s="3253" t="e">
        <f t="shared" si="0"/>
        <v>#DIV/0!</v>
      </c>
      <c r="F22" s="3253" t="e">
        <f t="shared" si="1"/>
        <v>#DIV/0!</v>
      </c>
      <c r="G22" s="3258"/>
      <c r="H22" s="3258"/>
      <c r="I22" s="3258"/>
    </row>
    <row r="23" spans="1:9" ht="16.5">
      <c r="A23" s="3251" t="s">
        <v>2948</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I22" sqref="I22"/>
    </sheetView>
  </sheetViews>
  <sheetFormatPr defaultColWidth="12.625" defaultRowHeight="21.75" customHeight="1"/>
  <cols>
    <col min="1" max="1" width="12.625" style="1244"/>
    <col min="2" max="2" width="14.875" style="1244" customWidth="1"/>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8"/>
      <c r="D1" s="1243"/>
      <c r="E1" s="1243"/>
      <c r="F1" s="2082" t="s">
        <v>2098</v>
      </c>
      <c r="G1" s="2056" t="s">
        <v>3092</v>
      </c>
      <c r="H1" s="2111" t="str">
        <f>IF(G1="现房","——","估价对象范围")</f>
        <v>——</v>
      </c>
      <c r="I1" s="2088" t="s">
        <v>528</v>
      </c>
    </row>
    <row r="2" spans="1:12" ht="21.75" customHeight="1" thickBot="1">
      <c r="A2" s="3551" t="str">
        <f>项目基本情况!S2</f>
        <v>重庆市北部新区金开大道1226号第三层房地产</v>
      </c>
      <c r="B2" s="3552"/>
      <c r="C2" s="3552"/>
      <c r="D2" s="3552"/>
      <c r="E2" s="3552"/>
      <c r="F2" s="3552"/>
      <c r="G2" s="3552"/>
      <c r="H2" s="3552"/>
      <c r="I2" s="3553"/>
    </row>
    <row r="3" spans="1:12" ht="12">
      <c r="A3" s="3555" t="s">
        <v>10</v>
      </c>
      <c r="B3" s="3556"/>
      <c r="C3" s="3556"/>
      <c r="D3" s="3556"/>
      <c r="E3" s="3556"/>
      <c r="F3" s="3556"/>
      <c r="G3" s="3556"/>
      <c r="H3" s="3556"/>
      <c r="I3" s="3556"/>
    </row>
    <row r="4" spans="1:12" ht="13.5">
      <c r="A4" s="429" t="s">
        <v>11</v>
      </c>
      <c r="B4" s="430" t="s">
        <v>12</v>
      </c>
      <c r="C4" s="431" t="s">
        <v>3070</v>
      </c>
      <c r="D4" s="431" t="s">
        <v>3067</v>
      </c>
      <c r="E4" s="3560" t="s">
        <v>758</v>
      </c>
      <c r="F4" s="3561"/>
      <c r="G4" s="3561"/>
      <c r="H4" s="3561"/>
      <c r="I4" s="3562"/>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26" t="s">
        <v>13</v>
      </c>
      <c r="B5" s="3554">
        <v>25</v>
      </c>
      <c r="C5" s="3557"/>
      <c r="D5" s="3544"/>
      <c r="E5" s="471" t="s">
        <v>800</v>
      </c>
      <c r="F5" s="432"/>
      <c r="G5" s="432"/>
      <c r="H5" s="432"/>
      <c r="I5" s="433"/>
    </row>
    <row r="6" spans="1:12" ht="12.75">
      <c r="A6" s="3526"/>
      <c r="B6" s="3554"/>
      <c r="C6" s="3559"/>
      <c r="D6" s="3544"/>
      <c r="E6" s="471" t="s">
        <v>801</v>
      </c>
      <c r="F6" s="432"/>
      <c r="G6" s="432"/>
      <c r="H6" s="432"/>
      <c r="I6" s="433"/>
    </row>
    <row r="7" spans="1:12" ht="12.75">
      <c r="A7" s="3526"/>
      <c r="B7" s="3554"/>
      <c r="C7" s="3558"/>
      <c r="D7" s="3544"/>
      <c r="E7" s="471" t="s">
        <v>802</v>
      </c>
      <c r="F7" s="432"/>
      <c r="G7" s="432"/>
      <c r="H7" s="432"/>
      <c r="I7" s="433"/>
    </row>
    <row r="8" spans="1:12" ht="12.75">
      <c r="A8" s="3526" t="s">
        <v>14</v>
      </c>
      <c r="B8" s="3554">
        <v>15</v>
      </c>
      <c r="C8" s="3557"/>
      <c r="D8" s="3544"/>
      <c r="E8" s="471" t="s">
        <v>803</v>
      </c>
      <c r="F8" s="432"/>
      <c r="G8" s="432"/>
      <c r="H8" s="432"/>
      <c r="I8" s="433"/>
    </row>
    <row r="9" spans="1:12" ht="12.75">
      <c r="A9" s="3526"/>
      <c r="B9" s="3554"/>
      <c r="C9" s="3558"/>
      <c r="D9" s="3544"/>
      <c r="E9" s="471" t="s">
        <v>804</v>
      </c>
      <c r="F9" s="432"/>
      <c r="G9" s="432"/>
      <c r="H9" s="432"/>
      <c r="I9" s="433"/>
    </row>
    <row r="10" spans="1:12" ht="12.75">
      <c r="A10" s="3526" t="s">
        <v>15</v>
      </c>
      <c r="B10" s="3554">
        <v>15</v>
      </c>
      <c r="C10" s="3557"/>
      <c r="D10" s="3544"/>
      <c r="E10" s="471" t="s">
        <v>805</v>
      </c>
      <c r="F10" s="432"/>
      <c r="G10" s="432"/>
      <c r="H10" s="432"/>
      <c r="I10" s="433"/>
    </row>
    <row r="11" spans="1:12" ht="12.75">
      <c r="A11" s="3526"/>
      <c r="B11" s="3554"/>
      <c r="C11" s="3558"/>
      <c r="D11" s="3544"/>
      <c r="E11" s="471" t="s">
        <v>806</v>
      </c>
      <c r="F11" s="432"/>
      <c r="G11" s="432"/>
      <c r="H11" s="432"/>
      <c r="I11" s="433"/>
    </row>
    <row r="12" spans="1:12" ht="12.75">
      <c r="A12" s="3526" t="s">
        <v>16</v>
      </c>
      <c r="B12" s="3554">
        <v>15</v>
      </c>
      <c r="C12" s="3557"/>
      <c r="D12" s="3544"/>
      <c r="E12" s="471" t="s">
        <v>807</v>
      </c>
      <c r="F12" s="432"/>
      <c r="G12" s="432"/>
      <c r="H12" s="432"/>
      <c r="I12" s="433"/>
    </row>
    <row r="13" spans="1:12" ht="12.75">
      <c r="A13" s="3526"/>
      <c r="B13" s="3554"/>
      <c r="C13" s="3558"/>
      <c r="D13" s="3544"/>
      <c r="E13" s="471" t="s">
        <v>808</v>
      </c>
      <c r="F13" s="432"/>
      <c r="G13" s="432"/>
      <c r="H13" s="432"/>
      <c r="I13" s="433"/>
    </row>
    <row r="14" spans="1:12" ht="12.75">
      <c r="A14" s="3526" t="s">
        <v>17</v>
      </c>
      <c r="B14" s="3554">
        <v>30</v>
      </c>
      <c r="C14" s="3557">
        <v>4</v>
      </c>
      <c r="D14" s="3544">
        <v>6</v>
      </c>
      <c r="E14" s="471" t="s">
        <v>809</v>
      </c>
      <c r="F14" s="432"/>
      <c r="G14" s="432"/>
      <c r="H14" s="432"/>
      <c r="I14" s="433"/>
    </row>
    <row r="15" spans="1:12" ht="12.75">
      <c r="A15" s="3526"/>
      <c r="B15" s="3554"/>
      <c r="C15" s="3559"/>
      <c r="D15" s="3544"/>
      <c r="E15" s="471" t="s">
        <v>810</v>
      </c>
      <c r="F15" s="432"/>
      <c r="G15" s="432"/>
      <c r="H15" s="432"/>
      <c r="I15" s="433"/>
    </row>
    <row r="16" spans="1:12" ht="12.75">
      <c r="A16" s="3526"/>
      <c r="B16" s="3554"/>
      <c r="C16" s="3558"/>
      <c r="D16" s="3544"/>
      <c r="E16" s="471" t="s">
        <v>811</v>
      </c>
      <c r="F16" s="432"/>
      <c r="G16" s="432"/>
      <c r="H16" s="432"/>
      <c r="I16" s="433"/>
    </row>
    <row r="17" spans="1:35" ht="14.25">
      <c r="A17" s="434" t="s">
        <v>18</v>
      </c>
      <c r="B17" s="38"/>
      <c r="C17" s="472">
        <f>SUM(C5:C16)</f>
        <v>4</v>
      </c>
      <c r="D17" s="472">
        <f>SUM(D5:D16)</f>
        <v>6</v>
      </c>
      <c r="E17" s="2277"/>
      <c r="F17" s="2277"/>
      <c r="G17" s="2277"/>
      <c r="H17" s="2277"/>
      <c r="I17" s="2277"/>
      <c r="K17" s="2184"/>
      <c r="L17" s="2185" t="s">
        <v>2306</v>
      </c>
      <c r="M17" s="2185" t="s">
        <v>2307</v>
      </c>
    </row>
    <row r="18" spans="1:35" ht="15" thickBot="1">
      <c r="A18" s="435" t="s">
        <v>19</v>
      </c>
      <c r="B18" s="18"/>
      <c r="C18" s="473">
        <f>ROUND(C17/SUM(C17:D17),2)</f>
        <v>0.4</v>
      </c>
      <c r="D18" s="473">
        <f>1-C18</f>
        <v>0.6</v>
      </c>
      <c r="E18" s="2277"/>
      <c r="F18" s="2277"/>
      <c r="G18" s="2277"/>
      <c r="H18" s="2277"/>
      <c r="I18" s="2277"/>
      <c r="K18" s="2184" t="s">
        <v>2120</v>
      </c>
      <c r="L18" s="2184">
        <f>IF(C1="",'数据-汇总表'!E3,SUMIF(项目类型,C1,'数据-汇总表'!E17:E26)+SUMIF(项目类型,C1,'数据-汇总表'!I17:I26))</f>
        <v>37870.639999999999</v>
      </c>
      <c r="M18" s="2184">
        <f>IF(C1="",'数据-汇总表'!E3,SUMIF(项目类型,C1,'数据-汇总表'!E17:E26))</f>
        <v>37870.639999999999</v>
      </c>
    </row>
    <row r="19" spans="1:35" ht="14.25">
      <c r="A19" s="436" t="s">
        <v>177</v>
      </c>
      <c r="B19" s="437" t="s">
        <v>20</v>
      </c>
      <c r="C19" s="474">
        <f ca="1">SUMIF(INDIRECT("'"&amp;C4&amp;"'"&amp;"!A:A"),结果表!B19,INDIRECT("'"&amp;C4&amp;"'"&amp;"!B:B"))</f>
        <v>72821</v>
      </c>
      <c r="D19" s="475">
        <f ca="1">SUMIF(INDIRECT("'"&amp;D4&amp;"'"&amp;"!A:A"),结果表!B19,INDIRECT("'"&amp;D4&amp;"'"&amp;"!B:B"))</f>
        <v>45525</v>
      </c>
      <c r="E19" s="436" t="s">
        <v>176</v>
      </c>
      <c r="F19" s="437" t="s">
        <v>20</v>
      </c>
      <c r="G19" s="476">
        <f ca="1">ROUND(C19*$C$18+D19*$D$18,0)</f>
        <v>56443</v>
      </c>
      <c r="H19" s="438" t="s">
        <v>225</v>
      </c>
      <c r="I19" s="2277"/>
      <c r="K19" s="2184" t="s">
        <v>2121</v>
      </c>
      <c r="L19" s="2184">
        <f>IF(C1="",'数据-汇总表'!D3,SUMIF(项目类型,C1,'数据-汇总表'!D17:D26)+SUMIF(项目类型,C1,'数据-汇总表'!H17:H27))</f>
        <v>7774.02</v>
      </c>
      <c r="M19" s="2184">
        <f>IF(C1="",'数据-汇总表'!D3,SUMIF(项目类型,C1,'数据-汇总表'!D17:D26))</f>
        <v>7774.02</v>
      </c>
    </row>
    <row r="20" spans="1:35" ht="14.25">
      <c r="A20" s="439"/>
      <c r="B20" s="440" t="s">
        <v>21</v>
      </c>
      <c r="C20" s="477">
        <f ca="1">SUMIF(INDIRECT("'"&amp;C4&amp;"'"&amp;"!A:A"),结果表!B20,INDIRECT("'"&amp;C4&amp;"'"&amp;"!B:B"))</f>
        <v>19229</v>
      </c>
      <c r="D20" s="478">
        <f ca="1">SUMIF(INDIRECT("'"&amp;D4&amp;"'"&amp;"!A:A"),结果表!B20,INDIRECT("'"&amp;D4&amp;"'"&amp;"!B:B"))</f>
        <v>12021</v>
      </c>
      <c r="E20" s="439"/>
      <c r="F20" s="440" t="s">
        <v>21</v>
      </c>
      <c r="G20" s="479">
        <f ca="1">ROUND(C20*$C$18+D20*$D$18,0)</f>
        <v>14904</v>
      </c>
      <c r="H20" s="441" t="s">
        <v>224</v>
      </c>
      <c r="I20" s="2277"/>
    </row>
    <row r="21" spans="1:35" ht="15" customHeight="1" thickBot="1">
      <c r="A21" s="443"/>
      <c r="B21" s="444" t="s">
        <v>22</v>
      </c>
      <c r="C21" s="1422">
        <f ca="1">ROUND(C19*10000/L19,0)</f>
        <v>93672</v>
      </c>
      <c r="D21" s="1423">
        <f ca="1">ROUND(D19*10000/L19,0)</f>
        <v>58560</v>
      </c>
      <c r="E21" s="443"/>
      <c r="F21" s="444" t="s">
        <v>22</v>
      </c>
      <c r="G21" s="480">
        <f ca="1">ROUND(G19*10000/L19,0)</f>
        <v>72605</v>
      </c>
      <c r="H21" s="445" t="s">
        <v>224</v>
      </c>
      <c r="I21" s="2277"/>
    </row>
    <row r="22" spans="1:35" ht="15" thickBot="1">
      <c r="A22" s="275" t="s">
        <v>178</v>
      </c>
      <c r="B22" s="1424"/>
      <c r="C22" s="1425"/>
      <c r="D22" s="1426">
        <f ca="1">IF(C19&lt;D19,D19/C19-1,C19/D19-1)</f>
        <v>0.59958264689730911</v>
      </c>
      <c r="E22" s="2277"/>
      <c r="F22" s="2277"/>
      <c r="G22" s="2277"/>
      <c r="H22" s="2277"/>
      <c r="I22" s="2277"/>
    </row>
    <row r="23" spans="1:35" ht="12.75" thickBot="1">
      <c r="A23" s="1243"/>
      <c r="B23" s="1243"/>
      <c r="C23" s="1243"/>
      <c r="D23" s="1243"/>
      <c r="E23" s="2277"/>
      <c r="F23" s="2277"/>
      <c r="G23" s="2277"/>
      <c r="H23" s="2277"/>
      <c r="I23" s="2277"/>
    </row>
    <row r="24" spans="1:35" ht="14.25">
      <c r="A24" s="3569" t="s">
        <v>174</v>
      </c>
      <c r="B24" s="437" t="s">
        <v>20</v>
      </c>
      <c r="C24" s="476">
        <f>IF(B30=0,0,D30)</f>
        <v>0</v>
      </c>
      <c r="D24" s="446"/>
      <c r="E24" s="2277"/>
      <c r="F24" s="2277"/>
      <c r="G24" s="2277"/>
      <c r="H24" s="2277"/>
      <c r="I24" s="2277"/>
    </row>
    <row r="25" spans="1:35" ht="14.25">
      <c r="A25" s="3570"/>
      <c r="B25" s="440" t="s">
        <v>21</v>
      </c>
      <c r="C25" s="481">
        <f>IF(B30=0,0,C30)</f>
        <v>0</v>
      </c>
      <c r="D25" s="447"/>
      <c r="E25" s="2277"/>
      <c r="F25" s="2277"/>
      <c r="G25" s="2277"/>
      <c r="H25" s="2277"/>
      <c r="I25" s="2277"/>
    </row>
    <row r="26" spans="1:35" ht="13.5" customHeight="1">
      <c r="A26" s="448" t="s">
        <v>175</v>
      </c>
      <c r="B26" s="449" t="s">
        <v>117</v>
      </c>
      <c r="C26" s="449" t="s">
        <v>118</v>
      </c>
      <c r="D26" s="450" t="s">
        <v>119</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173</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172</v>
      </c>
      <c r="B32" s="454"/>
      <c r="C32" s="485">
        <f ca="1">IF(D32="总价",G19-C24,G20-C25)</f>
        <v>56443</v>
      </c>
      <c r="D32" s="2092" t="s">
        <v>207</v>
      </c>
      <c r="E32" s="2277"/>
      <c r="F32" s="2277"/>
      <c r="G32" s="2277"/>
      <c r="H32" s="2277"/>
      <c r="I32" s="2277"/>
    </row>
    <row r="33" spans="1:15" ht="13.5">
      <c r="A33" s="457" t="s">
        <v>759</v>
      </c>
      <c r="B33" s="2091"/>
      <c r="C33" s="2874" t="s">
        <v>3189</v>
      </c>
      <c r="D33" s="2877" t="s">
        <v>3067</v>
      </c>
      <c r="E33" s="2089" t="s">
        <v>2100</v>
      </c>
      <c r="F33" s="2090" t="str">
        <f>IF(D32="楼面单价","取值（单价）","取值（总价）")</f>
        <v>取值（总价）</v>
      </c>
      <c r="G33" s="2277"/>
      <c r="H33" s="2277"/>
      <c r="I33" s="2277"/>
    </row>
    <row r="34" spans="1:15" ht="15">
      <c r="A34" s="458"/>
      <c r="B34" s="459" t="s">
        <v>762</v>
      </c>
      <c r="C34" s="489">
        <f ca="1">IF(C33="自定义",F34,C32-C35)</f>
        <v>32906</v>
      </c>
      <c r="D34" s="2093">
        <f ca="1">IF(C33="自定义",ROUND(C34/C32,3),IF(C33="收益比率",SUMIF(INDIRECT("'"&amp;D33&amp;"'"&amp;"!b:b"),"土地收益比率",INDIRECT("'"&amp;D33&amp;"'"&amp;"!c:c")),SUMIF(INDIRECT("'"&amp;D33&amp;"'"&amp;"!b:b"),"土地成本比率",INDIRECT("'"&amp;D33&amp;"'"&amp;"!c:c"))))</f>
        <v>0.58299999999999996</v>
      </c>
      <c r="E34" s="2875" t="s">
        <v>2101</v>
      </c>
      <c r="F34" s="3248"/>
      <c r="G34" s="2277"/>
      <c r="H34" s="2277"/>
      <c r="I34" s="2277"/>
    </row>
    <row r="35" spans="1:15" ht="15.75" thickBot="1">
      <c r="A35" s="461"/>
      <c r="B35" s="2878" t="s">
        <v>764</v>
      </c>
      <c r="C35" s="2879">
        <f ca="1">IF(C33="自定义",F35,ROUND(C32*D35,0))</f>
        <v>23537</v>
      </c>
      <c r="D35" s="2880">
        <f ca="1">IF(C33="自定义",ROUND(C35/C32,3),IF(C33="收益比率",SUMIF(INDIRECT("'"&amp;D33&amp;"'"&amp;"!b:b"),"建筑物收益比率",INDIRECT("'"&amp;D33&amp;"'"&amp;"!c:c")),SUMIF(INDIRECT("'"&amp;D33&amp;"'"&amp;"!b:b"),"建筑物成本比率",INDIRECT("'"&amp;D33&amp;"'"&amp;"!c:c"))))</f>
        <v>0.41699999999999998</v>
      </c>
      <c r="E35" s="2876" t="s">
        <v>2102</v>
      </c>
      <c r="F35" s="495"/>
      <c r="G35" s="2277"/>
      <c r="H35" s="2277"/>
      <c r="I35" s="2277"/>
    </row>
    <row r="36" spans="1:15" ht="15.75" thickBot="1">
      <c r="A36" s="3545" t="s">
        <v>760</v>
      </c>
      <c r="B36" s="455" t="s">
        <v>761</v>
      </c>
      <c r="C36" s="486">
        <v>20000</v>
      </c>
      <c r="D36" s="456" t="s">
        <v>3175</v>
      </c>
      <c r="E36" s="1246"/>
      <c r="F36" s="2278"/>
      <c r="G36" s="2277"/>
      <c r="H36" s="2277"/>
      <c r="I36" s="2277"/>
    </row>
    <row r="37" spans="1:15" ht="15.75" thickBot="1">
      <c r="A37" s="3546"/>
      <c r="B37" s="13" t="s">
        <v>763</v>
      </c>
      <c r="C37" s="488"/>
      <c r="D37" s="2226"/>
      <c r="E37" s="2226"/>
      <c r="F37" s="2278"/>
      <c r="G37" s="2277"/>
      <c r="H37" s="2277"/>
      <c r="I37" s="2277"/>
    </row>
    <row r="38" spans="1:15" ht="15.75" thickBot="1">
      <c r="A38" s="3547"/>
      <c r="B38" s="460" t="s">
        <v>765</v>
      </c>
      <c r="C38" s="1137"/>
      <c r="D38" s="1247" t="s">
        <v>766</v>
      </c>
      <c r="E38" s="2226"/>
      <c r="F38" s="2278"/>
      <c r="G38" s="2277"/>
      <c r="H38" s="2277"/>
      <c r="I38" s="2277"/>
    </row>
    <row r="39" spans="1:15" ht="13.5">
      <c r="A39" s="439" t="s">
        <v>767</v>
      </c>
      <c r="B39" s="462" t="s">
        <v>768</v>
      </c>
      <c r="C39" s="463" t="s">
        <v>769</v>
      </c>
      <c r="D39" s="463" t="s">
        <v>770</v>
      </c>
      <c r="E39" s="464" t="s">
        <v>771</v>
      </c>
      <c r="F39" s="2278"/>
      <c r="G39" s="2277"/>
      <c r="H39" s="2277"/>
      <c r="I39" s="2277"/>
    </row>
    <row r="40" spans="1:15" ht="13.5">
      <c r="A40" s="1248" t="s">
        <v>772</v>
      </c>
      <c r="B40" s="490"/>
      <c r="C40" s="491"/>
      <c r="D40" s="491"/>
      <c r="E40" s="492"/>
      <c r="F40" s="2278"/>
      <c r="G40" s="2277"/>
      <c r="H40" s="2277"/>
      <c r="I40" s="2277"/>
    </row>
    <row r="41" spans="1:15" ht="13.5">
      <c r="A41" s="1248" t="s">
        <v>773</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5" t="s">
        <v>211</v>
      </c>
      <c r="K44" s="3266"/>
      <c r="L44" s="3266"/>
      <c r="M44" s="3266"/>
      <c r="N44" s="3266"/>
      <c r="O44" s="3266"/>
    </row>
    <row r="45" spans="1:15" ht="14.25" customHeight="1" thickBot="1">
      <c r="A45" s="3566" t="s">
        <v>792</v>
      </c>
      <c r="B45" s="3567"/>
      <c r="C45" s="3568"/>
      <c r="D45" s="496">
        <f ca="1">ROUND(H101*F45,0)</f>
        <v>56443</v>
      </c>
      <c r="E45" s="497" t="s">
        <v>793</v>
      </c>
      <c r="F45" s="498">
        <v>1</v>
      </c>
      <c r="G45" s="499" t="s">
        <v>794</v>
      </c>
      <c r="H45" s="2277"/>
      <c r="I45" s="2277"/>
      <c r="J45" s="3476" t="s">
        <v>212</v>
      </c>
      <c r="K45" s="3476"/>
      <c r="L45" s="3476"/>
      <c r="M45" s="3476"/>
      <c r="N45" s="3476"/>
      <c r="O45" s="3476"/>
    </row>
    <row r="46" spans="1:15" ht="14.25" customHeight="1">
      <c r="A46" s="3563" t="s">
        <v>284</v>
      </c>
      <c r="B46" s="3564"/>
      <c r="C46" s="3564"/>
      <c r="D46" s="3564"/>
      <c r="E46" s="3564"/>
      <c r="F46" s="3564"/>
      <c r="G46" s="3565"/>
      <c r="H46" s="2279"/>
      <c r="I46" s="2232"/>
      <c r="J46" s="1501">
        <v>1</v>
      </c>
      <c r="K46" s="3476" t="s">
        <v>213</v>
      </c>
      <c r="L46" s="3476"/>
      <c r="M46" s="3477"/>
      <c r="N46" s="3477"/>
      <c r="O46" s="3477"/>
    </row>
    <row r="47" spans="1:15" ht="12" customHeight="1">
      <c r="A47" s="501" t="s">
        <v>285</v>
      </c>
      <c r="B47" s="502"/>
      <c r="C47" s="503"/>
      <c r="D47" s="504" t="s">
        <v>286</v>
      </c>
      <c r="E47" s="313" t="s">
        <v>287</v>
      </c>
      <c r="F47" s="505" t="s">
        <v>795</v>
      </c>
      <c r="G47" s="506" t="s">
        <v>796</v>
      </c>
      <c r="H47" s="2279"/>
      <c r="I47" s="2232"/>
      <c r="J47" s="1501">
        <v>2</v>
      </c>
      <c r="K47" s="3476" t="s">
        <v>214</v>
      </c>
      <c r="L47" s="3476"/>
      <c r="M47" s="3478">
        <f>'数据-取费表'!B2</f>
        <v>43026</v>
      </c>
      <c r="N47" s="3478"/>
      <c r="O47" s="3478"/>
    </row>
    <row r="48" spans="1:15" ht="25.5">
      <c r="A48" s="3549" t="s">
        <v>288</v>
      </c>
      <c r="B48" s="3550"/>
      <c r="C48" s="3550"/>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2402</v>
      </c>
      <c r="I48" s="2279"/>
      <c r="J48" s="1501">
        <v>3</v>
      </c>
      <c r="K48" s="3476" t="s">
        <v>776</v>
      </c>
      <c r="L48" s="3476"/>
      <c r="M48" s="3479">
        <f ca="1">H101</f>
        <v>56443</v>
      </c>
      <c r="N48" s="3479"/>
      <c r="O48" s="3479"/>
    </row>
    <row r="49" spans="1:35" ht="25.5" customHeight="1">
      <c r="A49" s="508" t="s">
        <v>797</v>
      </c>
      <c r="B49" s="3529" t="s">
        <v>798</v>
      </c>
      <c r="C49" s="3529"/>
      <c r="D49" s="509">
        <v>0</v>
      </c>
      <c r="E49" s="312" t="s">
        <v>799</v>
      </c>
      <c r="F49" s="317" t="s">
        <v>168</v>
      </c>
      <c r="G49" s="3508"/>
      <c r="H49" s="2277"/>
      <c r="I49" s="2280"/>
      <c r="J49" s="1501">
        <v>4</v>
      </c>
      <c r="K49" s="3476" t="str">
        <f>IF(项目基本情况!E8="房地产抵押价值","房地产抵押价值","抵押担保权已注销时的房地产抵押价值")</f>
        <v>房地产抵押价值</v>
      </c>
      <c r="L49" s="3476"/>
      <c r="M49" s="3479">
        <f ca="1">IF(项目基本情况!E8="房地产抵押价值",H107,H109)</f>
        <v>56443</v>
      </c>
      <c r="N49" s="3479"/>
      <c r="O49" s="3479"/>
    </row>
    <row r="50" spans="1:35" ht="25.5" customHeight="1">
      <c r="A50" s="510"/>
      <c r="B50" s="3529" t="s">
        <v>291</v>
      </c>
      <c r="C50" s="3529"/>
      <c r="D50" s="511"/>
      <c r="E50" s="320"/>
      <c r="F50" s="512"/>
      <c r="G50" s="3509"/>
      <c r="H50" s="2277"/>
      <c r="I50" s="2280"/>
      <c r="J50" s="3476" t="s">
        <v>215</v>
      </c>
      <c r="K50" s="3476"/>
      <c r="L50" s="3476"/>
      <c r="M50" s="3476"/>
      <c r="N50" s="3476"/>
      <c r="O50" s="3476"/>
    </row>
    <row r="51" spans="1:35" ht="12" customHeight="1">
      <c r="A51" s="513"/>
      <c r="B51" s="3529" t="s">
        <v>292</v>
      </c>
      <c r="C51" s="3529"/>
      <c r="D51" s="514"/>
      <c r="E51" s="319"/>
      <c r="F51" s="512"/>
      <c r="G51" s="3510"/>
      <c r="H51" s="2277"/>
      <c r="I51" s="2280"/>
      <c r="J51" s="3267" t="s">
        <v>216</v>
      </c>
      <c r="K51" s="3476" t="s">
        <v>217</v>
      </c>
      <c r="L51" s="3476"/>
      <c r="M51" s="3267" t="s">
        <v>2985</v>
      </c>
      <c r="N51" s="3267" t="s">
        <v>218</v>
      </c>
      <c r="O51" s="3267" t="s">
        <v>219</v>
      </c>
    </row>
    <row r="52" spans="1:35" ht="24" customHeight="1">
      <c r="A52" s="515" t="s">
        <v>293</v>
      </c>
      <c r="B52" s="3529" t="s">
        <v>294</v>
      </c>
      <c r="C52" s="3529"/>
      <c r="D52" s="514">
        <f ca="1">ROUND(D45*'数据-取费表'!B41/(1+'数据-取费表'!C42),0)</f>
        <v>3010</v>
      </c>
      <c r="E52" s="299" t="s">
        <v>295</v>
      </c>
      <c r="F52" s="516">
        <f>'数据-取费表'!B41</f>
        <v>5.6000000000000001E-2</v>
      </c>
      <c r="G52" s="466"/>
      <c r="H52" s="2277"/>
      <c r="I52" s="2280"/>
      <c r="J52" s="1501">
        <v>1</v>
      </c>
      <c r="K52" s="3502" t="s">
        <v>777</v>
      </c>
      <c r="L52" s="3502"/>
      <c r="M52" s="3268">
        <f>D48</f>
        <v>0</v>
      </c>
      <c r="N52" s="1500" t="str">
        <f>E48</f>
        <v>销售额×税（费）率</v>
      </c>
      <c r="O52" s="3269" t="str">
        <f>F48</f>
        <v>免征</v>
      </c>
    </row>
    <row r="53" spans="1:35" ht="12" customHeight="1">
      <c r="A53" s="515" t="s">
        <v>296</v>
      </c>
      <c r="B53" s="3530" t="s">
        <v>297</v>
      </c>
      <c r="C53" s="3531"/>
      <c r="D53" s="514">
        <f ca="1">ROUND(D45*'数据-取费表'!B41/(1+'数据-取费表'!C42),0)</f>
        <v>3010</v>
      </c>
      <c r="E53" s="299" t="s">
        <v>295</v>
      </c>
      <c r="F53" s="516">
        <f>'数据-取费表'!B41</f>
        <v>5.6000000000000001E-2</v>
      </c>
      <c r="G53" s="466"/>
      <c r="H53" s="2277"/>
      <c r="I53" s="2280"/>
      <c r="J53" s="1501">
        <v>2</v>
      </c>
      <c r="K53" s="3502" t="s">
        <v>778</v>
      </c>
      <c r="L53" s="3502"/>
      <c r="M53" s="3268">
        <f t="shared" ref="M53:O54" ca="1" si="0">D55</f>
        <v>28</v>
      </c>
      <c r="N53" s="1500" t="str">
        <f t="shared" si="0"/>
        <v>销售额×税（费）率</v>
      </c>
      <c r="O53" s="3269">
        <f t="shared" si="0"/>
        <v>5.0000000000000001E-4</v>
      </c>
    </row>
    <row r="54" spans="1:35" ht="12" customHeight="1">
      <c r="A54" s="515" t="s">
        <v>298</v>
      </c>
      <c r="B54" s="3530" t="s">
        <v>299</v>
      </c>
      <c r="C54" s="3531"/>
      <c r="D54" s="514">
        <f ca="1">C68</f>
        <v>3010</v>
      </c>
      <c r="E54" s="319" t="s">
        <v>300</v>
      </c>
      <c r="F54" s="516">
        <f>'数据-取费表'!B41</f>
        <v>5.6000000000000001E-2</v>
      </c>
      <c r="G54" s="466"/>
      <c r="H54" s="2281"/>
      <c r="I54" s="2280"/>
      <c r="J54" s="1501">
        <v>3</v>
      </c>
      <c r="K54" s="3502" t="s">
        <v>779</v>
      </c>
      <c r="L54" s="3502"/>
      <c r="M54" s="3268">
        <f t="shared" ca="1" si="0"/>
        <v>31946</v>
      </c>
      <c r="N54" s="1500" t="str">
        <f t="shared" si="0"/>
        <v>增值额×税（费）率</v>
      </c>
      <c r="O54" s="3270" t="str">
        <f t="shared" si="0"/>
        <v>——</v>
      </c>
    </row>
    <row r="55" spans="1:35" ht="24" customHeight="1">
      <c r="A55" s="3572" t="s">
        <v>301</v>
      </c>
      <c r="B55" s="3550"/>
      <c r="C55" s="3550"/>
      <c r="D55" s="517">
        <f ca="1">IF(H55="个人住宅",0,ROUND(D45*I55,0))</f>
        <v>28</v>
      </c>
      <c r="E55" s="299" t="s">
        <v>302</v>
      </c>
      <c r="F55" s="516">
        <f>IF(H55="正常",I55,"免征")</f>
        <v>5.0000000000000001E-4</v>
      </c>
      <c r="G55" s="466"/>
      <c r="H55" s="1432" t="s">
        <v>152</v>
      </c>
      <c r="I55" s="518">
        <f>'数据-取费表'!B49</f>
        <v>5.0000000000000001E-4</v>
      </c>
      <c r="J55" s="1501" t="str">
        <f>IF(H59="非个人房产","",4)</f>
        <v/>
      </c>
      <c r="K55" s="3502" t="str">
        <f>IF(H59="非个人房产","——","个人所得税")</f>
        <v>——</v>
      </c>
      <c r="L55" s="3502"/>
      <c r="M55" s="3271" t="str">
        <f>D59</f>
        <v>——</v>
      </c>
      <c r="N55" s="3272" t="str">
        <f>E59</f>
        <v>——</v>
      </c>
      <c r="O55" s="3273" t="str">
        <f>F59</f>
        <v>——</v>
      </c>
    </row>
    <row r="56" spans="1:35" ht="24.75">
      <c r="A56" s="3572" t="s">
        <v>303</v>
      </c>
      <c r="B56" s="3550"/>
      <c r="C56" s="3550"/>
      <c r="D56" s="517">
        <f ca="1">IF(H56="个人住宅",D57,D58)</f>
        <v>31946</v>
      </c>
      <c r="E56" s="299" t="s">
        <v>304</v>
      </c>
      <c r="F56" s="516" t="str">
        <f>IF(H56="正常",F58,"免征")</f>
        <v>——</v>
      </c>
      <c r="G56" s="1256" t="s">
        <v>780</v>
      </c>
      <c r="H56" s="1431" t="s">
        <v>152</v>
      </c>
      <c r="I56" s="2282"/>
      <c r="J56" s="1501" t="str">
        <f>IF(项目基本情况!K6="上海银行",IF(J55="",4,J55+1),"")</f>
        <v/>
      </c>
      <c r="K56" s="3482" t="str">
        <f>IF(项目基本情况!K6="上海银行","其他处置费用","")</f>
        <v/>
      </c>
      <c r="L56" s="3483"/>
      <c r="M56" s="3268" t="str">
        <f>IF(项目基本情况!K6="上海银行",M69,"")</f>
        <v/>
      </c>
      <c r="N56" s="3485" t="str">
        <f>IF(项目基本情况!K6="上海银行","包含处置中涉及的律师、诉讼、拍卖、评估等费用","")</f>
        <v/>
      </c>
      <c r="O56" s="3486"/>
    </row>
    <row r="57" spans="1:35" ht="12.75">
      <c r="A57" s="515" t="s">
        <v>289</v>
      </c>
      <c r="B57" s="3535" t="s">
        <v>305</v>
      </c>
      <c r="C57" s="3536"/>
      <c r="D57" s="519">
        <v>0</v>
      </c>
      <c r="E57" s="312" t="s">
        <v>290</v>
      </c>
      <c r="F57" s="487"/>
      <c r="G57" s="466"/>
      <c r="H57" s="2282"/>
      <c r="I57" s="2282"/>
      <c r="J57" s="3514">
        <f>IF(AND(J55="",J56=""),4,IF(项目基本情况!K6="上海银行",结果表!J56+1,结果表!J55+1))</f>
        <v>4</v>
      </c>
      <c r="K57" s="3502" t="s">
        <v>781</v>
      </c>
      <c r="L57" s="3274" t="s">
        <v>220</v>
      </c>
      <c r="M57" s="3275"/>
      <c r="N57" s="3276">
        <f ca="1">SUMIF(M52:M56,"&lt;9e307")</f>
        <v>31974</v>
      </c>
      <c r="O57" s="3277"/>
      <c r="P57" s="3264">
        <f ca="1">N57/M49</f>
        <v>0.56648300054922662</v>
      </c>
    </row>
    <row r="58" spans="1:35" ht="24.75">
      <c r="A58" s="515" t="s">
        <v>293</v>
      </c>
      <c r="B58" s="3535" t="s">
        <v>306</v>
      </c>
      <c r="C58" s="3548"/>
      <c r="D58" s="517">
        <f ca="1">IF(H58="转让取得",C81,C97)</f>
        <v>31946</v>
      </c>
      <c r="E58" s="299" t="s">
        <v>304</v>
      </c>
      <c r="F58" s="313" t="s">
        <v>168</v>
      </c>
      <c r="G58" s="466"/>
      <c r="H58" s="1431" t="s">
        <v>1130</v>
      </c>
      <c r="I58" s="2282"/>
      <c r="J58" s="3514"/>
      <c r="K58" s="3502"/>
      <c r="L58" s="3274" t="s">
        <v>221</v>
      </c>
      <c r="M58" s="3278"/>
      <c r="N58" s="3279" t="str">
        <f ca="1">NUMBERSTRING(INT(N57*10000),2)&amp;"元整"</f>
        <v>叁亿壹仟玖佰柒拾肆万元整</v>
      </c>
      <c r="O58" s="3280"/>
    </row>
    <row r="59" spans="1:35" ht="24.75" thickBot="1">
      <c r="A59" s="3506" t="s">
        <v>307</v>
      </c>
      <c r="B59" s="3507"/>
      <c r="C59" s="3507"/>
      <c r="D59" s="520" t="str">
        <f>IF(H59="非个人房产","——",IF(H59="个人住宅",0,ROUND(D45*I59,0)))</f>
        <v>——</v>
      </c>
      <c r="E59" s="521" t="str">
        <f>IF(H59="非个人房产","——","销售额×税（费）率")</f>
        <v>——</v>
      </c>
      <c r="F59" s="522" t="str">
        <f>IF(H59="非个人房产","——",IF(H59="个人住宅","免征",I59))</f>
        <v>——</v>
      </c>
      <c r="G59" s="1257" t="s">
        <v>167</v>
      </c>
      <c r="H59" s="1431" t="s">
        <v>1129</v>
      </c>
      <c r="I59" s="523">
        <v>0.01</v>
      </c>
      <c r="J59" s="3504">
        <f>J57+1</f>
        <v>5</v>
      </c>
      <c r="K59" s="3502" t="s">
        <v>169</v>
      </c>
      <c r="L59" s="1500" t="s">
        <v>220</v>
      </c>
      <c r="M59" s="3281"/>
      <c r="N59" s="3282">
        <f ca="1">M49-N57</f>
        <v>24469</v>
      </c>
      <c r="O59" s="3283"/>
    </row>
    <row r="60" spans="1:35" ht="12" customHeight="1">
      <c r="A60" s="1258"/>
      <c r="B60" s="1243"/>
      <c r="C60" s="1243"/>
      <c r="D60" s="1243"/>
      <c r="E60" s="229"/>
      <c r="F60" s="2282"/>
      <c r="G60" s="2282"/>
      <c r="H60" s="2283"/>
      <c r="I60" s="2277"/>
      <c r="J60" s="3505"/>
      <c r="K60" s="3502"/>
      <c r="L60" s="3274" t="s">
        <v>221</v>
      </c>
      <c r="M60" s="3278"/>
      <c r="N60" s="3279" t="str">
        <f ca="1">NUMBERSTRING(INT(N59*10000),2)&amp;"元整"</f>
        <v>贰亿肆仟肆佰陆拾玖万元整</v>
      </c>
      <c r="O60" s="3280"/>
    </row>
    <row r="61" spans="1:35" ht="13.5" thickBot="1">
      <c r="A61" s="3571" t="s">
        <v>308</v>
      </c>
      <c r="B61" s="3571"/>
      <c r="C61" s="3571"/>
      <c r="D61" s="3571"/>
      <c r="E61" s="3571"/>
      <c r="F61" s="2282"/>
      <c r="G61" s="2282"/>
      <c r="H61" s="2283"/>
      <c r="I61" s="2277"/>
      <c r="J61" s="1501">
        <f>J59+1</f>
        <v>6</v>
      </c>
      <c r="K61" s="3502" t="s">
        <v>222</v>
      </c>
      <c r="L61" s="3502"/>
      <c r="M61" s="3284"/>
      <c r="N61" s="3285">
        <f ca="1">ROUND(N59*10000/'数据-汇总表'!E3,0)</f>
        <v>6461</v>
      </c>
      <c r="O61" s="3286"/>
    </row>
    <row r="62" spans="1:35" ht="12.75">
      <c r="A62" s="3523" t="s">
        <v>309</v>
      </c>
      <c r="B62" s="3524"/>
      <c r="C62" s="1918"/>
      <c r="D62" s="1918" t="s">
        <v>317</v>
      </c>
      <c r="E62" s="524" t="s">
        <v>318</v>
      </c>
      <c r="F62" s="2282"/>
      <c r="G62" s="2282"/>
      <c r="H62" s="2283"/>
      <c r="I62" s="2277"/>
    </row>
    <row r="63" spans="1:35" ht="12.75">
      <c r="A63" s="535" t="s">
        <v>1892</v>
      </c>
      <c r="B63" s="525" t="s">
        <v>310</v>
      </c>
      <c r="C63" s="526">
        <f ca="1">ROUND((C64+C65)/(1+'数据-取费表'!C42),0)</f>
        <v>53755</v>
      </c>
      <c r="D63" s="527"/>
      <c r="E63" s="528"/>
      <c r="F63" s="2282"/>
      <c r="G63" s="2282"/>
      <c r="H63" s="2283"/>
      <c r="I63" s="2277"/>
      <c r="J63" s="3484" t="s">
        <v>2978</v>
      </c>
      <c r="K63" s="3263" t="s">
        <v>2979</v>
      </c>
      <c r="L63" s="3261">
        <f ca="1">IF(M49&gt;10000,M49*0.5%,IF(AND(M49&gt;1000,M49&lt;=10000),M49*1%,IF(AND(M49&gt;100,M49&lt;=1000),M49*3%,IF(AND(M49&gt;10,M49&lt;=100),M49*5%,M49*8%))))</f>
        <v>282.21500000000003</v>
      </c>
      <c r="M63" s="313">
        <f ca="1">ROUND(L63,1)</f>
        <v>282.2</v>
      </c>
      <c r="Z63" s="1434"/>
      <c r="AI63" s="1244"/>
    </row>
    <row r="64" spans="1:35" ht="14.25" customHeight="1">
      <c r="A64" s="529" t="s">
        <v>1887</v>
      </c>
      <c r="B64" s="530" t="s">
        <v>311</v>
      </c>
      <c r="C64" s="531">
        <f ca="1">D45</f>
        <v>56443</v>
      </c>
      <c r="D64" s="532" t="s">
        <v>164</v>
      </c>
      <c r="E64" s="533"/>
      <c r="F64" s="2282"/>
      <c r="G64" s="2282"/>
      <c r="H64" s="2283"/>
      <c r="I64" s="2277"/>
      <c r="J64" s="3484"/>
      <c r="K64" s="3263" t="s">
        <v>2980</v>
      </c>
      <c r="L64" s="3261">
        <f ca="1">IF(M49&gt;2000,M49*0.5%,IF(AND(M49&gt;1000,M49&lt;=2000),M49*0.6%,IF(AND(M49&gt;500,M49&lt;=1000),M49*0.7%,IF(AND(M49&gt;200,M49&lt;=500),M49*0.8%,IF(AND(M49&gt;100,M49&lt;=200),M49*0.9%,IF(AND(M49&gt;50,M49&lt;=100),M49*1%,IF(AND(M49&gt;20,M49&lt;=50),M49*1.5%,IF(AND(M49&gt;10,M49&lt;=20),M49*2%,IF(AND(M49&gt;1,M49&lt;=10),M49*2.5%)))))))))</f>
        <v>282.21500000000003</v>
      </c>
      <c r="M64" s="313">
        <f t="shared" ref="M64:M65" ca="1" si="1">ROUND(L64,1)</f>
        <v>282.2</v>
      </c>
      <c r="N64" s="469" t="s">
        <v>2986</v>
      </c>
      <c r="Z64" s="1434"/>
      <c r="AI64" s="1244"/>
    </row>
    <row r="65" spans="1:35" ht="14.25" customHeight="1">
      <c r="A65" s="529" t="s">
        <v>1888</v>
      </c>
      <c r="B65" s="530" t="s">
        <v>312</v>
      </c>
      <c r="C65" s="534"/>
      <c r="D65" s="532"/>
      <c r="E65" s="533"/>
      <c r="F65" s="2282"/>
      <c r="G65" s="2282"/>
      <c r="H65" s="2283"/>
      <c r="I65" s="2277"/>
      <c r="J65" s="3484"/>
      <c r="K65" s="3263" t="s">
        <v>2981</v>
      </c>
      <c r="L65" s="3261">
        <f ca="1">IF(M49&gt;1000,M49*0.1%,IF(AND(M49&gt;500,M49&lt;=1000),M49*0.5%,IF(AND(M49&gt;50,M49&lt;=500),M49*1%,IF(AND(M49&gt;1,M49&lt;=50),M49*1.5%))))</f>
        <v>56.442999999999998</v>
      </c>
      <c r="M65" s="313">
        <f t="shared" ca="1" si="1"/>
        <v>56.4</v>
      </c>
      <c r="N65" s="469" t="s">
        <v>2987</v>
      </c>
      <c r="Z65" s="1434"/>
      <c r="AI65" s="1244"/>
    </row>
    <row r="66" spans="1:35" ht="14.25" customHeight="1">
      <c r="A66" s="535" t="s">
        <v>1889</v>
      </c>
      <c r="B66" s="536" t="s">
        <v>313</v>
      </c>
      <c r="C66" s="537"/>
      <c r="D66" s="538" t="s">
        <v>164</v>
      </c>
      <c r="E66" s="3313" t="s">
        <v>3025</v>
      </c>
      <c r="F66" s="2282"/>
      <c r="G66" s="2282"/>
      <c r="H66" s="2283"/>
      <c r="I66" s="2277"/>
      <c r="J66" s="3484"/>
      <c r="K66" s="3263" t="s">
        <v>2982</v>
      </c>
      <c r="L66" s="3261">
        <f ca="1">M49*0.5%</f>
        <v>282.21500000000003</v>
      </c>
      <c r="M66" s="313">
        <f ca="1">IF(L66&gt;0.5,0.5,ROUND(L66,0))</f>
        <v>0.5</v>
      </c>
      <c r="N66" s="469" t="s">
        <v>2988</v>
      </c>
      <c r="Z66" s="1434"/>
      <c r="AI66" s="1244"/>
    </row>
    <row r="67" spans="1:35" ht="14.25" customHeight="1">
      <c r="A67" s="535" t="s">
        <v>1890</v>
      </c>
      <c r="B67" s="536" t="s">
        <v>314</v>
      </c>
      <c r="C67" s="539">
        <f ca="1">C63-C66</f>
        <v>53755</v>
      </c>
      <c r="D67" s="532" t="s">
        <v>164</v>
      </c>
      <c r="E67" s="533"/>
      <c r="F67" s="2282"/>
      <c r="G67" s="2282"/>
      <c r="H67" s="2283"/>
      <c r="I67" s="2277"/>
      <c r="J67" s="3484"/>
      <c r="K67" s="3263" t="s">
        <v>2983</v>
      </c>
      <c r="L67" s="3261">
        <f ca="1">IF(M49&gt;=10000,(8.25+(M49-10000)*0.01%),IF(AND(M49&gt;=8000,M49&lt;10000),(7.85+(M49-8000)*0.02%),IF(AND(M49&gt;=5000,M49&lt;8000),(6.65+(M49-5000)*0.04%),IF(AND(M49&gt;=2000,M49&lt;5000),(4.25+(PM49-2000)*0.08%),IF(AND(M49&gt;=1000,M49&lt;2000),(2.75+(M49-1000)*0.15%),IF(AND(M49&gt;=100,M49&lt;1000),(0.5+(M49-100)*0.25%),IF(AND(M49&gt;0,M49&lt;100),M49*0.5%)))))))</f>
        <v>12.894300000000001</v>
      </c>
      <c r="M67" s="313">
        <f ca="1">ROUND(L67*0.9,1)</f>
        <v>11.6</v>
      </c>
      <c r="Z67" s="1434"/>
      <c r="AI67" s="1244"/>
    </row>
    <row r="68" spans="1:35" ht="14.25" customHeight="1" thickBot="1">
      <c r="A68" s="540" t="s">
        <v>1891</v>
      </c>
      <c r="B68" s="541" t="s">
        <v>315</v>
      </c>
      <c r="C68" s="542">
        <f ca="1">IF(C67&lt;=0,0,ROUND(C67*D68,0))</f>
        <v>3010</v>
      </c>
      <c r="D68" s="543">
        <f>'数据-取费表'!B41</f>
        <v>5.6000000000000001E-2</v>
      </c>
      <c r="E68" s="544"/>
      <c r="F68" s="2282"/>
      <c r="G68" s="2282"/>
      <c r="H68" s="2283"/>
      <c r="I68" s="2277"/>
      <c r="J68" s="3484"/>
      <c r="K68" s="3263" t="s">
        <v>2984</v>
      </c>
      <c r="L68" s="3261">
        <f ca="1">IF(M49&gt;10000,M49*0.5%,IF(AND(M49&gt;5000,M49&lt;=10000),M49*1%,IF(AND(M49&gt;1000,M49&lt;=5000),M49*2%,IF(AND(M49&gt;200,M49&lt;=1000),M49*3%,M49*5%))))</f>
        <v>282.21500000000003</v>
      </c>
      <c r="M68" s="313">
        <f ca="1">ROUND(L68,1)</f>
        <v>282.2</v>
      </c>
      <c r="Z68" s="1434"/>
      <c r="AI68" s="1244"/>
    </row>
    <row r="69" spans="1:35" s="1245" customFormat="1" ht="16.5" customHeight="1">
      <c r="A69" s="1259"/>
      <c r="B69" s="1260"/>
      <c r="C69" s="1261"/>
      <c r="D69" s="1262"/>
      <c r="E69" s="1263"/>
      <c r="F69" s="229"/>
      <c r="G69" s="229"/>
      <c r="H69" s="241"/>
      <c r="I69" s="1243"/>
      <c r="J69" s="3484"/>
      <c r="K69" s="3263" t="s">
        <v>184</v>
      </c>
      <c r="L69" s="3262"/>
      <c r="M69" s="313">
        <f ca="1">ROUND(SUM(M63:M68),0)</f>
        <v>915</v>
      </c>
      <c r="N69" s="3264">
        <f ca="1">M69/M49</f>
        <v>1.6211044770830751E-2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33" t="s">
        <v>316</v>
      </c>
      <c r="B70" s="3534"/>
      <c r="C70" s="3534"/>
      <c r="D70" s="3534"/>
      <c r="E70" s="3534"/>
      <c r="F70" s="3534"/>
      <c r="G70" s="3534"/>
      <c r="H70" s="3534"/>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23" t="s">
        <v>309</v>
      </c>
      <c r="B71" s="3524"/>
      <c r="C71" s="1918"/>
      <c r="D71" s="1918" t="s">
        <v>317</v>
      </c>
      <c r="E71" s="545" t="s">
        <v>318</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319</v>
      </c>
      <c r="C72" s="539">
        <f ca="1">ROUND(D45/(1+'数据-取费表'!C42),0)</f>
        <v>53755</v>
      </c>
      <c r="D72" s="532" t="s">
        <v>164</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320</v>
      </c>
      <c r="C73" s="539">
        <f ca="1">C74+C78</f>
        <v>323</v>
      </c>
      <c r="D73" s="532" t="s">
        <v>164</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321</v>
      </c>
      <c r="C74" s="532">
        <f>ROUND(IF(G77="2016年5月1日后购买",C75/(1+'数据-取费表'!C42)+C76+C77,C75+C76+C77),0)</f>
        <v>0</v>
      </c>
      <c r="D74" s="532" t="s">
        <v>164</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322</v>
      </c>
      <c r="C75" s="550"/>
      <c r="D75" s="532" t="s">
        <v>164</v>
      </c>
      <c r="E75" s="551" t="s">
        <v>323</v>
      </c>
      <c r="F75" s="1427" t="s">
        <v>2403</v>
      </c>
      <c r="G75" s="551" t="s">
        <v>789</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324</v>
      </c>
      <c r="C76" s="532">
        <f>IF(F75="购房发票",ROUND(C75*H75*D76,0),0)</f>
        <v>0</v>
      </c>
      <c r="D76" s="554">
        <v>0.05</v>
      </c>
      <c r="E76" s="3530" t="s">
        <v>325</v>
      </c>
      <c r="F76" s="3529"/>
      <c r="G76" s="3529"/>
      <c r="H76" s="3532"/>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8" t="s">
        <v>2494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327</v>
      </c>
      <c r="C78" s="557">
        <f ca="1">ROUND(D45*D78/(1+'数据-取费表'!C42),0)</f>
        <v>323</v>
      </c>
      <c r="D78" s="558">
        <f>'数据-取费表'!B43</f>
        <v>6.000000000000001E-3</v>
      </c>
      <c r="E78" s="3525" t="s">
        <v>2495</v>
      </c>
      <c r="F78" s="3521"/>
      <c r="G78" s="3521"/>
      <c r="H78" s="3522"/>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1898</v>
      </c>
      <c r="B79" s="536" t="s">
        <v>328</v>
      </c>
      <c r="C79" s="539">
        <f ca="1">C72-C73</f>
        <v>53432</v>
      </c>
      <c r="D79" s="532" t="s">
        <v>164</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1899</v>
      </c>
      <c r="B80" s="536" t="s">
        <v>329</v>
      </c>
      <c r="C80" s="559">
        <f ca="1">IF(C79&lt;=0,0,C79/C73)</f>
        <v>165.42414860681114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15" thickBot="1">
      <c r="A81" s="1801" t="s">
        <v>1900</v>
      </c>
      <c r="B81" s="541" t="s">
        <v>330</v>
      </c>
      <c r="C81" s="560">
        <f ca="1">ROUND(IF(C79&lt;=0,0,IF(C80&gt;=200%,C79*60%-C73*35%,IF(C80&gt;=100%,C79*50%-C73*15%,IF(C80&gt;=50%,C79*40%-C73*5%,IF(C80&lt;50%,C79*30%,0))))),0)</f>
        <v>31946</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33" t="s">
        <v>331</v>
      </c>
      <c r="B83" s="3534"/>
      <c r="C83" s="3534"/>
      <c r="D83" s="3534"/>
      <c r="E83" s="3534"/>
      <c r="F83" s="3534"/>
      <c r="G83" s="3534"/>
      <c r="H83" s="3534"/>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23" t="s">
        <v>309</v>
      </c>
      <c r="B84" s="3524"/>
      <c r="C84" s="1918"/>
      <c r="D84" s="1918" t="s">
        <v>317</v>
      </c>
      <c r="E84" s="545" t="s">
        <v>318</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319</v>
      </c>
      <c r="C85" s="539">
        <f ca="1">ROUND(D45/(1+'数据-取费表'!C42),0)</f>
        <v>53755</v>
      </c>
      <c r="D85" s="532" t="s">
        <v>164</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320</v>
      </c>
      <c r="C86" s="539">
        <f ca="1">IF(H88="仅含出让金",C87+C90+C91+C92+C93+C94,C87+C91+C92+C93+C94)</f>
        <v>323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332</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333</v>
      </c>
      <c r="C88" s="568"/>
      <c r="D88" s="558"/>
      <c r="E88" s="569" t="s">
        <v>334</v>
      </c>
      <c r="F88" s="1917"/>
      <c r="G88" s="570" t="s">
        <v>335</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326</v>
      </c>
      <c r="C89" s="557">
        <f>ROUND(C88*D89,0)</f>
        <v>0</v>
      </c>
      <c r="D89" s="558">
        <f>'数据-取费表'!B48+'数据-取费表'!B49</f>
        <v>3.0499999999999999E-2</v>
      </c>
      <c r="E89" s="569" t="s">
        <v>336</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337</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1901</v>
      </c>
      <c r="B91" s="530" t="s">
        <v>338</v>
      </c>
      <c r="C91" s="557">
        <f>IF(H91="——",成本法!C33,I91)</f>
        <v>0</v>
      </c>
      <c r="D91" s="558"/>
      <c r="E91" s="3520" t="s">
        <v>791</v>
      </c>
      <c r="F91" s="3521"/>
      <c r="G91" s="3521"/>
      <c r="H91" s="1430" t="s">
        <v>2305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1902</v>
      </c>
      <c r="B92" s="530" t="s">
        <v>339</v>
      </c>
      <c r="C92" s="557">
        <f>ROUND((C87+C90+C91)*D92,0)</f>
        <v>0</v>
      </c>
      <c r="D92" s="558">
        <v>0.1</v>
      </c>
      <c r="E92" s="3520" t="s">
        <v>340</v>
      </c>
      <c r="F92" s="3521"/>
      <c r="G92" s="3521"/>
      <c r="H92" s="3522"/>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1903</v>
      </c>
      <c r="B93" s="530" t="s">
        <v>327</v>
      </c>
      <c r="C93" s="557">
        <f ca="1">ROUND(D45*D93/(1+'数据-取费表'!C42),0)</f>
        <v>323</v>
      </c>
      <c r="D93" s="558">
        <f>'数据-取费表'!B43</f>
        <v>6.000000000000001E-3</v>
      </c>
      <c r="E93" s="3525" t="s">
        <v>2495</v>
      </c>
      <c r="F93" s="3521"/>
      <c r="G93" s="3521"/>
      <c r="H93" s="3522"/>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1904</v>
      </c>
      <c r="B94" s="530" t="s">
        <v>341</v>
      </c>
      <c r="C94" s="568">
        <f>ROUND((C87+C90+C91)*D94,0)</f>
        <v>0</v>
      </c>
      <c r="D94" s="558">
        <v>0.2</v>
      </c>
      <c r="E94" s="3573" t="s">
        <v>3040</v>
      </c>
      <c r="F94" s="3574"/>
      <c r="G94" s="3574"/>
      <c r="H94" s="3575"/>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1898</v>
      </c>
      <c r="B95" s="536" t="s">
        <v>328</v>
      </c>
      <c r="C95" s="539">
        <f ca="1">ROUND(C85-C86,0)</f>
        <v>53432</v>
      </c>
      <c r="D95" s="532" t="s">
        <v>164</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1899</v>
      </c>
      <c r="B96" s="536" t="s">
        <v>329</v>
      </c>
      <c r="C96" s="559">
        <f ca="1">IF(C95&lt;=0,0,C95/C86)</f>
        <v>165.42414860681114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14.25" thickBot="1">
      <c r="A97" s="1801" t="s">
        <v>1900</v>
      </c>
      <c r="B97" s="541" t="s">
        <v>330</v>
      </c>
      <c r="C97" s="560">
        <f ca="1">ROUND(IF(C95&lt;=0,0,IF(C96&gt;=200%,C95*60%-C86*35%,IF(C96&gt;=100%,C95*50%-C86*15%,IF(C96&gt;=50%,C95*40%-C86*5%,IF(C96&lt;50%,C95*30%,0))))),0)</f>
        <v>31946</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226</v>
      </c>
      <c r="B99" s="1243"/>
      <c r="C99" s="1243"/>
      <c r="D99" s="1243"/>
      <c r="E99" s="229"/>
      <c r="F99" s="229"/>
      <c r="G99" s="229"/>
      <c r="H99" s="241"/>
      <c r="I99" s="2277"/>
    </row>
    <row r="100" spans="1:35" ht="18.75" customHeight="1">
      <c r="A100" s="3468" t="s">
        <v>227</v>
      </c>
      <c r="B100" s="3469"/>
      <c r="C100" s="3469"/>
      <c r="D100" s="3503"/>
      <c r="E100" s="3469" t="s">
        <v>2891</v>
      </c>
      <c r="F100" s="3469"/>
      <c r="G100" s="3469"/>
      <c r="H100" s="3503"/>
      <c r="I100" s="2277"/>
    </row>
    <row r="101" spans="1:35" ht="18.75" customHeight="1">
      <c r="A101" s="3511" t="s">
        <v>205</v>
      </c>
      <c r="B101" s="3512"/>
      <c r="C101" s="1266" t="str">
        <f>C4</f>
        <v>比较法-商业</v>
      </c>
      <c r="D101" s="1267" t="str">
        <f>D4</f>
        <v>收益法</v>
      </c>
      <c r="E101" s="3480" t="s">
        <v>1906</v>
      </c>
      <c r="F101" s="3481"/>
      <c r="G101" s="1268" t="s">
        <v>207</v>
      </c>
      <c r="H101" s="1986">
        <f ca="1">H118</f>
        <v>56443</v>
      </c>
      <c r="I101" s="2277"/>
    </row>
    <row r="102" spans="1:35" ht="18.75" customHeight="1">
      <c r="A102" s="3513" t="s">
        <v>206</v>
      </c>
      <c r="B102" s="1268" t="s">
        <v>207</v>
      </c>
      <c r="C102" s="1235">
        <f ca="1">C19</f>
        <v>72821</v>
      </c>
      <c r="D102" s="1236">
        <f ca="1">D19</f>
        <v>45525</v>
      </c>
      <c r="E102" s="3480"/>
      <c r="F102" s="3481"/>
      <c r="G102" s="1268" t="s">
        <v>208</v>
      </c>
      <c r="H102" s="711">
        <f ca="1">I118</f>
        <v>14904</v>
      </c>
      <c r="I102" s="2277"/>
    </row>
    <row r="103" spans="1:35" ht="42.75" customHeight="1">
      <c r="A103" s="3513"/>
      <c r="B103" s="1268" t="s">
        <v>208</v>
      </c>
      <c r="C103" s="1237">
        <f ca="1">C20</f>
        <v>19229</v>
      </c>
      <c r="D103" s="1238">
        <f ca="1">D20</f>
        <v>12021</v>
      </c>
      <c r="E103" s="3474" t="s">
        <v>3001</v>
      </c>
      <c r="F103" s="3475"/>
      <c r="G103" s="1269" t="s">
        <v>210</v>
      </c>
      <c r="H103" s="1986">
        <f>IF(D36="正常操作",H104+H105+H106,H105+H106)</f>
        <v>0</v>
      </c>
      <c r="I103" s="2277"/>
    </row>
    <row r="104" spans="1:35" ht="18.75" customHeight="1">
      <c r="A104" s="3513" t="s">
        <v>209</v>
      </c>
      <c r="B104" s="1270" t="s">
        <v>207</v>
      </c>
      <c r="C104" s="1239">
        <f ca="1">H118</f>
        <v>56443</v>
      </c>
      <c r="D104" s="1240"/>
      <c r="E104" s="13" t="s">
        <v>1905</v>
      </c>
      <c r="F104" s="6"/>
      <c r="G104" s="1269" t="s">
        <v>210</v>
      </c>
      <c r="H104" s="1987">
        <f>IF(D36="同一抵押权人同一抵押物续贷",C36&amp;"（未扣减，详见特别提示）",C36)</f>
        <v>20000</v>
      </c>
      <c r="I104" s="2277"/>
    </row>
    <row r="105" spans="1:35" ht="18.75" customHeight="1" thickBot="1">
      <c r="A105" s="3527"/>
      <c r="B105" s="1271" t="s">
        <v>208</v>
      </c>
      <c r="C105" s="1241">
        <f ca="1">I118</f>
        <v>14904</v>
      </c>
      <c r="D105" s="1242"/>
      <c r="E105" s="13" t="s">
        <v>1907</v>
      </c>
      <c r="F105" s="6"/>
      <c r="G105" s="1269" t="s">
        <v>210</v>
      </c>
      <c r="H105" s="1987">
        <f>C37</f>
        <v>0</v>
      </c>
      <c r="I105" s="2277"/>
    </row>
    <row r="106" spans="1:35" ht="18.75" customHeight="1">
      <c r="A106" s="1243" t="s">
        <v>1999</v>
      </c>
      <c r="B106" s="1243"/>
      <c r="C106" s="1243"/>
      <c r="D106" s="1243"/>
      <c r="E106" s="467" t="s">
        <v>1908</v>
      </c>
      <c r="F106" s="6"/>
      <c r="G106" s="1269" t="s">
        <v>210</v>
      </c>
      <c r="H106" s="1987">
        <f>C38</f>
        <v>0</v>
      </c>
      <c r="I106" s="2277"/>
    </row>
    <row r="107" spans="1:35" ht="18.75" customHeight="1">
      <c r="A107" s="2277"/>
      <c r="B107" s="2277"/>
      <c r="C107" s="2277"/>
      <c r="D107" s="2277"/>
      <c r="E107" s="3515" t="str">
        <f>IF(项目基本情况!E8="已注销","——","3.房地产抵押价值")</f>
        <v>3.房地产抵押价值</v>
      </c>
      <c r="F107" s="3481"/>
      <c r="G107" s="1268" t="s">
        <v>207</v>
      </c>
      <c r="H107" s="1986">
        <f ca="1">IF(E107="——","——",H101-H103)</f>
        <v>56443</v>
      </c>
      <c r="I107" s="2277"/>
    </row>
    <row r="108" spans="1:35" ht="18.75" customHeight="1">
      <c r="A108" s="2277"/>
      <c r="B108" s="2277"/>
      <c r="C108" s="2277"/>
      <c r="D108" s="2277"/>
      <c r="E108" s="3515"/>
      <c r="F108" s="3481"/>
      <c r="G108" s="1268" t="s">
        <v>208</v>
      </c>
      <c r="H108" s="711">
        <f ca="1">ROUND(H107*10000/'数据-汇总表'!E3,0)</f>
        <v>14904</v>
      </c>
      <c r="I108" s="2277"/>
    </row>
    <row r="109" spans="1:35" ht="18.75" customHeight="1">
      <c r="A109" s="2277"/>
      <c r="B109" s="2277"/>
      <c r="C109" s="2277"/>
      <c r="D109" s="2277"/>
      <c r="E109" s="3515" t="str">
        <f>IF(项目基本情况!E8="已注销及未注销","4.抵押担保权已注销时的房地产抵押价值",IF(项目基本情况!E8="已注销","3.抵押担保权已注销时的房地产抵押价值","——"))</f>
        <v>——</v>
      </c>
      <c r="F109" s="3481"/>
      <c r="G109" s="1268" t="s">
        <v>207</v>
      </c>
      <c r="H109" s="685" t="str">
        <f>IF(E109="——","——",H101-H105-H106)</f>
        <v>——</v>
      </c>
      <c r="I109" s="2277"/>
    </row>
    <row r="110" spans="1:35" ht="18.75" customHeight="1">
      <c r="A110" s="2277"/>
      <c r="B110" s="2277"/>
      <c r="C110" s="2277"/>
      <c r="D110" s="2277"/>
      <c r="E110" s="3515"/>
      <c r="F110" s="3481"/>
      <c r="G110" s="1268" t="s">
        <v>208</v>
      </c>
      <c r="H110" s="711" t="str">
        <f>IF(H109="——","——",ROUND(H109*10000/'数据-汇总表'!E3,0))</f>
        <v>——</v>
      </c>
      <c r="I110" s="2277"/>
    </row>
    <row r="111" spans="1:35" ht="18.75" customHeight="1">
      <c r="A111" s="2277"/>
      <c r="B111" s="2277"/>
      <c r="C111" s="2277"/>
      <c r="D111" s="2277"/>
      <c r="E111" s="3516" t="str">
        <f>IF(项目基本情况!E9="抵押净值",IF(OR(项目基本情况!E8="已注销",项目基本情况!E8="房地产抵押价值"),"4.抵押净值","5.抵押净值"),"——")</f>
        <v>——</v>
      </c>
      <c r="F111" s="3517"/>
      <c r="G111" s="1268" t="s">
        <v>207</v>
      </c>
      <c r="H111" s="1986" t="str">
        <f>IF(E111="——","——",N59)</f>
        <v>——</v>
      </c>
      <c r="I111" s="2277"/>
    </row>
    <row r="112" spans="1:35" ht="18.75" customHeight="1" thickBot="1">
      <c r="A112" s="2277"/>
      <c r="B112" s="2277"/>
      <c r="C112" s="2277"/>
      <c r="D112" s="2277"/>
      <c r="E112" s="3518"/>
      <c r="F112" s="3519"/>
      <c r="G112" s="1272" t="s">
        <v>208</v>
      </c>
      <c r="H112" s="1423" t="str">
        <f>IF(E111="——","——",N61)</f>
        <v>——</v>
      </c>
      <c r="I112" s="2277"/>
    </row>
    <row r="113" spans="1:11" ht="18.75" customHeight="1">
      <c r="A113" s="2277"/>
      <c r="B113" s="2277"/>
      <c r="C113" s="2277"/>
      <c r="D113" s="2277"/>
      <c r="E113" s="3528" t="s">
        <v>1999</v>
      </c>
      <c r="F113" s="3528"/>
      <c r="G113" s="3528"/>
      <c r="H113" s="3528"/>
      <c r="I113" s="2277"/>
    </row>
    <row r="114" spans="1:11" ht="3.75" customHeight="1">
      <c r="A114" s="1243"/>
      <c r="B114" s="1243"/>
      <c r="C114" s="1243"/>
      <c r="D114" s="1243"/>
      <c r="E114" s="1258"/>
      <c r="F114" s="1258"/>
      <c r="G114" s="1258"/>
      <c r="H114" s="1258"/>
      <c r="I114" s="1243"/>
    </row>
    <row r="115" spans="1:11" ht="18.75" customHeight="1">
      <c r="A115" s="3541" t="s">
        <v>223</v>
      </c>
      <c r="B115" s="3542"/>
      <c r="C115" s="3542"/>
      <c r="D115" s="3542"/>
      <c r="E115" s="3542"/>
      <c r="F115" s="3542"/>
      <c r="G115" s="3542"/>
      <c r="H115" s="3542"/>
      <c r="I115" s="3543"/>
    </row>
    <row r="116" spans="1:11" ht="27" customHeight="1">
      <c r="A116" s="3448" t="s">
        <v>5</v>
      </c>
      <c r="B116" s="3490" t="s">
        <v>3046</v>
      </c>
      <c r="C116" s="3490" t="s">
        <v>3176</v>
      </c>
      <c r="D116" s="3499" t="s">
        <v>203</v>
      </c>
      <c r="E116" s="3500"/>
      <c r="F116" s="3537" t="s">
        <v>3177</v>
      </c>
      <c r="G116" s="3537"/>
      <c r="H116" s="3448" t="s">
        <v>6</v>
      </c>
      <c r="I116" s="3448"/>
    </row>
    <row r="117" spans="1:11" ht="18.75" customHeight="1">
      <c r="A117" s="3448"/>
      <c r="B117" s="3491"/>
      <c r="C117" s="3491"/>
      <c r="D117" s="1915" t="s">
        <v>7</v>
      </c>
      <c r="E117" s="1915" t="s">
        <v>782</v>
      </c>
      <c r="F117" s="1915" t="s">
        <v>7</v>
      </c>
      <c r="G117" s="1915" t="s">
        <v>8</v>
      </c>
      <c r="H117" s="1915" t="s">
        <v>7</v>
      </c>
      <c r="I117" s="1915" t="s">
        <v>8</v>
      </c>
    </row>
    <row r="118" spans="1:11" ht="24.75" customHeight="1">
      <c r="A118" s="2033" t="str">
        <f>项目基本情况!S2</f>
        <v>重庆市北部新区金开大道1226号第三层房地产</v>
      </c>
      <c r="B118" s="1920">
        <f>M18</f>
        <v>37870.639999999999</v>
      </c>
      <c r="C118" s="1920">
        <f>M19</f>
        <v>7774.02</v>
      </c>
      <c r="D118" s="1920">
        <f ca="1">ROUND(IF(D32="总价",C34,E118*B118/10000),0)</f>
        <v>32906</v>
      </c>
      <c r="E118" s="1920">
        <f ca="1">ROUND(IF(C33="自定义",IF(D32="楼面单价",C34,D118*10000/B118),I118-G118),0)</f>
        <v>8689</v>
      </c>
      <c r="F118" s="1920">
        <f ca="1">ROUND(IF(D32="总价",C35,G118*B118/10000),0)</f>
        <v>23537</v>
      </c>
      <c r="G118" s="1920">
        <f ca="1">ROUND(IF(D32="楼面单价",C35,F118*10000/B118),0)</f>
        <v>6215</v>
      </c>
      <c r="H118" s="1920">
        <f ca="1">ROUND(IF(D32="总价",C32,I118*B118/10000),0)</f>
        <v>56443</v>
      </c>
      <c r="I118" s="1920">
        <f ca="1">ROUND(IF(D32="楼面单价",C32,H118*10000/B118),0)</f>
        <v>14904</v>
      </c>
    </row>
    <row r="119" spans="1:11" ht="18.75" customHeight="1">
      <c r="A119" s="3448" t="s">
        <v>9</v>
      </c>
      <c r="B119" s="3448"/>
      <c r="C119" s="3448"/>
      <c r="D119" s="3492" t="str">
        <f ca="1">NUMBERSTRING(INT(D118*10000),2)&amp;"元整"</f>
        <v>叁亿贰仟玖佰零陆万元整</v>
      </c>
      <c r="E119" s="3493"/>
      <c r="F119" s="3492" t="str">
        <f ca="1">NUMBERSTRING(INT(F118*10000),2)&amp;"元整"</f>
        <v>贰亿叁仟伍佰叁拾柒万元整</v>
      </c>
      <c r="G119" s="3493"/>
      <c r="H119" s="3492" t="str">
        <f ca="1">NUMBERSTRING(INT(H118*10000),2)&amp;"元整"</f>
        <v>伍亿陆仟肆佰肆拾叁万元整</v>
      </c>
      <c r="I119" s="3493"/>
    </row>
    <row r="120" spans="1:11" ht="18.75" customHeight="1">
      <c r="A120" s="3494" t="str">
        <f>IF(项目基本情况!B9="房地产市场价值","",MID(E103,3,LEN(E103)-2))</f>
        <v>估价师知悉的法定优先受偿款</v>
      </c>
      <c r="B120" s="3495"/>
      <c r="C120" s="3496"/>
      <c r="D120" s="3487">
        <f>H103</f>
        <v>0</v>
      </c>
      <c r="E120" s="3488"/>
      <c r="F120" s="3488"/>
      <c r="G120" s="3488"/>
      <c r="H120" s="3488"/>
      <c r="I120" s="3489"/>
      <c r="K120" s="1434" t="str">
        <f>IF(D120=0,"故，本次评估不存在"&amp;A120,"故，本次评估"&amp;A120&amp;"为人民币"&amp;D120&amp;"万元整。")</f>
        <v>故，本次评估不存在估价师知悉的法定优先受偿款</v>
      </c>
    </row>
    <row r="121" spans="1:11" ht="18.75" customHeight="1">
      <c r="A121" s="3538" t="s">
        <v>9</v>
      </c>
      <c r="B121" s="3539"/>
      <c r="C121" s="3540"/>
      <c r="D121" s="3492" t="str">
        <f>IF(D120=0,"零元整",NUMBERSTRING(INT(D120*10000),2)&amp;"元整")</f>
        <v>零元整</v>
      </c>
      <c r="E121" s="3497"/>
      <c r="F121" s="3497"/>
      <c r="G121" s="3497"/>
      <c r="H121" s="3497"/>
      <c r="I121" s="3493"/>
    </row>
    <row r="122" spans="1:11" ht="18.75" customHeight="1">
      <c r="A122" s="3501" t="str">
        <f>IF(项目基本情况!B9="房地产市场价值","",MID(E107,3,LEN(E107)-2))</f>
        <v>房地产抵押价值</v>
      </c>
      <c r="B122" s="3501"/>
      <c r="C122" s="3501"/>
      <c r="D122" s="3487">
        <f ca="1">H107</f>
        <v>56443</v>
      </c>
      <c r="E122" s="3488"/>
      <c r="F122" s="3488"/>
      <c r="G122" s="3488"/>
      <c r="H122" s="3488"/>
      <c r="I122" s="3489"/>
    </row>
    <row r="123" spans="1:11" ht="18.75" customHeight="1">
      <c r="A123" s="3448" t="s">
        <v>9</v>
      </c>
      <c r="B123" s="3448"/>
      <c r="C123" s="3448"/>
      <c r="D123" s="3492" t="str">
        <f ca="1">NUMBERSTRING(INT(D122*10000),2)&amp;"元整"</f>
        <v>伍亿陆仟肆佰肆拾叁万元整</v>
      </c>
      <c r="E123" s="3497"/>
      <c r="F123" s="3497"/>
      <c r="G123" s="3497"/>
      <c r="H123" s="3497"/>
      <c r="I123" s="3493"/>
    </row>
    <row r="124" spans="1:11" ht="18.75" customHeight="1">
      <c r="A124" s="3501" t="str">
        <f>IF(项目基本情况!B9="房地产市场价值","",MID(E109,3,LEN(E109)-2))</f>
        <v/>
      </c>
      <c r="B124" s="3501"/>
      <c r="C124" s="3501"/>
      <c r="D124" s="3487" t="str">
        <f>H109</f>
        <v>——</v>
      </c>
      <c r="E124" s="3488"/>
      <c r="F124" s="3488"/>
      <c r="G124" s="3488"/>
      <c r="H124" s="3488"/>
      <c r="I124" s="3489"/>
    </row>
    <row r="125" spans="1:11" ht="18.75" customHeight="1">
      <c r="A125" s="3448" t="s">
        <v>9</v>
      </c>
      <c r="B125" s="3448"/>
      <c r="C125" s="3448"/>
      <c r="D125" s="3492" t="e">
        <f>NUMBERSTRING(INT(D124*10000),2)&amp;"元整"</f>
        <v>#VALUE!</v>
      </c>
      <c r="E125" s="3497"/>
      <c r="F125" s="3497"/>
      <c r="G125" s="3497"/>
      <c r="H125" s="3497"/>
      <c r="I125" s="3493"/>
    </row>
    <row r="126" spans="1:11" ht="18.75" customHeight="1">
      <c r="A126" s="3501" t="str">
        <f>IF(项目基本情况!B9="房地产市场价值","",MID(E111,3,LEN(E111)-2))</f>
        <v/>
      </c>
      <c r="B126" s="3501"/>
      <c r="C126" s="3501"/>
      <c r="D126" s="3487" t="str">
        <f>H111</f>
        <v>——</v>
      </c>
      <c r="E126" s="3488"/>
      <c r="F126" s="3488"/>
      <c r="G126" s="3488"/>
      <c r="H126" s="3488"/>
      <c r="I126" s="3489"/>
    </row>
    <row r="127" spans="1:11" ht="18.75" customHeight="1">
      <c r="A127" s="3448" t="s">
        <v>9</v>
      </c>
      <c r="B127" s="3448"/>
      <c r="C127" s="3448"/>
      <c r="D127" s="3492" t="e">
        <f>NUMBERSTRING(INT(D126*10000),2)&amp;"元整"</f>
        <v>#VALUE!</v>
      </c>
      <c r="E127" s="3497"/>
      <c r="F127" s="3497"/>
      <c r="G127" s="3497"/>
      <c r="H127" s="3497"/>
      <c r="I127" s="3493"/>
    </row>
    <row r="128" spans="1:11" ht="21.75" customHeight="1">
      <c r="A128" s="3498" t="s">
        <v>1998</v>
      </c>
      <c r="B128" s="3498"/>
      <c r="C128" s="3498"/>
      <c r="D128" s="3498"/>
      <c r="E128" s="3498"/>
      <c r="F128" s="3498"/>
      <c r="G128" s="3498"/>
      <c r="H128" s="3498"/>
      <c r="I128" s="3498"/>
    </row>
    <row r="129" spans="1:35" ht="21.75" customHeight="1">
      <c r="A129" s="2028" t="s">
        <v>783</v>
      </c>
      <c r="B129" s="2029"/>
      <c r="C129" s="468" t="s">
        <v>147</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c r="H135" s="1448"/>
      <c r="I135" s="1449" t="s">
        <v>785</v>
      </c>
    </row>
    <row r="136" spans="1:35" ht="21.75" customHeight="1">
      <c r="A136" s="1446"/>
      <c r="B136" s="1450" t="s">
        <v>786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787</v>
      </c>
    </row>
    <row r="139" spans="1:35" ht="21.75" customHeight="1">
      <c r="A139" s="1446"/>
      <c r="B139" s="1450" t="s">
        <v>788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52"/>
      <c r="C1" s="574"/>
      <c r="D1" s="574"/>
      <c r="E1" s="574"/>
      <c r="F1" s="574"/>
      <c r="G1" s="2753">
        <f>MATCH(B1,'数据-取费表'!A6:A16,0)+5</f>
        <v>7</v>
      </c>
    </row>
    <row r="2" spans="1:9" s="576" customFormat="1" ht="18" customHeight="1">
      <c r="A2" s="577" t="s">
        <v>443</v>
      </c>
      <c r="B2" s="578">
        <f ca="1">IF(D2="——",C52,C52-E2)</f>
        <v>15058</v>
      </c>
      <c r="C2" s="85" t="s">
        <v>862</v>
      </c>
      <c r="D2" s="2870" t="s">
        <v>528</v>
      </c>
      <c r="E2" s="2868" t="e">
        <f ca="1">SUMIF(INDIRECT("'"&amp;G2&amp;"'"&amp;"!A:A"),"承租人权益价值",INDIRECT("'"&amp;G2&amp;"'"&amp;"!c:c"))</f>
        <v>#REF!</v>
      </c>
      <c r="F2" s="2866" t="s">
        <v>862</v>
      </c>
      <c r="G2" s="2869"/>
    </row>
    <row r="3" spans="1:9" s="576" customFormat="1" ht="18" customHeight="1" thickBot="1">
      <c r="A3" s="579" t="s">
        <v>444</v>
      </c>
      <c r="B3" s="580">
        <f ca="1">ROUND(B2*10000/(IF(B1="",'数据-汇总表'!E3,INDIRECT("'数据-取费表'!k"&amp;$G$1))),0)</f>
        <v>3976</v>
      </c>
      <c r="C3" s="85" t="s">
        <v>863</v>
      </c>
      <c r="D3" s="575"/>
      <c r="E3" s="575"/>
      <c r="F3" s="575"/>
      <c r="G3" s="575"/>
    </row>
    <row r="4" spans="1:9" s="584" customFormat="1" ht="15.75">
      <c r="A4" s="581" t="s">
        <v>815</v>
      </c>
      <c r="B4" s="582"/>
      <c r="C4" s="582"/>
      <c r="D4" s="582"/>
      <c r="E4" s="582"/>
      <c r="F4" s="582"/>
      <c r="G4" s="583"/>
    </row>
    <row r="5" spans="1:9" s="590" customFormat="1" ht="13.5" customHeight="1">
      <c r="A5" s="631" t="s">
        <v>2496</v>
      </c>
      <c r="B5" s="586" t="s">
        <v>816</v>
      </c>
      <c r="C5" s="587">
        <f>C6+C7+C8</f>
        <v>0</v>
      </c>
      <c r="D5" s="587" t="s">
        <v>817</v>
      </c>
      <c r="E5" s="588" t="s">
        <v>818</v>
      </c>
      <c r="F5" s="588" t="s">
        <v>819</v>
      </c>
      <c r="G5" s="589"/>
    </row>
    <row r="6" spans="1:9" s="590" customFormat="1" ht="13.5" customHeight="1">
      <c r="A6" s="1804" t="s">
        <v>1918</v>
      </c>
      <c r="B6" s="591" t="s">
        <v>820</v>
      </c>
      <c r="C6" s="592"/>
      <c r="D6" s="593"/>
      <c r="E6" s="594"/>
      <c r="F6" s="594"/>
      <c r="G6" s="595"/>
    </row>
    <row r="7" spans="1:9" s="590" customFormat="1" ht="13.5" customHeight="1">
      <c r="A7" s="1804" t="s">
        <v>1919</v>
      </c>
      <c r="B7" s="591" t="s">
        <v>344</v>
      </c>
      <c r="C7" s="596">
        <f>ROUND(C6*F7,0)</f>
        <v>0</v>
      </c>
      <c r="D7" s="596"/>
      <c r="E7" s="594"/>
      <c r="F7" s="597">
        <f>'数据-取费表'!B48+'数据-取费表'!B49</f>
        <v>3.0499999999999999E-2</v>
      </c>
      <c r="G7" s="595"/>
    </row>
    <row r="8" spans="1:9" s="599" customFormat="1">
      <c r="A8" s="1804" t="s">
        <v>1920</v>
      </c>
      <c r="B8" s="591" t="s">
        <v>821</v>
      </c>
      <c r="C8" s="596">
        <f>IF(G8="已包含在土地购买价格中","0",IF(B1="",'数据-取费表'!B29,IF(G9="全部缴纳",C9+C10,H9)))</f>
        <v>0</v>
      </c>
      <c r="D8" s="598"/>
      <c r="E8" s="596"/>
      <c r="F8" s="597"/>
      <c r="G8" s="84"/>
    </row>
    <row r="9" spans="1:9" s="590" customFormat="1" ht="13.5" customHeight="1">
      <c r="A9" s="1805" t="s">
        <v>1927</v>
      </c>
      <c r="B9" s="600" t="s">
        <v>822</v>
      </c>
      <c r="C9" s="601">
        <f ca="1">ROUND(D9*E9/10000,0)</f>
        <v>0</v>
      </c>
      <c r="D9" s="1909">
        <f ca="1">IF(B1="",'数据-汇总表'!E5,IF(INDIRECT("'数据-取费表'!c"&amp;$G$1)="住宅",INDIRECT("'数据-取费表'!k"&amp;$G$1),0))</f>
        <v>0</v>
      </c>
      <c r="E9" s="601">
        <f>'数据-取费表'!B27</f>
        <v>0</v>
      </c>
      <c r="F9" s="597"/>
      <c r="G9" s="2800"/>
      <c r="H9" s="2801"/>
      <c r="I9" s="2802" t="s">
        <v>2677</v>
      </c>
    </row>
    <row r="10" spans="1:9" s="590" customFormat="1" ht="13.5" customHeight="1">
      <c r="A10" s="1805" t="s">
        <v>1928</v>
      </c>
      <c r="B10" s="600" t="s">
        <v>823</v>
      </c>
      <c r="C10" s="601">
        <f ca="1">ROUND(D10*E10/10000,0)</f>
        <v>1098</v>
      </c>
      <c r="D10" s="1909">
        <f ca="1">IF(B1="",'数据-汇总表'!E6,IF(INDIRECT("'数据-取费表'!c"&amp;$G$1)="住宅",INDIRECT("'数据-取费表'!s"&amp;$G$1),INDIRECT("'数据-取费表'!k"&amp;$G$1)+INDIRECT("'数据-取费表'!s"&amp;$G$1)))</f>
        <v>37870.639999999999</v>
      </c>
      <c r="E10" s="601">
        <f>'数据-取费表'!B28</f>
        <v>290</v>
      </c>
      <c r="F10" s="597"/>
      <c r="G10" s="602"/>
    </row>
    <row r="11" spans="1:9" s="590" customFormat="1" ht="13.5" hidden="1" customHeight="1">
      <c r="A11" s="603" t="s">
        <v>42</v>
      </c>
      <c r="B11" s="591" t="s">
        <v>824</v>
      </c>
      <c r="C11" s="587"/>
      <c r="D11" s="1911"/>
      <c r="E11" s="594"/>
      <c r="F11" s="594"/>
      <c r="G11" s="595"/>
    </row>
    <row r="12" spans="1:9" s="590" customFormat="1" ht="13.5" hidden="1" customHeight="1">
      <c r="A12" s="603" t="s">
        <v>43</v>
      </c>
      <c r="B12" s="591" t="s">
        <v>825</v>
      </c>
      <c r="C12" s="587">
        <v>0</v>
      </c>
      <c r="D12" s="1911"/>
      <c r="E12" s="604"/>
      <c r="F12" s="597">
        <v>3.0499999999999999E-2</v>
      </c>
      <c r="G12" s="595"/>
    </row>
    <row r="13" spans="1:9" s="590" customFormat="1" ht="13.5" hidden="1" customHeight="1">
      <c r="A13" s="603" t="s">
        <v>44</v>
      </c>
      <c r="B13" s="591" t="s">
        <v>826</v>
      </c>
      <c r="C13" s="587"/>
      <c r="D13" s="1911"/>
      <c r="E13" s="594"/>
      <c r="F13" s="594"/>
      <c r="G13" s="595"/>
    </row>
    <row r="14" spans="1:9" s="590" customFormat="1" ht="13.5" hidden="1" customHeight="1">
      <c r="A14" s="603" t="s">
        <v>45</v>
      </c>
      <c r="B14" s="591" t="s">
        <v>821</v>
      </c>
      <c r="C14" s="587"/>
      <c r="D14" s="1911"/>
      <c r="E14" s="594"/>
      <c r="F14" s="594"/>
      <c r="G14" s="595" t="s">
        <v>827</v>
      </c>
    </row>
    <row r="15" spans="1:9" s="590" customFormat="1" ht="13.5" hidden="1" customHeight="1">
      <c r="A15" s="603" t="s">
        <v>46</v>
      </c>
      <c r="B15" s="591" t="s">
        <v>828</v>
      </c>
      <c r="C15" s="596"/>
      <c r="D15" s="1911"/>
      <c r="E15" s="594"/>
      <c r="F15" s="594"/>
      <c r="G15" s="595" t="s">
        <v>829</v>
      </c>
    </row>
    <row r="16" spans="1:9"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 ca="1">IF(G19="已包含在土地取得成本中","0",ROUND(D19*E19/10000,0))</f>
        <v>757</v>
      </c>
      <c r="D19" s="1913">
        <f ca="1">D9+D10</f>
        <v>37870.639999999999</v>
      </c>
      <c r="E19" s="587">
        <f>'数据-取费表'!B31</f>
        <v>200</v>
      </c>
      <c r="F19" s="607"/>
      <c r="G19" s="84"/>
    </row>
    <row r="20" spans="1:7" s="590" customFormat="1" ht="13.5" customHeight="1">
      <c r="A20" s="1803" t="s">
        <v>2499</v>
      </c>
      <c r="B20" s="586" t="s">
        <v>833</v>
      </c>
      <c r="C20" s="608">
        <f ca="1">ROUND((C5+C19)*F20,0)</f>
        <v>23</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34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00">
        <f ca="1">ROUND(IF('数据-取费表'!B22&lt;=1,C5*F22*'数据-取费表'!B23,C5*(POWER((1+F22),'数据-取费表'!B23)-1)),0)</f>
        <v>0</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 ca="1">C28</f>
        <v>156</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ROUND((C5+C19+C20)*F27*'数据-取费表'!B21/'数据-取费表'!B20,0)</f>
        <v>156</v>
      </c>
      <c r="D28" s="611"/>
      <c r="E28" s="612"/>
      <c r="F28" s="622"/>
      <c r="G28" s="623"/>
    </row>
    <row r="29" spans="1:7" s="590" customFormat="1" ht="13.5" customHeight="1">
      <c r="A29" s="1806" t="s">
        <v>1919</v>
      </c>
      <c r="B29" s="624" t="s">
        <v>2505</v>
      </c>
      <c r="C29" s="614">
        <f ca="1">ROUND(C21*F27*'数据-取费表'!B21/'数据-取费表'!B20,4)</f>
        <v>6.0000000000000001E-3</v>
      </c>
      <c r="D29" s="611"/>
      <c r="E29" s="612"/>
      <c r="F29" s="622"/>
      <c r="G29" s="623"/>
    </row>
    <row r="30" spans="1:7" s="590" customFormat="1" ht="13.5" customHeight="1">
      <c r="A30" s="1803" t="s">
        <v>1915</v>
      </c>
      <c r="B30" s="586" t="s">
        <v>345</v>
      </c>
      <c r="C30" s="611">
        <f>ROUND(F30/(1+'数据-取费表'!C42),4)</f>
        <v>5.33E-2</v>
      </c>
      <c r="D30" s="612" t="s">
        <v>2928</v>
      </c>
      <c r="E30" s="617"/>
      <c r="F30" s="613">
        <f>'数据-取费表'!B41</f>
        <v>5.6000000000000001E-2</v>
      </c>
      <c r="G30" s="2620" t="s">
        <v>2929</v>
      </c>
    </row>
    <row r="31" spans="1:7" ht="16.5" customHeight="1">
      <c r="A31" s="585">
        <v>1</v>
      </c>
      <c r="B31" s="586" t="s">
        <v>857</v>
      </c>
      <c r="C31" s="587">
        <f ca="1">ROUND((C5+C19+C20+C22+C27)/(1-C21-D22-D27-C30),0)</f>
        <v>1066</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11243</v>
      </c>
      <c r="D33" s="608"/>
      <c r="E33" s="588"/>
      <c r="F33" s="617"/>
      <c r="G33" s="610"/>
    </row>
    <row r="34" spans="1:7" s="634" customFormat="1" ht="13.5" customHeight="1">
      <c r="A34" s="1806" t="s">
        <v>1918</v>
      </c>
      <c r="B34" s="591" t="s">
        <v>346</v>
      </c>
      <c r="C34" s="596">
        <f ca="1">IF(B1="",IF(F34=100%,'数据-取费表'!M16,'数据-取费表'!O16),IF(F34=100%,INDIRECT("'数据-取费表'!m"&amp;$G$1)+INDIRECT("'数据-取费表'!t"&amp;$G$1),INDIRECT("'数据-取费表'!o"&amp;$G$1)+INDIRECT("'数据-取费表'!aq"&amp;$G$1)))</f>
        <v>9846</v>
      </c>
      <c r="D34" s="593"/>
      <c r="E34" s="596"/>
      <c r="F34" s="633">
        <f ca="1">IF('数据-取费表'!B24=0,1,IF(B1="",'数据-取费表'!N16,INDIRECT("'数据-取费表'!n"&amp;$G$1)))</f>
        <v>1</v>
      </c>
      <c r="G34" s="595" t="s">
        <v>845</v>
      </c>
    </row>
    <row r="35" spans="1:7" ht="13.5" customHeight="1">
      <c r="A35" s="1806" t="s">
        <v>1923</v>
      </c>
      <c r="B35" s="591" t="s">
        <v>347</v>
      </c>
      <c r="C35" s="596">
        <f ca="1">ROUND(C34*F35,0)</f>
        <v>492</v>
      </c>
      <c r="D35" s="596"/>
      <c r="E35" s="596"/>
      <c r="F35" s="635">
        <f>'数据-取费表'!B33</f>
        <v>0.05</v>
      </c>
      <c r="G35" s="595" t="s">
        <v>846</v>
      </c>
    </row>
    <row r="36" spans="1:7" ht="24">
      <c r="A36" s="1806" t="s">
        <v>1924</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6" t="s">
        <v>1925</v>
      </c>
      <c r="B37" s="591" t="s">
        <v>847</v>
      </c>
      <c r="C37" s="625">
        <f ca="1">ROUND(E37*D37*F34/10000,0)</f>
        <v>757</v>
      </c>
      <c r="D37" s="593">
        <f ca="1">D19</f>
        <v>37870.639999999999</v>
      </c>
      <c r="E37" s="625">
        <f>'数据-取费表'!B35</f>
        <v>200</v>
      </c>
      <c r="F37" s="635"/>
      <c r="G37" s="637" t="s">
        <v>848</v>
      </c>
    </row>
    <row r="38" spans="1:7" ht="13.5" customHeight="1">
      <c r="A38" s="1806" t="s">
        <v>1926</v>
      </c>
      <c r="B38" s="591" t="s">
        <v>350</v>
      </c>
      <c r="C38" s="596">
        <f ca="1">ROUND(C34*F38,0)</f>
        <v>148</v>
      </c>
      <c r="D38" s="596"/>
      <c r="E38" s="596"/>
      <c r="F38" s="635">
        <f>'数据-取费表'!B36</f>
        <v>1.4999999999999999E-2</v>
      </c>
      <c r="G38" s="595" t="s">
        <v>846</v>
      </c>
    </row>
    <row r="39" spans="1:7" s="590" customFormat="1" ht="13.5" customHeight="1">
      <c r="A39" s="1803" t="s">
        <v>1910</v>
      </c>
      <c r="B39" s="586" t="s">
        <v>833</v>
      </c>
      <c r="C39" s="608">
        <f ca="1">ROUND(C33*F20,0)</f>
        <v>337</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 ca="1">C46</f>
        <v>2316</v>
      </c>
      <c r="D45" s="611">
        <f ca="1">C47</f>
        <v>6.0000000000000001E-3</v>
      </c>
      <c r="E45" s="612" t="s">
        <v>858</v>
      </c>
      <c r="F45" s="622"/>
      <c r="G45" s="623" t="s">
        <v>2514</v>
      </c>
    </row>
    <row r="46" spans="1:7" s="590" customFormat="1" ht="13.5" customHeight="1">
      <c r="A46" s="1806" t="s">
        <v>1918</v>
      </c>
      <c r="B46" s="624" t="s">
        <v>2507</v>
      </c>
      <c r="C46" s="625">
        <f ca="1">ROUND((C33+C39)*F27,0)</f>
        <v>2316</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3233">
        <f>ROUND(F30/(1+'数据-取费表'!C42),4)</f>
        <v>5.33E-2</v>
      </c>
      <c r="D48" s="612" t="s">
        <v>2930</v>
      </c>
      <c r="E48" s="608"/>
      <c r="F48" s="613"/>
      <c r="G48" s="2620" t="s">
        <v>2931</v>
      </c>
    </row>
    <row r="49" spans="1:7" ht="16.5" customHeight="1">
      <c r="A49" s="1803" t="s">
        <v>1915</v>
      </c>
      <c r="B49" s="586" t="s">
        <v>860</v>
      </c>
      <c r="C49" s="608">
        <f ca="1">ROUND((C33+C39+C41+C45)/(1-C40-D41-D45-C48),0)</f>
        <v>15547</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13992</v>
      </c>
      <c r="D51" s="608"/>
      <c r="E51" s="608"/>
      <c r="F51" s="640"/>
      <c r="G51" s="610" t="s">
        <v>351</v>
      </c>
    </row>
    <row r="52" spans="1:7" s="584" customFormat="1" ht="16.5" thickBot="1">
      <c r="A52" s="641" t="s">
        <v>352</v>
      </c>
      <c r="B52" s="642"/>
      <c r="C52" s="643">
        <f ca="1">C31+C51</f>
        <v>15058</v>
      </c>
      <c r="D52" s="642"/>
      <c r="E52" s="642"/>
      <c r="F52" s="642"/>
      <c r="G52" s="644"/>
    </row>
    <row r="55" spans="1:7" ht="15">
      <c r="B55" s="646" t="s">
        <v>353</v>
      </c>
      <c r="C55" s="647"/>
    </row>
    <row r="56" spans="1:7">
      <c r="B56" s="2872" t="s">
        <v>2689</v>
      </c>
      <c r="C56" s="651">
        <f ca="1">1-C57</f>
        <v>7.0999999999999952E-2</v>
      </c>
    </row>
    <row r="57" spans="1:7">
      <c r="B57" s="2872" t="s">
        <v>2688</v>
      </c>
      <c r="C57" s="650">
        <f ca="1">ROUND(C51/C52,3)</f>
        <v>0.92900000000000005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8" zoomScale="80" zoomScaleNormal="100" zoomScaleSheetLayoutView="100" zoomScalePageLayoutView="80" workbookViewId="0">
      <selection activeCell="B37" sqref="B37:I37"/>
    </sheetView>
  </sheetViews>
  <sheetFormatPr defaultRowHeight="13.5"/>
  <cols>
    <col min="1" max="1" width="3.5" style="1889" customWidth="1"/>
    <col min="2" max="9" width="10" style="1889" customWidth="1"/>
    <col min="10" max="16384" width="9" style="1889"/>
  </cols>
  <sheetData>
    <row r="36" spans="1:9">
      <c r="A36" s="1888" t="s">
        <v>1959</v>
      </c>
      <c r="B36" s="1888" t="s">
        <v>1960</v>
      </c>
    </row>
    <row r="37" spans="1:9" ht="27.75" customHeight="1">
      <c r="A37" s="1888"/>
      <c r="B37" s="3382" t="str">
        <f>项目基本情况!B1</f>
        <v>重庆市北部新区金开大道1226号第三层房地产抵押价值预评估</v>
      </c>
      <c r="C37" s="3382"/>
      <c r="D37" s="3382"/>
      <c r="E37" s="3382"/>
      <c r="F37" s="3382"/>
      <c r="G37" s="3382"/>
      <c r="H37" s="3382"/>
      <c r="I37" s="3382"/>
    </row>
    <row r="38" spans="1:9">
      <c r="A38" s="1890"/>
      <c r="B38" s="1890"/>
    </row>
    <row r="39" spans="1:9">
      <c r="A39" s="1888" t="s">
        <v>1959</v>
      </c>
      <c r="B39" s="1888" t="s">
        <v>1961</v>
      </c>
    </row>
    <row r="40" spans="1:9">
      <c r="A40" s="1888"/>
      <c r="B40" s="1888" t="str">
        <f>项目基本情况!B5</f>
        <v>重庆固地实业有限公司</v>
      </c>
    </row>
    <row r="41" spans="1:9">
      <c r="A41" s="1888"/>
      <c r="B41" s="1888"/>
    </row>
    <row r="42" spans="1:9">
      <c r="A42" s="1888" t="s">
        <v>1959</v>
      </c>
      <c r="B42" s="1888" t="s">
        <v>1962</v>
      </c>
    </row>
    <row r="43" spans="1:9">
      <c r="A43" s="1888"/>
      <c r="B43" s="1888" t="s">
        <v>1963</v>
      </c>
    </row>
    <row r="44" spans="1:9">
      <c r="A44" s="1888"/>
      <c r="B44" s="1888"/>
    </row>
    <row r="45" spans="1:9">
      <c r="A45" s="1888" t="s">
        <v>1959</v>
      </c>
      <c r="B45" s="1888" t="s">
        <v>1964</v>
      </c>
    </row>
    <row r="46" spans="1:9" s="1888" customFormat="1" ht="12.75">
      <c r="B46" s="1888" t="str">
        <f ca="1">项目基本情况!K4</f>
        <v>刘梅（注册号：1120140022)、吴薇（注册号：1419970001)</v>
      </c>
    </row>
    <row r="47" spans="1:9">
      <c r="A47" s="1888"/>
      <c r="B47" s="1888" t="str">
        <f>项目基本情况!K5</f>
        <v/>
      </c>
    </row>
    <row r="48" spans="1:9">
      <c r="A48" s="1888" t="s">
        <v>1959</v>
      </c>
      <c r="B48" s="1888" t="s">
        <v>1965</v>
      </c>
    </row>
    <row r="49" spans="2:2">
      <c r="B49" s="1888" t="str">
        <f>"康正预评字"&amp;项目基本情况!B2&amp;"号"</f>
        <v>康正预评字2017-1-0954-P01DYGJ2号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52"/>
      <c r="C1" s="2757" t="s">
        <v>2619</v>
      </c>
      <c r="D1" s="574"/>
      <c r="E1" s="574"/>
      <c r="F1" s="574"/>
      <c r="G1" s="2753">
        <f>MATCH(B1,'数据-取费表'!A6:A16,0)+5</f>
        <v>7</v>
      </c>
      <c r="H1" s="2584" t="str">
        <f>IF(ISERROR(FIND("住宅",B1)),"非住宅","住宅")</f>
        <v>非住宅</v>
      </c>
    </row>
    <row r="2" spans="1:8" s="576" customFormat="1" ht="18" customHeight="1">
      <c r="A2" s="577" t="s">
        <v>342</v>
      </c>
      <c r="B2" s="578">
        <f ca="1">ROUND(IF(D2="——",C52/10000,C52/10000-E2),0)</f>
        <v>16604</v>
      </c>
      <c r="C2" s="85" t="s">
        <v>862</v>
      </c>
      <c r="D2" s="2870" t="s">
        <v>528</v>
      </c>
      <c r="E2" s="2868" t="e">
        <f ca="1">SUMIF(INDIRECT("'"&amp;G2&amp;"'"&amp;"!A:A"),"承租人权益价值",INDIRECT("'"&amp;G2&amp;"'"&amp;"!c:c"))</f>
        <v>#REF!</v>
      </c>
      <c r="F2" s="2866" t="s">
        <v>862</v>
      </c>
      <c r="G2" s="2869"/>
    </row>
    <row r="3" spans="1:8" s="576" customFormat="1" ht="18" customHeight="1" thickBot="1">
      <c r="A3" s="579" t="s">
        <v>343</v>
      </c>
      <c r="B3" s="580">
        <f ca="1">ROUND(B2*10000/(IF(B1="",'数据-汇总表'!E3,INDIRECT("'数据-取费表'!k"&amp;$G$1))),0)</f>
        <v>4384</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10982486</v>
      </c>
      <c r="D5" s="587" t="s">
        <v>817</v>
      </c>
      <c r="E5" s="588" t="s">
        <v>818</v>
      </c>
      <c r="F5" s="588" t="s">
        <v>819</v>
      </c>
      <c r="G5" s="589"/>
    </row>
    <row r="6" spans="1:8" s="590" customFormat="1" ht="13.5" customHeight="1">
      <c r="A6" s="1804" t="s">
        <v>1918</v>
      </c>
      <c r="B6" s="591" t="s">
        <v>820</v>
      </c>
      <c r="C6" s="592"/>
      <c r="D6" s="593"/>
      <c r="E6" s="594"/>
      <c r="F6" s="594"/>
      <c r="G6" s="595"/>
    </row>
    <row r="7" spans="1:8" s="590" customFormat="1" ht="13.5" customHeight="1">
      <c r="A7" s="1804" t="s">
        <v>1919</v>
      </c>
      <c r="B7" s="591" t="s">
        <v>344</v>
      </c>
      <c r="C7" s="596">
        <f>ROUND(C6*F7,0)</f>
        <v>0</v>
      </c>
      <c r="D7" s="596"/>
      <c r="E7" s="594"/>
      <c r="F7" s="597">
        <f>'数据-取费表'!B48+'数据-取费表'!B49</f>
        <v>3.0499999999999999E-2</v>
      </c>
      <c r="G7" s="595"/>
    </row>
    <row r="8" spans="1:8" s="599" customFormat="1">
      <c r="A8" s="1804" t="s">
        <v>1920</v>
      </c>
      <c r="B8" s="591" t="s">
        <v>821</v>
      </c>
      <c r="C8" s="596">
        <f ca="1">IF(G8="已包含在土地购买价格中",0,C9+C10)</f>
        <v>10982486</v>
      </c>
      <c r="D8" s="598"/>
      <c r="E8" s="596"/>
      <c r="F8" s="597"/>
      <c r="G8" s="84"/>
    </row>
    <row r="9" spans="1:8" s="590" customFormat="1" ht="13.5" customHeight="1">
      <c r="A9" s="1805" t="s">
        <v>1927</v>
      </c>
      <c r="B9" s="600" t="s">
        <v>822</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1928</v>
      </c>
      <c r="B10" s="600" t="s">
        <v>823</v>
      </c>
      <c r="C10" s="601">
        <f ca="1">ROUND(D10*E10,0)</f>
        <v>10982486</v>
      </c>
      <c r="D10" s="1909">
        <f ca="1">IF(B1="",'数据-汇总表'!E6,IF(INDIRECT("'数据-取费表'!c"&amp;$G$1)="住宅",INDIRECT("'数据-取费表'!s"&amp;$G$1),INDIRECT("'数据-取费表'!k"&amp;$G$1)+INDIRECT("'数据-取费表'!s"&amp;$G$1)))</f>
        <v>37870.639999999999</v>
      </c>
      <c r="E10" s="601">
        <f>'数据-取费表'!B28</f>
        <v>290</v>
      </c>
      <c r="F10" s="597"/>
      <c r="G10" s="602"/>
    </row>
    <row r="11" spans="1:8" s="590" customFormat="1" ht="13.5" hidden="1" customHeight="1">
      <c r="A11" s="603" t="s">
        <v>42</v>
      </c>
      <c r="B11" s="591" t="s">
        <v>824</v>
      </c>
      <c r="C11" s="587"/>
      <c r="D11" s="1911"/>
      <c r="E11" s="594"/>
      <c r="F11" s="594"/>
      <c r="G11" s="595"/>
    </row>
    <row r="12" spans="1:8" s="590" customFormat="1" ht="13.5" hidden="1" customHeight="1">
      <c r="A12" s="603" t="s">
        <v>43</v>
      </c>
      <c r="B12" s="591" t="s">
        <v>825</v>
      </c>
      <c r="C12" s="587">
        <v>0</v>
      </c>
      <c r="D12" s="1911"/>
      <c r="E12" s="604"/>
      <c r="F12" s="597">
        <v>3.0499999999999999E-2</v>
      </c>
      <c r="G12" s="595"/>
    </row>
    <row r="13" spans="1:8" s="590" customFormat="1" ht="13.5" hidden="1" customHeight="1">
      <c r="A13" s="603" t="s">
        <v>44</v>
      </c>
      <c r="B13" s="591" t="s">
        <v>826</v>
      </c>
      <c r="C13" s="587"/>
      <c r="D13" s="1911"/>
      <c r="E13" s="594"/>
      <c r="F13" s="594"/>
      <c r="G13" s="595"/>
    </row>
    <row r="14" spans="1:8" s="590" customFormat="1" ht="13.5" hidden="1" customHeight="1">
      <c r="A14" s="603" t="s">
        <v>45</v>
      </c>
      <c r="B14" s="591" t="s">
        <v>821</v>
      </c>
      <c r="C14" s="587"/>
      <c r="D14" s="1911"/>
      <c r="E14" s="594"/>
      <c r="F14" s="594"/>
      <c r="G14" s="595" t="s">
        <v>827</v>
      </c>
    </row>
    <row r="15" spans="1:8" s="590" customFormat="1" ht="13.5" hidden="1" customHeight="1">
      <c r="A15" s="603" t="s">
        <v>46</v>
      </c>
      <c r="B15" s="591" t="s">
        <v>828</v>
      </c>
      <c r="C15" s="596"/>
      <c r="D15" s="1911"/>
      <c r="E15" s="594"/>
      <c r="F15" s="594"/>
      <c r="G15" s="595" t="s">
        <v>829</v>
      </c>
    </row>
    <row r="16" spans="1:8"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1910</v>
      </c>
      <c r="B19" s="586" t="s">
        <v>840</v>
      </c>
      <c r="C19" s="587">
        <f ca="1">IF(G19="已包含在土地取得成本中","0",ROUND(D19*E19,0))</f>
        <v>7574128</v>
      </c>
      <c r="D19" s="1913">
        <f ca="1">D9+D10</f>
        <v>37870.639999999999</v>
      </c>
      <c r="E19" s="587">
        <f>'数据-取费表'!B31</f>
        <v>200</v>
      </c>
      <c r="F19" s="607"/>
      <c r="G19" s="84"/>
    </row>
    <row r="20" spans="1:7" s="590" customFormat="1" ht="13.5" customHeight="1">
      <c r="A20" s="1803" t="s">
        <v>1911</v>
      </c>
      <c r="B20" s="586" t="s">
        <v>833</v>
      </c>
      <c r="C20" s="608">
        <f ca="1">ROUND((C5+C19)*F20,0)</f>
        <v>556698</v>
      </c>
      <c r="D20" s="608"/>
      <c r="E20" s="608"/>
      <c r="F20" s="609">
        <f>'数据-取费表'!B37</f>
        <v>0.03</v>
      </c>
      <c r="G20" s="2620" t="s">
        <v>2510</v>
      </c>
    </row>
    <row r="21" spans="1:7" s="590" customFormat="1" ht="13.5" customHeight="1">
      <c r="A21" s="1803" t="s">
        <v>1912</v>
      </c>
      <c r="B21" s="586" t="s">
        <v>834</v>
      </c>
      <c r="C21" s="611">
        <f>F21</f>
        <v>0.03</v>
      </c>
      <c r="D21" s="612" t="s">
        <v>855</v>
      </c>
      <c r="E21" s="608"/>
      <c r="F21" s="609">
        <f>'数据-取费表'!B38</f>
        <v>0.03</v>
      </c>
      <c r="G21" s="610" t="s">
        <v>835</v>
      </c>
    </row>
    <row r="22" spans="1:7" s="590" customFormat="1" ht="13.5" customHeight="1">
      <c r="A22" s="1803" t="s">
        <v>1913</v>
      </c>
      <c r="B22" s="586" t="s">
        <v>836</v>
      </c>
      <c r="C22" s="2754">
        <f ca="1">ROUND(SUM(C23:C25),0)</f>
        <v>819321</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55">
        <f ca="1">ROUND(IF('数据-取费表'!B22&lt;=1,C5*F22*'数据-取费表'!B22,C5*(POWER((1+F22),'数据-取费表'!B22)-1)),0)</f>
        <v>477738</v>
      </c>
      <c r="D23" s="614"/>
      <c r="E23" s="614"/>
      <c r="F23" s="615"/>
      <c r="G23" s="616" t="s">
        <v>837</v>
      </c>
    </row>
    <row r="24" spans="1:7" s="590" customFormat="1" ht="13.5" customHeight="1">
      <c r="A24" s="1806" t="s">
        <v>1919</v>
      </c>
      <c r="B24" s="591" t="s">
        <v>2498</v>
      </c>
      <c r="C24" s="2755">
        <f ca="1">ROUND(IF('数据-取费表'!B22&lt;=1,C19*F22*('数据-取费表'!B19/2+'数据-取费表'!B20),C19*(POWER((1+F22),('数据-取费表'!B19/2+'数据-取费表'!B20))-1)),0)</f>
        <v>329475</v>
      </c>
      <c r="D24" s="614"/>
      <c r="E24" s="614"/>
      <c r="F24" s="615"/>
      <c r="G24" s="616" t="s">
        <v>838</v>
      </c>
    </row>
    <row r="25" spans="1:7" s="590" customFormat="1" ht="24">
      <c r="A25" s="1806" t="s">
        <v>1920</v>
      </c>
      <c r="B25" s="591" t="s">
        <v>2500</v>
      </c>
      <c r="C25" s="2755">
        <f ca="1">ROUND(IF('数据-取费表'!B22&lt;=1,C20*F22*'数据-取费表'!B22/2,C20*(POWER((1+F22),'数据-取费表'!B22/2)-1)),0)</f>
        <v>12108</v>
      </c>
      <c r="D25" s="614"/>
      <c r="E25" s="617"/>
      <c r="F25" s="615"/>
      <c r="G25" s="618" t="s">
        <v>839</v>
      </c>
    </row>
    <row r="26" spans="1:7" s="590" customFormat="1">
      <c r="A26" s="1806" t="s">
        <v>1922</v>
      </c>
      <c r="B26" s="591" t="s">
        <v>2502</v>
      </c>
      <c r="C26" s="614">
        <f ca="1">ROUND(IF('数据-取费表'!B22&lt;=1,F21*F22*'数据-取费表'!B22/2,F21*(POWER((1+F22),'数据-取费表'!B22/2)-1)),4)</f>
        <v>6.9999999999999999E-4</v>
      </c>
      <c r="D26" s="614"/>
      <c r="E26" s="617"/>
      <c r="F26" s="615"/>
      <c r="G26" s="619"/>
    </row>
    <row r="27" spans="1:7" s="590" customFormat="1" ht="24.75">
      <c r="A27" s="1803" t="s">
        <v>1914</v>
      </c>
      <c r="B27" s="620" t="s">
        <v>841</v>
      </c>
      <c r="C27" s="621">
        <f ca="1">C28</f>
        <v>3822662</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ROUND((C5+C19+C20)*F27,0)</f>
        <v>3822662</v>
      </c>
      <c r="D28" s="611"/>
      <c r="E28" s="612"/>
      <c r="F28" s="622"/>
      <c r="G28" s="623"/>
    </row>
    <row r="29" spans="1:7" s="590" customFormat="1" ht="13.5" customHeight="1">
      <c r="A29" s="1806" t="s">
        <v>1919</v>
      </c>
      <c r="B29" s="624" t="s">
        <v>2505</v>
      </c>
      <c r="C29" s="614">
        <f ca="1">ROUND(C21*F27,4)</f>
        <v>6.0000000000000001E-3</v>
      </c>
      <c r="D29" s="611"/>
      <c r="E29" s="612"/>
      <c r="F29" s="622"/>
      <c r="G29" s="623"/>
    </row>
    <row r="30" spans="1:7" s="590" customFormat="1" ht="13.5" customHeight="1">
      <c r="A30" s="1803" t="s">
        <v>1915</v>
      </c>
      <c r="B30" s="586" t="s">
        <v>345</v>
      </c>
      <c r="C30" s="611">
        <f>ROUND(F30/(1+'数据-取费表'!C42),4)</f>
        <v>5.33E-2</v>
      </c>
      <c r="D30" s="612" t="s">
        <v>2932</v>
      </c>
      <c r="E30" s="617"/>
      <c r="F30" s="613">
        <f>'数据-取费表'!B41</f>
        <v>5.6000000000000001E-2</v>
      </c>
      <c r="G30" s="2620" t="s">
        <v>2933</v>
      </c>
    </row>
    <row r="31" spans="1:7" ht="16.5" customHeight="1">
      <c r="A31" s="585">
        <v>1</v>
      </c>
      <c r="B31" s="586" t="s">
        <v>857</v>
      </c>
      <c r="C31" s="587">
        <f ca="1">ROUND((C5+C19+C20+C22+C27)/(1-C21-D22-D27-C30),0)</f>
        <v>26104720</v>
      </c>
      <c r="D31" s="606"/>
      <c r="E31" s="587"/>
      <c r="F31" s="626"/>
      <c r="G31" s="610" t="s">
        <v>2512</v>
      </c>
    </row>
    <row r="32" spans="1:7" s="584" customFormat="1" ht="15.75">
      <c r="A32" s="628" t="s">
        <v>2614</v>
      </c>
      <c r="B32" s="629"/>
      <c r="C32" s="629"/>
      <c r="D32" s="629"/>
      <c r="E32" s="629"/>
      <c r="F32" s="629"/>
      <c r="G32" s="630"/>
    </row>
    <row r="33" spans="1:7" s="590" customFormat="1" ht="13.5" customHeight="1">
      <c r="A33" s="631" t="s">
        <v>1909</v>
      </c>
      <c r="B33" s="2756" t="s">
        <v>2615</v>
      </c>
      <c r="C33" s="632">
        <f ca="1">SUM(C34:C38)</f>
        <v>112437930</v>
      </c>
      <c r="D33" s="608"/>
      <c r="E33" s="588"/>
      <c r="F33" s="617"/>
      <c r="G33" s="610"/>
    </row>
    <row r="34" spans="1:7" s="634" customFormat="1" ht="13.5" customHeight="1">
      <c r="A34" s="1806" t="s">
        <v>1918</v>
      </c>
      <c r="B34" s="591" t="s">
        <v>346</v>
      </c>
      <c r="C34" s="596">
        <f ca="1">ROUND(IF(B1="",SUMPRODUCT('数据-取费表'!K6:K14,'数据-取费表'!L6:L14),INDIRECT("'数据-取费表'!l"&amp;$G$1)*INDIRECT("'数据-取费表'!k"&amp;$G$1)+'数据-取费表'!L14*INDIRECT("'数据-取费表'!S"&amp;$G$1)),0)</f>
        <v>98463664</v>
      </c>
      <c r="D34" s="593"/>
      <c r="E34" s="596"/>
      <c r="F34" s="633"/>
      <c r="G34" s="595"/>
    </row>
    <row r="35" spans="1:7" ht="13.5" customHeight="1">
      <c r="A35" s="1806" t="s">
        <v>1923</v>
      </c>
      <c r="B35" s="591" t="s">
        <v>347</v>
      </c>
      <c r="C35" s="596">
        <f ca="1">ROUND(C34*F35,0)</f>
        <v>4923183</v>
      </c>
      <c r="D35" s="596"/>
      <c r="E35" s="596"/>
      <c r="F35" s="635">
        <f>'数据-取费表'!B33</f>
        <v>0.05</v>
      </c>
      <c r="G35" s="595" t="s">
        <v>846</v>
      </c>
    </row>
    <row r="36" spans="1:7" ht="24">
      <c r="A36" s="1806" t="s">
        <v>1924</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6" t="s">
        <v>1925</v>
      </c>
      <c r="B37" s="591" t="s">
        <v>847</v>
      </c>
      <c r="C37" s="625">
        <f ca="1">ROUND(E37*D37,0)</f>
        <v>7574128</v>
      </c>
      <c r="D37" s="593">
        <f ca="1">D19</f>
        <v>37870.639999999999</v>
      </c>
      <c r="E37" s="625">
        <f>'数据-取费表'!B35</f>
        <v>200</v>
      </c>
      <c r="F37" s="635"/>
      <c r="G37" s="637"/>
    </row>
    <row r="38" spans="1:7" ht="13.5" customHeight="1">
      <c r="A38" s="1806" t="s">
        <v>1926</v>
      </c>
      <c r="B38" s="591" t="s">
        <v>350</v>
      </c>
      <c r="C38" s="596">
        <f ca="1">ROUND(C34*F38,0)</f>
        <v>1476955</v>
      </c>
      <c r="D38" s="596"/>
      <c r="E38" s="596"/>
      <c r="F38" s="635">
        <f>'数据-取费表'!B36</f>
        <v>1.4999999999999999E-2</v>
      </c>
      <c r="G38" s="595" t="s">
        <v>846</v>
      </c>
    </row>
    <row r="39" spans="1:7" s="590" customFormat="1" ht="13.5" customHeight="1">
      <c r="A39" s="1803" t="s">
        <v>1910</v>
      </c>
      <c r="B39" s="586" t="s">
        <v>833</v>
      </c>
      <c r="C39" s="608">
        <f ca="1">ROUND(C33*F20,0)</f>
        <v>3373138</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2518891</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ROUND(IF('数据-取费表'!B22&lt;=1,C33*F22*'数据-取费表'!B20/2,C33*(POWER((1+F22),'数据-取费表'!B20/2)-1)),0)</f>
        <v>2445525</v>
      </c>
      <c r="D42" s="614"/>
      <c r="E42" s="614"/>
      <c r="F42" s="615"/>
      <c r="G42" s="3579" t="s">
        <v>2618</v>
      </c>
    </row>
    <row r="43" spans="1:7" ht="13.5" customHeight="1">
      <c r="A43" s="1806" t="s">
        <v>1919</v>
      </c>
      <c r="B43" s="591" t="s">
        <v>2498</v>
      </c>
      <c r="C43" s="614">
        <f ca="1">ROUND(IF('数据-取费表'!B22&lt;=1,C39*F22*'数据-取费表'!B20/2,C39*(POWER((1+F22),'数据-取费表'!B20/2)-1)),0)</f>
        <v>73366</v>
      </c>
      <c r="D43" s="614"/>
      <c r="E43" s="614"/>
      <c r="F43" s="615"/>
      <c r="G43" s="3577"/>
    </row>
    <row r="44" spans="1:7" ht="13.5" customHeight="1">
      <c r="A44" s="1806" t="s">
        <v>1920</v>
      </c>
      <c r="B44" s="591" t="s">
        <v>2500</v>
      </c>
      <c r="C44" s="614">
        <f ca="1">ROUND(IF('数据-取费表'!B22&lt;=1,C40*F22*'数据-取费表'!B20/2,C40*(POWER((1+F22),'数据-取费表'!B20/2)-1)),4)</f>
        <v>6.9999999999999999E-4</v>
      </c>
      <c r="D44" s="614"/>
      <c r="E44" s="614"/>
      <c r="F44" s="615"/>
      <c r="G44" s="3578"/>
    </row>
    <row r="45" spans="1:7" s="590" customFormat="1" ht="13.5" customHeight="1">
      <c r="A45" s="1803" t="s">
        <v>1913</v>
      </c>
      <c r="B45" s="620" t="s">
        <v>841</v>
      </c>
      <c r="C45" s="621">
        <f ca="1">C46</f>
        <v>23162214</v>
      </c>
      <c r="D45" s="611">
        <f ca="1">C47</f>
        <v>6.0000000000000001E-3</v>
      </c>
      <c r="E45" s="612" t="s">
        <v>858</v>
      </c>
      <c r="F45" s="622"/>
      <c r="G45" s="623" t="s">
        <v>2514</v>
      </c>
    </row>
    <row r="46" spans="1:7" s="590" customFormat="1" ht="13.5" customHeight="1">
      <c r="A46" s="1806" t="s">
        <v>1918</v>
      </c>
      <c r="B46" s="624" t="s">
        <v>2507</v>
      </c>
      <c r="C46" s="625">
        <f ca="1">ROUND((C33+C39)*F27,0)</f>
        <v>23162214</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638">
        <f>ROUND(F30/(1+'数据-取费表'!C42),4)</f>
        <v>5.33E-2</v>
      </c>
      <c r="D48" s="612" t="s">
        <v>2930</v>
      </c>
      <c r="E48" s="608"/>
      <c r="F48" s="613"/>
      <c r="G48" s="2620" t="s">
        <v>2931</v>
      </c>
    </row>
    <row r="49" spans="1:7" ht="16.5" customHeight="1">
      <c r="A49" s="1803" t="s">
        <v>1915</v>
      </c>
      <c r="B49" s="586" t="s">
        <v>2616</v>
      </c>
      <c r="C49" s="608">
        <f ca="1">ROUND((C33+C39+C41+C45)/(1-C40-D41-D45-C48),0)</f>
        <v>155485904</v>
      </c>
      <c r="D49" s="608"/>
      <c r="E49" s="608"/>
      <c r="F49" s="640"/>
      <c r="G49" s="610" t="s">
        <v>2515</v>
      </c>
    </row>
    <row r="50" spans="1:7" s="634" customFormat="1">
      <c r="A50" s="1803" t="s">
        <v>1916</v>
      </c>
      <c r="B50" s="586" t="s">
        <v>853</v>
      </c>
      <c r="C50" s="608"/>
      <c r="D50" s="608"/>
      <c r="E50" s="608"/>
      <c r="F50" s="640">
        <f>IF('数据-取费表'!B24=0,'数据-取费表'!N16,1)</f>
        <v>0.9</v>
      </c>
      <c r="G50" s="623"/>
    </row>
    <row r="51" spans="1:7" ht="16.5" customHeight="1">
      <c r="A51" s="1803" t="s">
        <v>1917</v>
      </c>
      <c r="B51" s="586" t="s">
        <v>2617</v>
      </c>
      <c r="C51" s="608">
        <f ca="1">ROUND(C49*F50,0)</f>
        <v>139937314</v>
      </c>
      <c r="D51" s="608"/>
      <c r="E51" s="608"/>
      <c r="F51" s="640"/>
      <c r="G51" s="610" t="s">
        <v>351</v>
      </c>
    </row>
    <row r="52" spans="1:7" s="584" customFormat="1" ht="16.5" thickBot="1">
      <c r="A52" s="641" t="s">
        <v>352</v>
      </c>
      <c r="B52" s="642"/>
      <c r="C52" s="643">
        <f ca="1">C31+C51</f>
        <v>166042034</v>
      </c>
      <c r="D52" s="642"/>
      <c r="E52" s="642"/>
      <c r="F52" s="642"/>
      <c r="G52" s="644"/>
    </row>
    <row r="55" spans="1:7" ht="15">
      <c r="B55" s="646" t="s">
        <v>353</v>
      </c>
      <c r="C55" s="647"/>
    </row>
    <row r="56" spans="1:7">
      <c r="B56" s="2872" t="s">
        <v>2689</v>
      </c>
      <c r="C56" s="651">
        <f ca="1">1-C57</f>
        <v>0.15700000000000003</v>
      </c>
    </row>
    <row r="57" spans="1:7">
      <c r="B57" s="2872" t="s">
        <v>2688</v>
      </c>
      <c r="C57" s="650">
        <f ca="1">ROUND(C51/C52,3)</f>
        <v>0.84299999999999997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864</v>
      </c>
      <c r="B1" s="3050"/>
      <c r="C1" s="3051"/>
      <c r="D1" s="3049"/>
      <c r="E1" s="652"/>
      <c r="F1" s="652"/>
      <c r="G1" s="3050"/>
      <c r="H1" s="652"/>
      <c r="I1" s="652"/>
      <c r="J1" s="652"/>
      <c r="K1" s="652">
        <f>MATCH(C1,'数据-取费表'!A6:A16,0)+5</f>
        <v>7</v>
      </c>
    </row>
    <row r="2" spans="1:33" ht="18" customHeight="1">
      <c r="A2" s="577" t="s">
        <v>813</v>
      </c>
      <c r="B2" s="580">
        <f ca="1">C32</f>
        <v>-1319</v>
      </c>
      <c r="C2" s="88" t="s">
        <v>1096</v>
      </c>
      <c r="D2" s="652"/>
      <c r="E2" s="652"/>
      <c r="F2" s="652"/>
      <c r="G2" s="652"/>
      <c r="H2" s="652"/>
      <c r="I2" s="652"/>
      <c r="J2" s="652"/>
      <c r="K2" s="652"/>
    </row>
    <row r="3" spans="1:33" ht="18" customHeight="1" thickBot="1">
      <c r="A3" s="579" t="s">
        <v>814</v>
      </c>
      <c r="B3" s="580">
        <f ca="1">ROUND(B2*10000/IF(C1="",'数据-汇总表'!E3,INDIRECT("'数据-取费表'!K"&amp;$K$1)),0)</f>
        <v>-348</v>
      </c>
      <c r="C3" s="88" t="s">
        <v>863</v>
      </c>
      <c r="D3" s="652"/>
      <c r="E3" s="652"/>
      <c r="F3" s="652"/>
      <c r="G3" s="652"/>
      <c r="H3" s="652"/>
      <c r="I3" s="652"/>
      <c r="J3" s="652"/>
      <c r="K3" s="652"/>
    </row>
    <row r="4" spans="1:33" s="1811" customFormat="1" ht="16.5" customHeight="1">
      <c r="A4" s="1808" t="s">
        <v>865</v>
      </c>
      <c r="B4" s="1809"/>
      <c r="C4" s="1852">
        <f>SUM(C8:K8)</f>
        <v>0</v>
      </c>
      <c r="D4" s="1809"/>
      <c r="E4" s="1809"/>
      <c r="F4" s="1809"/>
      <c r="G4" s="1809"/>
      <c r="H4" s="1809"/>
      <c r="I4" s="1809"/>
      <c r="J4" s="1809"/>
      <c r="K4" s="1810"/>
    </row>
    <row r="5" spans="1:33" s="1815" customFormat="1" ht="24">
      <c r="A5" s="1812" t="s">
        <v>866</v>
      </c>
      <c r="B5" s="1813" t="s">
        <v>867</v>
      </c>
      <c r="C5" s="1273" t="s">
        <v>201</v>
      </c>
      <c r="D5" s="1273" t="s">
        <v>202</v>
      </c>
      <c r="E5" s="1273" t="s">
        <v>192</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1929</v>
      </c>
      <c r="B6" s="471" t="s">
        <v>868</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1911</v>
      </c>
      <c r="B8" s="509" t="s">
        <v>870</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871</v>
      </c>
      <c r="B9" s="1809"/>
      <c r="C9" s="1809"/>
      <c r="D9" s="1809"/>
      <c r="E9" s="1809"/>
      <c r="F9" s="1809"/>
      <c r="G9" s="1809"/>
      <c r="H9" s="1809"/>
      <c r="I9" s="1809"/>
      <c r="J9" s="1809"/>
      <c r="K9" s="1810"/>
    </row>
    <row r="10" spans="1:33" s="1826" customFormat="1" ht="13.5" customHeight="1">
      <c r="A10" s="1812" t="s">
        <v>866</v>
      </c>
      <c r="B10" s="295" t="s">
        <v>867</v>
      </c>
      <c r="C10" s="1822" t="s">
        <v>872</v>
      </c>
      <c r="D10" s="1823" t="s">
        <v>873</v>
      </c>
      <c r="E10" s="1823" t="s">
        <v>874</v>
      </c>
      <c r="F10" s="1823" t="s">
        <v>875</v>
      </c>
      <c r="G10" s="295"/>
      <c r="H10" s="1824"/>
      <c r="I10" s="1824"/>
      <c r="J10" s="1824"/>
      <c r="K10" s="1825"/>
    </row>
    <row r="11" spans="1:33" s="1831" customFormat="1" ht="13.5" customHeight="1">
      <c r="A11" s="1827" t="s">
        <v>2936</v>
      </c>
      <c r="B11" s="1828" t="s">
        <v>876</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2937</v>
      </c>
      <c r="B12" s="1828" t="s">
        <v>877</v>
      </c>
      <c r="C12" s="313">
        <f ca="1">ROUND(C11*F12,0)</f>
        <v>0</v>
      </c>
      <c r="D12" s="1829"/>
      <c r="E12" s="715"/>
      <c r="F12" s="1832">
        <f>'数据-取费表'!B33</f>
        <v>0.05</v>
      </c>
      <c r="G12" s="295" t="s">
        <v>878</v>
      </c>
      <c r="H12" s="1824"/>
      <c r="I12" s="1824"/>
      <c r="J12" s="1824"/>
      <c r="K12" s="1825"/>
    </row>
    <row r="13" spans="1:33" s="1831" customFormat="1" ht="13.5" customHeight="1">
      <c r="A13" s="1827" t="s">
        <v>2938</v>
      </c>
      <c r="B13" s="1828" t="s">
        <v>879</v>
      </c>
      <c r="C13" s="313">
        <f ca="1">ROUND(IF(C1="",SUMIF('数据-取费表'!C:C,"住宅",'数据-取费表'!P:P)*F13,IF(INDIRECT("'数据-取费表'!c"&amp;$K$1)="住宅",INDIRECT("'数据-取费表'!P"&amp;$K$1)*F13,0)),0)</f>
        <v>0</v>
      </c>
      <c r="D13" s="1910"/>
      <c r="E13" s="715"/>
      <c r="F13" s="1832">
        <f>'数据-取费表'!B34</f>
        <v>0</v>
      </c>
      <c r="G13" s="295" t="s">
        <v>880</v>
      </c>
      <c r="H13" s="1824"/>
      <c r="I13" s="1824"/>
      <c r="J13" s="1824"/>
      <c r="K13" s="1825"/>
    </row>
    <row r="14" spans="1:33" s="1833" customFormat="1" ht="13.5" customHeight="1">
      <c r="A14" s="1827" t="s">
        <v>2939</v>
      </c>
      <c r="B14" s="1828" t="s">
        <v>881</v>
      </c>
      <c r="C14" s="313">
        <f ca="1">ROUND(D14*E14*F11/10000,0)</f>
        <v>0</v>
      </c>
      <c r="D14" s="1910">
        <f ca="1">IF(C1="",'数据-汇总表'!E3,INDIRECT("'数据-取费表'!K"&amp;$K$1)+INDIRECT("'数据-取费表'!S"&amp;$K$1))</f>
        <v>37870.639999999999</v>
      </c>
      <c r="E14" s="313">
        <f>'数据-取费表'!B35</f>
        <v>200</v>
      </c>
      <c r="F14" s="1832"/>
      <c r="G14" s="295" t="s">
        <v>882</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2940</v>
      </c>
      <c r="B15" s="1828" t="s">
        <v>888</v>
      </c>
      <c r="C15" s="1839">
        <f ca="1">ROUND(C11*F15,0)</f>
        <v>0</v>
      </c>
      <c r="D15" s="1834"/>
      <c r="E15" s="1839"/>
      <c r="F15" s="1840">
        <f>'数据-取费表'!B36</f>
        <v>1.4999999999999999E-2</v>
      </c>
      <c r="G15" s="471" t="s">
        <v>889</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1930</v>
      </c>
      <c r="B16" s="3234" t="s">
        <v>2941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1931</v>
      </c>
      <c r="B17" s="1828" t="s">
        <v>883</v>
      </c>
      <c r="C17" s="313">
        <f ca="1">ROUND(D17*E17/10000,0)</f>
        <v>0</v>
      </c>
      <c r="D17" s="1910">
        <f ca="1">D14</f>
        <v>37870.639999999999</v>
      </c>
      <c r="E17" s="313">
        <f>'数据-取费表'!B32</f>
        <v>0</v>
      </c>
      <c r="F17" s="1834"/>
      <c r="G17" s="471" t="s">
        <v>884</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2942</v>
      </c>
      <c r="B18" s="1828" t="s">
        <v>885</v>
      </c>
      <c r="C18" s="313">
        <f ca="1">C19+C20-IF(C1="",'数据-取费表'!B29,IF(G18="已全部缴纳",C19+C20,H18))</f>
        <v>1098</v>
      </c>
      <c r="D18" s="1910"/>
      <c r="E18" s="313"/>
      <c r="F18" s="1832"/>
      <c r="G18" s="3046"/>
      <c r="H18" s="3044"/>
      <c r="I18" s="3045" t="s">
        <v>2788</v>
      </c>
      <c r="J18" s="1835"/>
      <c r="K18" s="1836"/>
    </row>
    <row r="19" spans="1:33" s="1831" customFormat="1" ht="13.5" customHeight="1">
      <c r="A19" s="1827" t="s">
        <v>1932</v>
      </c>
      <c r="B19" s="1828" t="s">
        <v>886</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1933</v>
      </c>
      <c r="B20" s="1828" t="s">
        <v>887</v>
      </c>
      <c r="C20" s="313">
        <f ca="1">ROUND(D20*E20/10000,0)</f>
        <v>1098</v>
      </c>
      <c r="D20" s="1910">
        <f ca="1">IF(C1="",'数据-汇总表'!E6,IF(INDIRECT("'数据-取费表'!c"&amp;$K$1)="住宅",INDIRECT("'数据-取费表'!s"&amp;$K$1),INDIRECT("'数据-取费表'!k"&amp;$K$1)+INDIRECT("'数据-取费表'!s"&amp;$K$1)))</f>
        <v>37870.639999999999</v>
      </c>
      <c r="E20" s="313">
        <f>'数据-取费表'!B28</f>
        <v>290</v>
      </c>
      <c r="F20" s="1832"/>
      <c r="G20" s="303"/>
      <c r="H20" s="1837"/>
      <c r="I20" s="1837"/>
      <c r="J20" s="1837"/>
      <c r="K20" s="1838"/>
    </row>
    <row r="21" spans="1:33" s="1831" customFormat="1" ht="13.5" customHeight="1">
      <c r="A21" s="1816" t="s">
        <v>1929</v>
      </c>
      <c r="B21" s="1841" t="s">
        <v>890</v>
      </c>
      <c r="C21" s="1842">
        <f ca="1">C16+C17+C18</f>
        <v>1098</v>
      </c>
      <c r="D21" s="1843"/>
      <c r="E21" s="657"/>
      <c r="F21" s="657"/>
      <c r="G21" s="471" t="s">
        <v>2516</v>
      </c>
      <c r="H21" s="1835"/>
      <c r="I21" s="1835"/>
      <c r="J21" s="1835"/>
      <c r="K21" s="1836"/>
    </row>
    <row r="22" spans="1:33" s="1831" customFormat="1" ht="13.5" customHeight="1">
      <c r="A22" s="1821" t="s">
        <v>1910</v>
      </c>
      <c r="B22" s="1841" t="s">
        <v>891</v>
      </c>
      <c r="C22" s="1842">
        <f ca="1">ROUND(C21*F22,0)</f>
        <v>33</v>
      </c>
      <c r="D22" s="657"/>
      <c r="E22" s="657"/>
      <c r="F22" s="1844">
        <f>'数据-取费表'!B37</f>
        <v>0.03</v>
      </c>
      <c r="G22" s="295" t="s">
        <v>892</v>
      </c>
      <c r="H22" s="1824"/>
      <c r="I22" s="1824"/>
      <c r="J22" s="1824"/>
      <c r="K22" s="1825"/>
    </row>
    <row r="23" spans="1:33" s="1831" customFormat="1" ht="13.5" customHeight="1">
      <c r="A23" s="1821" t="s">
        <v>1911</v>
      </c>
      <c r="B23" s="1841" t="s">
        <v>893</v>
      </c>
      <c r="C23" s="1842">
        <f ca="1">ROUND(C4*F23*F11,0)</f>
        <v>0</v>
      </c>
      <c r="D23" s="657"/>
      <c r="E23" s="657"/>
      <c r="F23" s="1844">
        <f>'数据-取费表'!B38</f>
        <v>0.03</v>
      </c>
      <c r="G23" s="295" t="s">
        <v>894</v>
      </c>
      <c r="H23" s="1824"/>
      <c r="I23" s="1824"/>
      <c r="J23" s="1824"/>
      <c r="K23" s="1825"/>
    </row>
    <row r="24" spans="1:33" s="1831" customFormat="1" ht="13.5" customHeight="1">
      <c r="A24" s="1821" t="s">
        <v>1912</v>
      </c>
      <c r="B24" s="1841" t="s">
        <v>895</v>
      </c>
      <c r="C24" s="656">
        <f>ROUND(F24/(1+'数据-取费表'!C42),4)</f>
        <v>2.9000000000000001E-2</v>
      </c>
      <c r="D24" s="657" t="s">
        <v>50</v>
      </c>
      <c r="E24" s="657"/>
      <c r="F24" s="1844">
        <f>'数据-取费表'!B48+'数据-取费表'!B49</f>
        <v>3.0499999999999999E-2</v>
      </c>
      <c r="G24" s="2023" t="s">
        <v>2934</v>
      </c>
      <c r="H24" s="1846"/>
      <c r="I24" s="1846"/>
      <c r="J24" s="1846"/>
      <c r="K24" s="1847"/>
    </row>
    <row r="25" spans="1:33" s="1831" customFormat="1" ht="13.5" customHeight="1">
      <c r="A25" s="1821" t="s">
        <v>1913</v>
      </c>
      <c r="B25" s="1843" t="s">
        <v>896</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1930</v>
      </c>
      <c r="B26" s="1848" t="s">
        <v>897</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1931</v>
      </c>
      <c r="B27" s="1848" t="s">
        <v>2606</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1914</v>
      </c>
      <c r="B28" s="3235" t="s">
        <v>2943</v>
      </c>
      <c r="C28" s="663">
        <f ca="1">C30</f>
        <v>226</v>
      </c>
      <c r="D28" s="656">
        <f ca="1">C29</f>
        <v>0</v>
      </c>
      <c r="E28" s="658" t="s">
        <v>50</v>
      </c>
      <c r="F28" s="664">
        <f ca="1">IF(C1="",'数据-取费表'!Q16,INDIRECT("'数据-取费表'!q"&amp;$K$1))</f>
        <v>0.2</v>
      </c>
      <c r="G28" s="1845"/>
      <c r="H28" s="1846"/>
      <c r="I28" s="1846"/>
      <c r="J28" s="1846"/>
      <c r="K28" s="1847"/>
    </row>
    <row r="29" spans="1:33" s="667" customFormat="1" ht="13.5" customHeight="1">
      <c r="A29" s="1827" t="s">
        <v>1930</v>
      </c>
      <c r="B29" s="1850" t="s">
        <v>898</v>
      </c>
      <c r="C29" s="660">
        <f ca="1">ROUND((1+C24)*F28*'数据-取费表'!B24/'数据-取费表'!B20,4)</f>
        <v>0</v>
      </c>
      <c r="D29" s="660"/>
      <c r="E29" s="661"/>
      <c r="F29" s="666"/>
      <c r="G29" s="471" t="s">
        <v>899</v>
      </c>
      <c r="H29" s="1835"/>
      <c r="I29" s="1835"/>
      <c r="J29" s="1835"/>
      <c r="K29" s="1836"/>
    </row>
    <row r="30" spans="1:33" s="667" customFormat="1" ht="13.5" customHeight="1">
      <c r="A30" s="1827" t="s">
        <v>1931</v>
      </c>
      <c r="B30" s="2709" t="s">
        <v>2607</v>
      </c>
      <c r="C30" s="668">
        <f ca="1">ROUND((C21+C22+C23)*F28,0)</f>
        <v>226</v>
      </c>
      <c r="D30" s="660"/>
      <c r="E30" s="661"/>
      <c r="F30" s="666"/>
      <c r="G30" s="471"/>
      <c r="H30" s="1835"/>
      <c r="I30" s="1835"/>
      <c r="J30" s="1835"/>
      <c r="K30" s="1836"/>
    </row>
    <row r="31" spans="1:33" s="1831" customFormat="1" ht="13.5" customHeight="1" thickBot="1">
      <c r="A31" s="1862" t="s">
        <v>1915</v>
      </c>
      <c r="B31" s="1863" t="s">
        <v>900</v>
      </c>
      <c r="C31" s="1864">
        <f>ROUND(C4*F31/(1+'数据-取费表'!C42),0)</f>
        <v>0</v>
      </c>
      <c r="D31" s="1865"/>
      <c r="E31" s="1866"/>
      <c r="F31" s="1867">
        <f>'数据-取费表'!B41</f>
        <v>5.6000000000000001E-2</v>
      </c>
      <c r="G31" s="1868" t="s">
        <v>901</v>
      </c>
      <c r="H31" s="1869"/>
      <c r="I31" s="1869"/>
      <c r="J31" s="1869"/>
      <c r="K31" s="1870"/>
    </row>
    <row r="32" spans="1:33" s="1826" customFormat="1" ht="13.5" customHeight="1" thickBot="1">
      <c r="A32" s="1857" t="s">
        <v>2935</v>
      </c>
      <c r="B32" s="1858"/>
      <c r="C32" s="1859">
        <f ca="1">ROUND((C4-C21-C22-C23-C25-C28-C31)/(1+C24+D25+D28),0)</f>
        <v>-1319</v>
      </c>
      <c r="D32" s="1858"/>
      <c r="E32" s="1858"/>
      <c r="F32" s="1858"/>
      <c r="G32" s="1860" t="s">
        <v>902</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F41" sqref="F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t="s">
        <v>3032</v>
      </c>
      <c r="D1" s="1274"/>
      <c r="E1" s="2585" t="s">
        <v>2434</v>
      </c>
      <c r="F1" s="2586">
        <f ca="1">J53</f>
        <v>26.5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813</v>
      </c>
      <c r="B2" s="1407">
        <f ca="1">C40+J29+L46</f>
        <v>45525</v>
      </c>
      <c r="C2" s="1300" t="s">
        <v>1097</v>
      </c>
      <c r="D2" s="1276"/>
      <c r="E2" s="2575"/>
      <c r="F2" s="1277"/>
      <c r="G2" s="2287"/>
      <c r="H2" s="1275"/>
      <c r="I2" s="1275"/>
      <c r="J2" s="1275"/>
      <c r="K2" s="1299"/>
      <c r="L2" s="1275"/>
      <c r="M2" s="1275"/>
    </row>
    <row r="3" spans="1:37" ht="18" customHeight="1" thickBot="1">
      <c r="A3" s="675" t="s">
        <v>814</v>
      </c>
      <c r="B3" s="1408">
        <f ca="1">IF(ISERROR(B2*10000/F43),0,ROUND(B2*10000/F43,0))</f>
        <v>12021</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2524</v>
      </c>
      <c r="C5" s="2626">
        <f ca="1">C6+C10+C12</f>
        <v>3488</v>
      </c>
      <c r="D5" s="2636" t="s">
        <v>2526</v>
      </c>
      <c r="E5" s="2627"/>
      <c r="F5" s="2628"/>
      <c r="G5" s="2288"/>
      <c r="H5" s="681">
        <v>1</v>
      </c>
      <c r="I5" s="682" t="s">
        <v>2524</v>
      </c>
      <c r="J5" s="2626">
        <f ca="1">J6+J10+J12</f>
        <v>0</v>
      </c>
      <c r="K5" s="2629" t="s">
        <v>2526</v>
      </c>
      <c r="L5" s="2627"/>
      <c r="M5" s="2628"/>
    </row>
    <row r="6" spans="1:37" ht="18" customHeight="1">
      <c r="A6" s="2622" t="s">
        <v>2531</v>
      </c>
      <c r="B6" s="3582" t="s">
        <v>2525</v>
      </c>
      <c r="C6" s="2631">
        <f ca="1">ROUND(F6*F8*F7*(1-F9)/10000,0)</f>
        <v>3483</v>
      </c>
      <c r="D6" s="2625" t="s">
        <v>2527</v>
      </c>
      <c r="E6" s="684" t="s">
        <v>910</v>
      </c>
      <c r="F6" s="685">
        <f ca="1">INDIRECT("'数据-取费表'!u"&amp;$G$1)</f>
        <v>2.8</v>
      </c>
      <c r="G6" s="2288"/>
      <c r="H6" s="2622" t="s">
        <v>2534</v>
      </c>
      <c r="I6" s="3582" t="s">
        <v>2525</v>
      </c>
      <c r="J6" s="683">
        <f ca="1">ROUND(M6*M8*M7*(1-M9)/10000,0)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37870.639999999999</v>
      </c>
      <c r="G7" s="2288"/>
      <c r="H7" s="686"/>
      <c r="I7" s="3583"/>
      <c r="J7" s="688"/>
      <c r="K7" s="689"/>
      <c r="L7" s="684" t="s">
        <v>911</v>
      </c>
      <c r="M7" s="685">
        <f ca="1">F7</f>
        <v>37870.639999999999</v>
      </c>
    </row>
    <row r="8" spans="1:37" ht="18" customHeight="1">
      <c r="A8" s="686"/>
      <c r="B8" s="3583"/>
      <c r="C8" s="688"/>
      <c r="D8" s="689"/>
      <c r="E8" s="684" t="s">
        <v>912</v>
      </c>
      <c r="F8" s="685">
        <f ca="1">INDIRECT("'数据-取费表'!ai"&amp;$G$1)</f>
        <v>365</v>
      </c>
      <c r="G8" s="2288"/>
      <c r="H8" s="686"/>
      <c r="I8" s="3583"/>
      <c r="J8" s="688"/>
      <c r="K8" s="689"/>
      <c r="L8" s="684" t="s">
        <v>912</v>
      </c>
      <c r="M8" s="685">
        <f ca="1">INDIRECT("'数据-取费表'!ai"&amp;$G$1)</f>
        <v>365</v>
      </c>
    </row>
    <row r="9" spans="1:37" ht="18" customHeight="1">
      <c r="A9" s="686"/>
      <c r="B9" s="3584"/>
      <c r="C9" s="688"/>
      <c r="D9" s="689"/>
      <c r="E9" s="684" t="s">
        <v>913</v>
      </c>
      <c r="F9" s="694">
        <f ca="1">INDIRECT("'数据-取费表'!w"&amp;$G$1)</f>
        <v>0.1</v>
      </c>
      <c r="G9" s="2288"/>
      <c r="H9" s="686"/>
      <c r="I9" s="3584"/>
      <c r="J9" s="688"/>
      <c r="K9" s="689"/>
      <c r="L9" s="695" t="s">
        <v>913</v>
      </c>
      <c r="M9" s="696">
        <f ca="1">INDIRECT("'数据-取费表'!ab"&amp;$G$1)</f>
        <v>0</v>
      </c>
    </row>
    <row r="10" spans="1:37" ht="18" customHeight="1">
      <c r="A10" s="2622" t="s">
        <v>2532</v>
      </c>
      <c r="B10" s="2623" t="s">
        <v>2520</v>
      </c>
      <c r="C10" s="698">
        <f ca="1">ROUND(IF(F10="押一",F6*F8*F7/12*F11,IF(F10="押二",F6*F8*F7/12*2*F11,IF(F10="押三",F6*F8*F7/12*3*F11,C11*F11)))/10000,0)</f>
        <v>5</v>
      </c>
      <c r="D10" s="2634" t="s">
        <v>2528</v>
      </c>
      <c r="E10" s="2097" t="s">
        <v>2522</v>
      </c>
      <c r="F10" s="2828" t="s">
        <v>3069</v>
      </c>
      <c r="G10" s="2288"/>
      <c r="H10" s="2622" t="s">
        <v>2535</v>
      </c>
      <c r="I10" s="2623" t="s">
        <v>2520</v>
      </c>
      <c r="J10" s="683">
        <f ca="1">ROUND(IF(M10="押一",M6*M8*M7/12*M11,IF(M10="押二",M6*M8*M7/12*2*M11,IF(M10="押三",M6*M8*M7/12*3*M11,J11*M11)))/10000,0)</f>
        <v>0</v>
      </c>
      <c r="K10" s="2634" t="s">
        <v>2528</v>
      </c>
      <c r="L10" s="2097" t="s">
        <v>2522</v>
      </c>
      <c r="M10" s="2729" t="s">
        <v>3069</v>
      </c>
    </row>
    <row r="11" spans="1:37" ht="18" customHeight="1">
      <c r="A11" s="690"/>
      <c r="B11" s="2624" t="s">
        <v>2686</v>
      </c>
      <c r="C11" s="2415"/>
      <c r="D11" s="2867"/>
      <c r="E11" s="2097" t="s">
        <v>2523</v>
      </c>
      <c r="F11" s="696">
        <f ca="1">'数据-取费表'!B39</f>
        <v>1.4999999999999999E-2</v>
      </c>
      <c r="G11" s="2288"/>
      <c r="H11" s="2635"/>
      <c r="I11" s="2624" t="s">
        <v>2686</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2536</v>
      </c>
      <c r="I12" s="2671" t="s">
        <v>2521</v>
      </c>
      <c r="J12" s="2672"/>
      <c r="K12" s="2689"/>
      <c r="L12" s="2674"/>
      <c r="M12" s="2690"/>
    </row>
    <row r="13" spans="1:37" ht="18" customHeight="1" thickTop="1">
      <c r="A13" s="2666">
        <v>2</v>
      </c>
      <c r="B13" s="2667" t="s">
        <v>914</v>
      </c>
      <c r="C13" s="692">
        <f ca="1">ROUND(C29*F13,0)</f>
        <v>13992</v>
      </c>
      <c r="D13" s="2668" t="s">
        <v>915</v>
      </c>
      <c r="E13" s="2668" t="s">
        <v>916</v>
      </c>
      <c r="F13" s="2669">
        <f ca="1">INDIRECT("'数据-取费表'!y"&amp;$G$1)</f>
        <v>0.9</v>
      </c>
      <c r="G13" s="2288"/>
      <c r="H13" s="2666">
        <v>2</v>
      </c>
      <c r="I13" s="2667" t="s">
        <v>914</v>
      </c>
      <c r="J13" s="2621">
        <f ca="1">ROUND(J14*J15,0)</f>
        <v>0</v>
      </c>
      <c r="K13" s="2676" t="s">
        <v>915</v>
      </c>
      <c r="L13" s="2687"/>
      <c r="M13" s="2688"/>
    </row>
    <row r="14" spans="1:37" ht="18" customHeight="1">
      <c r="A14" s="2438" t="s">
        <v>2362</v>
      </c>
      <c r="B14" s="684" t="s">
        <v>356</v>
      </c>
      <c r="C14" s="702">
        <f ca="1">INDIRECT("'数据-取费表'!m"&amp;$G$1)+INDIRECT("'数据-取费表'!t"&amp;$G$1)</f>
        <v>9846</v>
      </c>
      <c r="D14" s="2215" t="s">
        <v>917</v>
      </c>
      <c r="E14" s="2214"/>
      <c r="F14" s="703"/>
      <c r="G14" s="2288"/>
      <c r="H14" s="2438" t="s">
        <v>2365</v>
      </c>
      <c r="I14" s="684" t="s">
        <v>918</v>
      </c>
      <c r="J14" s="313">
        <f ca="1">C29</f>
        <v>15547</v>
      </c>
      <c r="K14" s="303"/>
      <c r="L14" s="700"/>
      <c r="M14" s="701"/>
    </row>
    <row r="15" spans="1:37" s="706" customFormat="1" ht="18" customHeight="1" thickBot="1">
      <c r="A15" s="2438" t="s">
        <v>2597</v>
      </c>
      <c r="B15" s="684" t="s">
        <v>357</v>
      </c>
      <c r="C15" s="313">
        <f ca="1">ROUND(C14*F15,0)</f>
        <v>492</v>
      </c>
      <c r="D15" s="704" t="s">
        <v>919</v>
      </c>
      <c r="E15" s="704" t="s">
        <v>920</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ROUND(INDIRECT("'数据-取费表'!m"&amp;$G$1)*F16,0)</f>
        <v>0</v>
      </c>
      <c r="D16" s="684" t="s">
        <v>919</v>
      </c>
      <c r="E16" s="684" t="s">
        <v>920</v>
      </c>
      <c r="F16" s="707">
        <f ca="1">IF(INDIRECT("'数据-取费表'!c"&amp;$G$1)="住宅",'数据-取费表'!B34,0)</f>
        <v>0</v>
      </c>
      <c r="G16" s="2288"/>
      <c r="H16" s="2666" t="s">
        <v>2330</v>
      </c>
      <c r="I16" s="2667" t="s">
        <v>921</v>
      </c>
      <c r="J16" s="692">
        <f ca="1">ROUND(J17+J22+J23+J24,0)</f>
        <v>379</v>
      </c>
      <c r="K16" s="2676" t="s">
        <v>922</v>
      </c>
      <c r="L16" s="2677"/>
      <c r="M16" s="2628"/>
    </row>
    <row r="17" spans="1:37" s="706" customFormat="1" ht="18" customHeight="1">
      <c r="A17" s="2438" t="s">
        <v>2599</v>
      </c>
      <c r="B17" s="684" t="s">
        <v>359</v>
      </c>
      <c r="C17" s="313">
        <f ca="1">ROUND(F17*(F43+INDIRECT("'数据-取费表'!S"&amp;$G$1))/10000,0)</f>
        <v>757</v>
      </c>
      <c r="D17" s="684" t="s">
        <v>923</v>
      </c>
      <c r="E17" s="684" t="s">
        <v>924</v>
      </c>
      <c r="F17" s="315">
        <f>'数据-取费表'!B35</f>
        <v>200</v>
      </c>
      <c r="G17" s="2289"/>
      <c r="H17" s="2438" t="s">
        <v>2365</v>
      </c>
      <c r="I17" s="684" t="s">
        <v>360</v>
      </c>
      <c r="J17" s="313">
        <f ca="1">ROUND(IF(项目基本情况!B11="自然人",J5*M17,J18+J19+J20),1)</f>
        <v>146.1</v>
      </c>
      <c r="K17" s="2215" t="s">
        <v>925</v>
      </c>
      <c r="L17" s="2213"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148</v>
      </c>
      <c r="D18" s="684" t="s">
        <v>919</v>
      </c>
      <c r="E18" s="684" t="s">
        <v>920</v>
      </c>
      <c r="F18" s="707">
        <f>'数据-取费表'!B36</f>
        <v>1.4999999999999999E-2</v>
      </c>
      <c r="G18" s="2289"/>
      <c r="H18" s="2438" t="s">
        <v>2362</v>
      </c>
      <c r="I18" s="684" t="s">
        <v>927</v>
      </c>
      <c r="J18" s="313">
        <f ca="1">ROUND(J5*M18/(1+'数据-取费表'!C42),2)</f>
        <v>0</v>
      </c>
      <c r="K18" s="2213" t="s">
        <v>928</v>
      </c>
      <c r="L18" s="684" t="s">
        <v>920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2531</v>
      </c>
      <c r="B19" s="684" t="s">
        <v>363</v>
      </c>
      <c r="C19" s="313">
        <f ca="1">SUM(C14:C18)</f>
        <v>11243</v>
      </c>
      <c r="D19" s="471" t="s">
        <v>929</v>
      </c>
      <c r="E19" s="2223"/>
      <c r="F19" s="315"/>
      <c r="G19" s="2288"/>
      <c r="H19" s="2438" t="s">
        <v>2597</v>
      </c>
      <c r="I19" s="684" t="s">
        <v>930</v>
      </c>
      <c r="J19" s="313">
        <f ca="1">IF(K19="按租金收入计税",ROUND(J5*M19,2),ROUND(C29*M19*0.7,2))</f>
        <v>130.59</v>
      </c>
      <c r="K19" s="1301" t="s">
        <v>2404</v>
      </c>
      <c r="L19" s="684" t="s">
        <v>920</v>
      </c>
      <c r="M19" s="707">
        <f>IF(K19="按租金收入计税",'数据-取费表'!B51,'数据-取费表'!B50)</f>
        <v>1.2E-2</v>
      </c>
    </row>
    <row r="20" spans="1:37" s="706" customFormat="1" ht="18" customHeight="1">
      <c r="A20" s="2438" t="s">
        <v>2601</v>
      </c>
      <c r="B20" s="684" t="s">
        <v>364</v>
      </c>
      <c r="C20" s="313">
        <f ca="1">ROUND(C19*F20,0)</f>
        <v>337</v>
      </c>
      <c r="D20" s="709" t="s">
        <v>931</v>
      </c>
      <c r="E20" s="684" t="s">
        <v>920</v>
      </c>
      <c r="F20" s="707">
        <f>'数据-取费表'!B37</f>
        <v>0.03</v>
      </c>
      <c r="G20" s="2289"/>
      <c r="H20" s="2438" t="s">
        <v>2598</v>
      </c>
      <c r="I20" s="496" t="s">
        <v>932</v>
      </c>
      <c r="J20" s="314">
        <f ca="1">ROUND(M20*M21/10000,2)</f>
        <v>15.55</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68</v>
      </c>
      <c r="D21" s="709" t="s">
        <v>936</v>
      </c>
      <c r="E21" s="684" t="s">
        <v>937</v>
      </c>
      <c r="F21" s="707">
        <f>'数据-取费表'!B38</f>
        <v>0.03</v>
      </c>
      <c r="G21" s="2289"/>
      <c r="H21" s="712"/>
      <c r="I21" s="693"/>
      <c r="J21" s="318"/>
      <c r="K21" s="713"/>
      <c r="L21" s="684" t="s">
        <v>938</v>
      </c>
      <c r="M21" s="685">
        <f ca="1">INDIRECT("'数据-取费表'!r"&amp;$G$1)</f>
        <v>7774.02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223"/>
      <c r="F22" s="315"/>
      <c r="G22" s="2288"/>
      <c r="H22" s="2438" t="s">
        <v>2372</v>
      </c>
      <c r="I22" s="684" t="s">
        <v>940</v>
      </c>
      <c r="J22" s="313">
        <f ca="1">ROUND(J14*M22,1)</f>
        <v>233.2</v>
      </c>
      <c r="K22" s="2213" t="s">
        <v>941</v>
      </c>
      <c r="L22" s="684" t="s">
        <v>920</v>
      </c>
      <c r="M22" s="714">
        <f ca="1">INDIRECT("'数据-取费表'!Ak"&amp;$G$1)</f>
        <v>1.4999999999999999E-2</v>
      </c>
    </row>
    <row r="23" spans="1:37" s="706" customFormat="1" ht="18" customHeight="1">
      <c r="A23" s="2438" t="s">
        <v>2362</v>
      </c>
      <c r="B23" s="684" t="s">
        <v>2517</v>
      </c>
      <c r="C23" s="313">
        <f ca="1">IF('数据-取费表'!B22&lt;=1,ROUND(C19*F24*F23/2,0)+ROUND(C20*F24*F23/2,0),ROUND(C19*(POWER((1+F24),F23/2)-1),0)+ROUND(C20*(POWER((1+F24),F23/2)-1),0))</f>
        <v>252</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ROUND(J13*M23,1)</f>
        <v>0</v>
      </c>
      <c r="K23" s="2213" t="s">
        <v>943</v>
      </c>
      <c r="L23" s="684" t="s">
        <v>920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ROUND(J5*M24,1)</f>
        <v>0</v>
      </c>
      <c r="K24" s="2681" t="s">
        <v>946</v>
      </c>
      <c r="L24" s="2679" t="s">
        <v>920</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223"/>
      <c r="F25" s="315"/>
      <c r="G25" s="2288"/>
      <c r="H25" s="2666" t="s">
        <v>2345</v>
      </c>
      <c r="I25" s="2683" t="s">
        <v>948</v>
      </c>
      <c r="J25" s="692">
        <f ca="1">J5-J16</f>
        <v>-379</v>
      </c>
      <c r="K25" s="2684" t="s">
        <v>949</v>
      </c>
      <c r="L25" s="2685"/>
      <c r="M25" s="2686"/>
    </row>
    <row r="26" spans="1:37" ht="18" customHeight="1">
      <c r="A26" s="2438" t="s">
        <v>2362</v>
      </c>
      <c r="B26" s="684" t="s">
        <v>2518</v>
      </c>
      <c r="C26" s="313">
        <f ca="1">ROUND((C19+C20)*F26,0)</f>
        <v>2316</v>
      </c>
      <c r="D26" s="709" t="s">
        <v>950</v>
      </c>
      <c r="E26" s="695" t="s">
        <v>951</v>
      </c>
      <c r="F26" s="694">
        <f ca="1">INDIRECT("'数据-取费表'!q"&amp;$G$1)</f>
        <v>0.2</v>
      </c>
      <c r="G26" s="2288"/>
      <c r="H26" s="681" t="s">
        <v>2348</v>
      </c>
      <c r="I26" s="682" t="s">
        <v>952</v>
      </c>
      <c r="J26" s="683">
        <f ca="1">IF(J5&lt;&gt;0,ROUND(J25*(1-((1+M28)/(1+M26))^M27)/(M26-M28),0),0)</f>
        <v>0</v>
      </c>
      <c r="K26" s="710" t="s">
        <v>953</v>
      </c>
      <c r="L26" s="684" t="s">
        <v>959</v>
      </c>
      <c r="M26" s="694">
        <f ca="1">INDIRECT("'数据-取费表'!I"&amp;$G$1)</f>
        <v>0.06</v>
      </c>
    </row>
    <row r="27" spans="1:37" ht="18" customHeight="1">
      <c r="A27" s="2438" t="s">
        <v>2368</v>
      </c>
      <c r="B27" s="684" t="s">
        <v>372</v>
      </c>
      <c r="C27" s="313">
        <f ca="1">ROUND(F21*F26,4)</f>
        <v>6.0000000000000001E-3</v>
      </c>
      <c r="D27" s="709" t="s">
        <v>954</v>
      </c>
      <c r="E27" s="704"/>
      <c r="F27" s="705"/>
      <c r="G27" s="2288"/>
      <c r="H27" s="686"/>
      <c r="I27" s="687"/>
      <c r="J27" s="688"/>
      <c r="K27" s="718" t="s">
        <v>955</v>
      </c>
      <c r="L27" s="684" t="s">
        <v>960</v>
      </c>
      <c r="M27" s="719">
        <f ca="1">INDIRECT("'数据-取费表'!ag"&amp;$G$1)</f>
        <v>0</v>
      </c>
    </row>
    <row r="28" spans="1:37" s="706" customFormat="1" ht="18" customHeight="1">
      <c r="A28" s="2438" t="s">
        <v>2370</v>
      </c>
      <c r="B28" s="684" t="s">
        <v>373</v>
      </c>
      <c r="C28" s="313">
        <f>ROUND(F28/(1+'数据-取费表'!C42),4)</f>
        <v>5.33E-2</v>
      </c>
      <c r="D28" s="709" t="s">
        <v>961</v>
      </c>
      <c r="E28" s="684" t="s">
        <v>920</v>
      </c>
      <c r="F28" s="707">
        <f>'数据-取费表'!B41</f>
        <v>5.6000000000000001E-2</v>
      </c>
      <c r="G28" s="2289"/>
      <c r="H28" s="690"/>
      <c r="I28" s="691"/>
      <c r="J28" s="692"/>
      <c r="K28" s="713"/>
      <c r="L28" s="684" t="s">
        <v>962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15547</v>
      </c>
      <c r="D29" s="2681"/>
      <c r="E29" s="2679"/>
      <c r="F29" s="2682"/>
      <c r="G29" s="2289"/>
      <c r="H29" s="720" t="s">
        <v>2355</v>
      </c>
      <c r="I29" s="721" t="s">
        <v>956</v>
      </c>
      <c r="J29" s="722">
        <f ca="1">ROUND(J26/(1+F40)^F41,0)</f>
        <v>0</v>
      </c>
      <c r="K29" s="723" t="s">
        <v>957</v>
      </c>
      <c r="L29" s="724"/>
      <c r="M29" s="725">
        <f ca="1">INDIRECT("'数据-取费表'!k"&amp;$G$1)</f>
        <v>37870.639999999999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639</v>
      </c>
      <c r="D30" s="2676" t="s">
        <v>922</v>
      </c>
      <c r="E30" s="2677"/>
      <c r="F30" s="2628"/>
      <c r="G30" s="2288"/>
      <c r="H30" s="1278"/>
      <c r="I30" s="1279"/>
      <c r="J30" s="1280"/>
      <c r="K30" s="1281"/>
      <c r="L30" s="1282"/>
      <c r="M30" s="1283"/>
    </row>
    <row r="31" spans="1:37" ht="18" customHeight="1">
      <c r="A31" s="2438" t="s">
        <v>2531</v>
      </c>
      <c r="B31" s="684" t="s">
        <v>360</v>
      </c>
      <c r="C31" s="313">
        <f ca="1">ROUND(IF(项目基本情况!B11="自然人",C5*F31,C32+C33+C34),1)</f>
        <v>332.2</v>
      </c>
      <c r="D31" s="2215" t="s">
        <v>925</v>
      </c>
      <c r="E31" s="2213" t="s">
        <v>964</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2596</v>
      </c>
      <c r="B32" s="684" t="s">
        <v>927</v>
      </c>
      <c r="C32" s="313">
        <f ca="1">IF(项目基本情况!B11="自然人","——",ROUND(C5*F32/(1+'数据-取费表'!C42),2))</f>
        <v>186.03</v>
      </c>
      <c r="D32" s="2213" t="s">
        <v>928</v>
      </c>
      <c r="E32" s="684" t="s">
        <v>920</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IF(项目基本情况!B11="自然人","——",IF(D33="按租金收入计税",ROUND(C5*F33,2),IF(D33="按房产原值计税",ROUND(C29*F33*0.7,2),INDIRECT("'数据-取费表'!Aj"&amp;$G$1))))</f>
        <v>130.59</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965</v>
      </c>
      <c r="C34" s="314">
        <f ca="1">IF(项目基本情况!B11="自然人","——",ROUND(F34*F35/10000,2))</f>
        <v>15.55</v>
      </c>
      <c r="D34" s="710" t="s">
        <v>966</v>
      </c>
      <c r="E34" s="684" t="s">
        <v>967</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7774.02</v>
      </c>
      <c r="G35" s="2288"/>
      <c r="H35" s="1278"/>
      <c r="I35" s="2881"/>
      <c r="J35" s="2882"/>
      <c r="K35" s="1291"/>
      <c r="L35" s="1290"/>
      <c r="M35" s="1290"/>
    </row>
    <row r="36" spans="1:18" ht="18" customHeight="1">
      <c r="A36" s="2695" t="s">
        <v>2372</v>
      </c>
      <c r="B36" s="684" t="s">
        <v>940</v>
      </c>
      <c r="C36" s="313">
        <f ca="1">ROUND(C29*F36,1)</f>
        <v>233.2</v>
      </c>
      <c r="D36" s="2213" t="s">
        <v>970</v>
      </c>
      <c r="E36" s="684" t="s">
        <v>971</v>
      </c>
      <c r="F36" s="714">
        <f ca="1">INDIRECT("'数据-取费表'!Ak"&amp;$G$1)</f>
        <v>1.4999999999999999E-2</v>
      </c>
      <c r="G36" s="2288"/>
      <c r="H36" s="1290"/>
      <c r="I36" s="2881"/>
      <c r="J36" s="2882"/>
      <c r="K36" s="1294"/>
      <c r="L36" s="1290"/>
      <c r="M36" s="1290"/>
    </row>
    <row r="37" spans="1:18" ht="18" customHeight="1">
      <c r="A37" s="2438" t="s">
        <v>2602</v>
      </c>
      <c r="B37" s="684" t="s">
        <v>365</v>
      </c>
      <c r="C37" s="313">
        <f ca="1">ROUND(C13*F37,1)</f>
        <v>21</v>
      </c>
      <c r="D37" s="2213" t="s">
        <v>366</v>
      </c>
      <c r="E37" s="684" t="s">
        <v>367</v>
      </c>
      <c r="F37" s="716">
        <f ca="1">INDIRECT("'数据-取费表'!Al"&amp;$G$1)</f>
        <v>1.5E-3</v>
      </c>
      <c r="G37" s="2288"/>
      <c r="H37" s="1290"/>
      <c r="I37" s="2881"/>
      <c r="J37" s="2882"/>
      <c r="K37" s="1294"/>
      <c r="L37" s="1290"/>
      <c r="M37" s="1290"/>
    </row>
    <row r="38" spans="1:18" ht="18" customHeight="1" thickBot="1">
      <c r="A38" s="2678" t="s">
        <v>2603</v>
      </c>
      <c r="B38" s="2679" t="s">
        <v>364</v>
      </c>
      <c r="C38" s="2680">
        <f ca="1">ROUND(C5*F38,1)</f>
        <v>52.3</v>
      </c>
      <c r="D38" s="2681" t="s">
        <v>368</v>
      </c>
      <c r="E38" s="2679" t="s">
        <v>367</v>
      </c>
      <c r="F38" s="2675">
        <f ca="1">INDIRECT("'数据-取费表'!Am"&amp;$G$1)</f>
        <v>1.4999999999999999E-2</v>
      </c>
      <c r="G38" s="2288"/>
      <c r="H38" s="1290"/>
      <c r="I38" s="2881"/>
      <c r="J38" s="2882"/>
      <c r="K38" s="1295"/>
      <c r="L38" s="1290"/>
      <c r="M38" s="1290"/>
    </row>
    <row r="39" spans="1:18" ht="24.6" customHeight="1" thickTop="1">
      <c r="A39" s="2666" t="s">
        <v>2345</v>
      </c>
      <c r="B39" s="2683" t="s">
        <v>374</v>
      </c>
      <c r="C39" s="692">
        <f ca="1">C5-C30</f>
        <v>2849</v>
      </c>
      <c r="D39" s="2684" t="s">
        <v>375</v>
      </c>
      <c r="E39" s="2685"/>
      <c r="F39" s="2686"/>
      <c r="G39" s="2288"/>
      <c r="H39" s="1290"/>
      <c r="I39" s="2881"/>
      <c r="J39" s="2882"/>
      <c r="K39" s="1295"/>
      <c r="L39" s="1290"/>
      <c r="M39" s="1290"/>
    </row>
    <row r="40" spans="1:18" ht="18" customHeight="1">
      <c r="A40" s="681" t="s">
        <v>2348</v>
      </c>
      <c r="B40" s="682" t="s">
        <v>376</v>
      </c>
      <c r="C40" s="683">
        <f ca="1">ROUND(C39*(1-((1+F42)/(1+F40))^F41)/(F40-F42),0)</f>
        <v>45525</v>
      </c>
      <c r="D40" s="710" t="s">
        <v>370</v>
      </c>
      <c r="E40" s="684" t="s">
        <v>371</v>
      </c>
      <c r="F40" s="694">
        <f ca="1">INDIRECT("'数据-取费表'!I"&amp;$G$1)</f>
        <v>0.06</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26.5</v>
      </c>
      <c r="G41" s="2288"/>
      <c r="H41" s="1192"/>
      <c r="I41" s="2881"/>
      <c r="J41" s="2882"/>
      <c r="K41" s="1294"/>
      <c r="L41" s="1192"/>
      <c r="M41" s="1192"/>
    </row>
    <row r="42" spans="1:18" ht="18" customHeight="1">
      <c r="A42" s="690"/>
      <c r="B42" s="691"/>
      <c r="C42" s="692"/>
      <c r="D42" s="713"/>
      <c r="E42" s="684" t="s">
        <v>379</v>
      </c>
      <c r="F42" s="694">
        <f ca="1">INDIRECT("'数据-取费表'!v"&amp;$G$1)</f>
        <v>0.02</v>
      </c>
      <c r="G42" s="2288"/>
      <c r="H42" s="1192"/>
      <c r="I42" s="2881"/>
      <c r="J42" s="2882"/>
      <c r="K42" s="1294"/>
      <c r="L42" s="1192"/>
      <c r="M42" s="1192"/>
    </row>
    <row r="43" spans="1:18" ht="18" customHeight="1" thickBot="1">
      <c r="A43" s="720" t="s">
        <v>2355</v>
      </c>
      <c r="B43" s="721" t="s">
        <v>380</v>
      </c>
      <c r="C43" s="722">
        <f ca="1">ROUND(C40*10000/F43,0)</f>
        <v>12021</v>
      </c>
      <c r="D43" s="723" t="s">
        <v>381</v>
      </c>
      <c r="E43" s="724" t="s">
        <v>382</v>
      </c>
      <c r="F43" s="725">
        <f ca="1">INDIRECT("'数据-取费表'!k"&amp;$G$1)</f>
        <v>37870.639999999999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2477</v>
      </c>
      <c r="P45" s="1296"/>
      <c r="Q45" s="1296"/>
      <c r="R45" s="1296"/>
    </row>
    <row r="46" spans="1:18" s="1455" customFormat="1" ht="21" thickBot="1">
      <c r="A46" s="2396" t="s">
        <v>2317</v>
      </c>
      <c r="B46" s="2397"/>
      <c r="C46" s="2725">
        <f ca="1">C68-C40</f>
        <v>0</v>
      </c>
      <c r="D46" s="2726" t="str">
        <f>C2</f>
        <v>万元</v>
      </c>
      <c r="E46" s="1433"/>
      <c r="F46" s="1433"/>
      <c r="I46" s="2578" t="s">
        <v>2412</v>
      </c>
      <c r="J46" s="2579"/>
      <c r="K46" s="2580"/>
      <c r="L46" s="2582" t="str">
        <f ca="1">IF(M47="住宅",0,IF(L48&gt;J51,L60,J60))</f>
        <v>0</v>
      </c>
      <c r="O46" s="2594" t="s">
        <v>2455</v>
      </c>
      <c r="P46" s="2595" t="s">
        <v>2456</v>
      </c>
      <c r="Q46" s="2596" t="s">
        <v>2454</v>
      </c>
      <c r="R46" s="2596" t="s">
        <v>2457</v>
      </c>
    </row>
    <row r="47" spans="1:18" s="1455" customFormat="1" ht="15.75" thickBot="1">
      <c r="A47" s="2398" t="s">
        <v>2319</v>
      </c>
      <c r="B47" s="2434" t="s">
        <v>2320</v>
      </c>
      <c r="C47" s="2730" t="s">
        <v>2321</v>
      </c>
      <c r="D47" s="2434" t="s">
        <v>2322</v>
      </c>
      <c r="E47" s="2537" t="s">
        <v>2323</v>
      </c>
      <c r="F47" s="2538"/>
      <c r="G47" s="1457"/>
      <c r="I47" s="2553" t="s">
        <v>2405</v>
      </c>
      <c r="J47" s="2554" t="s">
        <v>3068</v>
      </c>
      <c r="K47" s="2563" t="s">
        <v>2428</v>
      </c>
      <c r="L47" s="2564">
        <f ca="1">INDIRECT("'数据-取费表'!d"&amp;$G$1)</f>
        <v>40</v>
      </c>
      <c r="M47" s="2584" t="str">
        <f>IF(ISNUMBER(FIND("住宅",C1)),"住宅","非住宅")</f>
        <v>非住宅</v>
      </c>
      <c r="O47" s="2587" t="s">
        <v>2440</v>
      </c>
      <c r="P47" s="2597" t="s">
        <v>2458</v>
      </c>
      <c r="Q47" s="2588">
        <f ca="1">C40+J29</f>
        <v>45525</v>
      </c>
      <c r="R47" s="2588" t="s">
        <v>2459</v>
      </c>
    </row>
    <row r="48" spans="1:18" s="1455" customFormat="1" ht="47.25" thickBot="1">
      <c r="A48" s="2711" t="s">
        <v>2608</v>
      </c>
      <c r="B48" s="682" t="s">
        <v>2324</v>
      </c>
      <c r="C48" s="2721">
        <f ca="1">C49+C53+C55</f>
        <v>3488</v>
      </c>
      <c r="D48" s="2715"/>
      <c r="E48" s="2716"/>
      <c r="F48" s="2418"/>
      <c r="G48" s="1457"/>
      <c r="H48" s="1458"/>
      <c r="I48" s="2544" t="s">
        <v>2406</v>
      </c>
      <c r="J48" s="2555" t="s">
        <v>2407</v>
      </c>
      <c r="K48" s="2565" t="s">
        <v>2429</v>
      </c>
      <c r="L48" s="2168">
        <f ca="1">INDIRECT("'数据-取费表'!f"&amp;$G$1)</f>
        <v>26.5</v>
      </c>
      <c r="O48" s="2587" t="s">
        <v>2441</v>
      </c>
      <c r="P48" s="2597" t="s">
        <v>2460</v>
      </c>
      <c r="Q48" s="2588" t="str">
        <f ca="1">J60</f>
        <v>0</v>
      </c>
      <c r="R48" s="2588" t="s">
        <v>2468</v>
      </c>
    </row>
    <row r="49" spans="1:18" s="1455" customFormat="1" ht="15.75" thickBot="1">
      <c r="A49" s="2431" t="s">
        <v>2609</v>
      </c>
      <c r="B49" s="2714" t="s">
        <v>2611</v>
      </c>
      <c r="C49" s="2723">
        <f ca="1">ROUND(F49*F51*F50*(1-F52)/10000,0)</f>
        <v>3483</v>
      </c>
      <c r="D49" s="2533" t="s">
        <v>2325</v>
      </c>
      <c r="E49" s="2536" t="s">
        <v>2318</v>
      </c>
      <c r="F49" s="2539">
        <f>租约!B7</f>
        <v>2.8</v>
      </c>
      <c r="G49" s="1459"/>
      <c r="H49" s="1458"/>
      <c r="I49" s="2544" t="s">
        <v>2426</v>
      </c>
      <c r="J49" s="2556"/>
      <c r="K49" s="2566" t="s">
        <v>2431</v>
      </c>
      <c r="L49" s="2567"/>
      <c r="O49" s="2589" t="s">
        <v>2442</v>
      </c>
      <c r="P49" s="2597" t="s">
        <v>2461</v>
      </c>
      <c r="Q49" s="2588">
        <f ca="1">C29</f>
        <v>15547</v>
      </c>
      <c r="R49" s="2588" t="s">
        <v>2459</v>
      </c>
    </row>
    <row r="50" spans="1:18" s="1455" customFormat="1" ht="15.75" thickBot="1">
      <c r="A50" s="2432"/>
      <c r="B50" s="2435"/>
      <c r="C50" s="2731"/>
      <c r="D50" s="2405"/>
      <c r="E50" s="2534" t="s">
        <v>2326</v>
      </c>
      <c r="F50" s="2535">
        <f ca="1">F7</f>
        <v>37870.639999999999</v>
      </c>
      <c r="H50" s="1458"/>
      <c r="I50" s="2544" t="s">
        <v>2408</v>
      </c>
      <c r="J50" s="2557">
        <f>SUMPRODUCT((I63:I65=J47)*(J62:L62=J48)*(J63:L65))</f>
        <v>60</v>
      </c>
      <c r="K50" s="2566" t="s">
        <v>2432</v>
      </c>
      <c r="L50" s="2567"/>
      <c r="M50" s="2561"/>
      <c r="O50" s="2589" t="s">
        <v>2443</v>
      </c>
      <c r="P50" s="2597" t="s">
        <v>2469</v>
      </c>
      <c r="Q50" s="2590" t="e">
        <f ca="1">J58</f>
        <v>#VALUE!</v>
      </c>
      <c r="R50" s="2588"/>
    </row>
    <row r="51" spans="1:18" s="1455" customFormat="1" ht="15.75" thickBot="1">
      <c r="A51" s="2433"/>
      <c r="B51" s="2435"/>
      <c r="C51" s="2436"/>
      <c r="D51" s="2405"/>
      <c r="E51" s="2437" t="s">
        <v>2327</v>
      </c>
      <c r="F51" s="685">
        <f ca="1">F8</f>
        <v>365</v>
      </c>
      <c r="I51" s="2558" t="s">
        <v>2413</v>
      </c>
      <c r="J51" s="2559">
        <f>IF(J49="",J50,J49+J50-YEAR('数据-取费表'!B2))</f>
        <v>60</v>
      </c>
      <c r="K51" s="2568" t="s">
        <v>2433</v>
      </c>
      <c r="L51" s="2581">
        <f ca="1">ROUND(-PV(INDIRECT("'数据-取费表'!h"&amp;$G$1),L48,(C39-C13*C76),0),0)</f>
        <v>22874</v>
      </c>
      <c r="M51" s="2562"/>
      <c r="O51" s="2589" t="s">
        <v>2444</v>
      </c>
      <c r="P51" s="2597" t="s">
        <v>2470</v>
      </c>
      <c r="Q51" s="2590">
        <f>J52</f>
        <v>0</v>
      </c>
      <c r="R51" s="2588"/>
    </row>
    <row r="52" spans="1:18" s="1455" customFormat="1" ht="15.75" thickBot="1">
      <c r="A52" s="2433"/>
      <c r="B52" s="2435"/>
      <c r="C52" s="2436"/>
      <c r="D52" s="2405"/>
      <c r="E52" s="2437" t="s">
        <v>2328</v>
      </c>
      <c r="F52" s="2532">
        <v>0.1</v>
      </c>
      <c r="I52" s="2560" t="s">
        <v>2436</v>
      </c>
      <c r="J52" s="2574"/>
      <c r="K52" s="2560" t="s">
        <v>2421</v>
      </c>
      <c r="L52" s="2574"/>
      <c r="M52" s="2397"/>
      <c r="O52" s="2589" t="s">
        <v>2445</v>
      </c>
      <c r="P52" s="2597" t="s">
        <v>2462</v>
      </c>
      <c r="Q52" s="2588">
        <f ca="1">J53</f>
        <v>26.5</v>
      </c>
      <c r="R52" s="2588" t="s">
        <v>2463</v>
      </c>
    </row>
    <row r="53" spans="1:18" s="1455" customFormat="1" ht="43.5" thickBot="1">
      <c r="A53" s="2826" t="s">
        <v>2610</v>
      </c>
      <c r="B53" s="433" t="s">
        <v>2520</v>
      </c>
      <c r="C53" s="698">
        <f ca="1">ROUND(IF(F53="押一",F49*F51*F50/12*F11,IF(F53="押二",F49*F51*F50/12*2*F11,IF(F53="押三",F49*F51*F50/12*3*F11,C54*F11)))/10000,0)</f>
        <v>5</v>
      </c>
      <c r="D53" s="2634" t="s">
        <v>2528</v>
      </c>
      <c r="E53" s="2097" t="s">
        <v>2522</v>
      </c>
      <c r="F53" s="2828" t="s">
        <v>3069</v>
      </c>
      <c r="I53" s="2570" t="s">
        <v>2438</v>
      </c>
      <c r="J53" s="2571">
        <f ca="1">IF(M47="住宅",J51,MIN(J51,L48))</f>
        <v>26.5</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1"/>
      <c r="O53" s="2587" t="s">
        <v>2446</v>
      </c>
      <c r="P53" s="2597" t="s">
        <v>2464</v>
      </c>
      <c r="Q53" s="2588">
        <f ca="1">Q47+Q48</f>
        <v>45525</v>
      </c>
      <c r="R53" s="2588" t="s">
        <v>2447</v>
      </c>
    </row>
    <row r="54" spans="1:18" s="1455" customFormat="1" ht="16.5" thickBot="1">
      <c r="A54" s="2827"/>
      <c r="B54" s="2624" t="s">
        <v>2686</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0"/>
      <c r="F55" s="2540"/>
      <c r="I55" s="3315" t="s">
        <v>2414</v>
      </c>
      <c r="J55" s="3314" t="e">
        <f ca="1">ROUND(IF(J47="钢混",J57/J50,1-(1-2%)*(J50-J57)/J50),3)</f>
        <v>#VALUE!</v>
      </c>
      <c r="K55" s="2551" t="s">
        <v>2415</v>
      </c>
      <c r="L55" s="2573"/>
      <c r="O55" s="2594" t="s">
        <v>2455</v>
      </c>
      <c r="P55" s="2595" t="s">
        <v>2456</v>
      </c>
      <c r="Q55" s="2596" t="s">
        <v>2454</v>
      </c>
      <c r="R55" s="2596" t="s">
        <v>2457</v>
      </c>
    </row>
    <row r="56" spans="1:18" s="1455" customFormat="1" ht="44.25" thickTop="1" thickBot="1">
      <c r="A56" s="2409">
        <v>2</v>
      </c>
      <c r="B56" s="2410" t="s">
        <v>2329</v>
      </c>
      <c r="C56" s="608">
        <f ca="1">C13</f>
        <v>13992</v>
      </c>
      <c r="D56" s="2698"/>
      <c r="E56" s="2411"/>
      <c r="F56" s="2540"/>
      <c r="I56" s="2543" t="s">
        <v>2416</v>
      </c>
      <c r="J56" s="2572" t="s">
        <v>3043</v>
      </c>
      <c r="K56" s="2544" t="s">
        <v>2420</v>
      </c>
      <c r="L56" s="2168" t="str">
        <f ca="1">IF(L48&lt;J51,"——",L48-J51)</f>
        <v>——</v>
      </c>
      <c r="O56" s="2587" t="s">
        <v>2440</v>
      </c>
      <c r="P56" s="2597" t="s">
        <v>2458</v>
      </c>
      <c r="Q56" s="2588">
        <f ca="1">C40+J29</f>
        <v>45525</v>
      </c>
      <c r="R56" s="2588" t="s">
        <v>2459</v>
      </c>
    </row>
    <row r="57" spans="1:18" s="1455" customFormat="1" ht="29.25" thickBot="1">
      <c r="A57" s="2541"/>
      <c r="B57" s="2402" t="s">
        <v>2359</v>
      </c>
      <c r="C57" s="614">
        <f ca="1">C29</f>
        <v>15547</v>
      </c>
      <c r="D57" s="2413"/>
      <c r="E57" s="2414"/>
      <c r="F57" s="2542"/>
      <c r="I57" s="2545" t="s">
        <v>2437</v>
      </c>
      <c r="J57" s="2549" t="str">
        <f ca="1">IF(OR(M47="住宅",J51&lt;L48,J56="是"),"——",J51-L48)</f>
        <v>——</v>
      </c>
      <c r="K57" s="2544" t="s">
        <v>2888</v>
      </c>
      <c r="L57" s="2168" t="str">
        <f ca="1">IF(L48&lt;J51,"——",IF(L55="比较法",L49,IF(L55="基准地价",L50,L51)))</f>
        <v>——</v>
      </c>
      <c r="O57" s="2587" t="s">
        <v>2441</v>
      </c>
      <c r="P57" s="2597" t="s">
        <v>2465</v>
      </c>
      <c r="Q57" s="2588">
        <f ca="1">L60</f>
        <v>0</v>
      </c>
      <c r="R57" s="2588" t="s">
        <v>2480</v>
      </c>
    </row>
    <row r="58" spans="1:18" s="1455" customFormat="1" ht="29.25" thickBot="1">
      <c r="A58" s="697" t="s">
        <v>2330</v>
      </c>
      <c r="B58" s="2410" t="s">
        <v>2360</v>
      </c>
      <c r="C58" s="698">
        <f ca="1">ROUND(C59+C64+C65+C66,0)</f>
        <v>639</v>
      </c>
      <c r="D58" s="2416" t="s">
        <v>2361</v>
      </c>
      <c r="E58" s="2417"/>
      <c r="F58" s="2418"/>
      <c r="I58" s="2545" t="s">
        <v>2417</v>
      </c>
      <c r="J58" s="3316" t="e">
        <f ca="1">IF(J55&lt;0.4,0.4,J55)</f>
        <v>#VALUE!</v>
      </c>
      <c r="K58" s="2568" t="s">
        <v>2889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ROUND(IF(项目基本情况!B11="自然人",C48*F59,C60+C61+C62),1)</f>
        <v>332.2</v>
      </c>
      <c r="D59" s="2419" t="s">
        <v>2331</v>
      </c>
      <c r="E59" s="2420" t="s">
        <v>2332</v>
      </c>
      <c r="F59" s="708">
        <f ca="1">IF(项目基本情况!B11="企业","",IF(INDIRECT("'数据-取费表'!c"&amp;$G$1)="住宅",5%,IF(F49*F50*F51/12/(1+'数据-取费表'!C42)&gt;20000,12%,7%)))</f>
        <v>0.12</v>
      </c>
      <c r="I59" s="2545" t="s">
        <v>2418</v>
      </c>
      <c r="J59" s="2549" t="str">
        <f ca="1">IF(OR(M47="住宅",J51&lt;L48,J56="是"),"——",ROUND(C29*J58,0))</f>
        <v>——</v>
      </c>
      <c r="K59" s="2568" t="s">
        <v>2890</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2333</v>
      </c>
      <c r="C60" s="313">
        <f ca="1">IF(项目基本情况!B11="自然人","——",ROUND(C48*F60/(1+'数据-取费表'!C42),2))</f>
        <v>186.03</v>
      </c>
      <c r="D60" s="2420" t="s">
        <v>2334</v>
      </c>
      <c r="E60" s="2402" t="s">
        <v>2335</v>
      </c>
      <c r="F60" s="717">
        <f t="shared" ref="F60:F66" si="0">F32</f>
        <v>5.6000000000000001E-2</v>
      </c>
      <c r="I60" s="2546" t="s">
        <v>2419</v>
      </c>
      <c r="J60" s="2550" t="str">
        <f ca="1">IF(OR(M47="住宅",J51&lt;L48,J56="是"),"0",ROUND(J59/(1+J52)^J53,0))</f>
        <v>0</v>
      </c>
      <c r="K60" s="2552" t="s">
        <v>2422</v>
      </c>
      <c r="L60" s="2550">
        <f ca="1">IF(OR(M47="住宅",L48&lt;J51),0,ROUND(L57*(L58/L59-1),0))</f>
        <v>0</v>
      </c>
      <c r="O60" s="2589" t="s">
        <v>2444</v>
      </c>
      <c r="P60" s="2597" t="s">
        <v>2474</v>
      </c>
      <c r="Q60" s="2588">
        <f ca="1">L58</f>
        <v>0</v>
      </c>
      <c r="R60" s="2588" t="s">
        <v>2449</v>
      </c>
    </row>
    <row r="61" spans="1:18" s="1455" customFormat="1" ht="20.25" thickBot="1">
      <c r="A61" s="2438" t="s">
        <v>2363</v>
      </c>
      <c r="B61" s="2402" t="s">
        <v>2336</v>
      </c>
      <c r="C61" s="313">
        <f ca="1">IF(项目基本情况!B11="自然人","——",IF(D61="按租金收入计税",ROUND(C48*F61,2),IF(D61="按房产原值计税",ROUND(C57*F61*0.7,2),INDIRECT("'数据-取费表'!Aj"&amp;$G$1))))</f>
        <v>130.59</v>
      </c>
      <c r="D61" s="1301" t="s">
        <v>2404</v>
      </c>
      <c r="E61" s="2402" t="s">
        <v>2335</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2337</v>
      </c>
      <c r="C62" s="314">
        <f ca="1">IF(项目基本情况!B11="自然人","——",ROUND(F62*F63/10000,2))</f>
        <v>15.55</v>
      </c>
      <c r="D62" s="2421" t="s">
        <v>2338</v>
      </c>
      <c r="E62" s="2402" t="s">
        <v>2339</v>
      </c>
      <c r="F62" s="711">
        <f t="shared" si="0"/>
        <v>20</v>
      </c>
      <c r="I62" s="2547" t="s">
        <v>2409</v>
      </c>
      <c r="J62" s="2548" t="s">
        <v>2410</v>
      </c>
      <c r="K62" s="2548" t="s">
        <v>2411</v>
      </c>
      <c r="L62" s="2548" t="s">
        <v>2407</v>
      </c>
      <c r="M62" s="3317" t="s">
        <v>3026</v>
      </c>
      <c r="O62" s="2587" t="s">
        <v>2446</v>
      </c>
      <c r="P62" s="2597" t="s">
        <v>2464</v>
      </c>
      <c r="Q62" s="2588">
        <f ca="1">Q56+Q57</f>
        <v>45525</v>
      </c>
      <c r="R62" s="2588" t="s">
        <v>2447</v>
      </c>
    </row>
    <row r="63" spans="1:18" s="1455" customFormat="1" ht="16.5" thickBot="1">
      <c r="A63" s="712"/>
      <c r="B63" s="2408"/>
      <c r="C63" s="318"/>
      <c r="D63" s="2422"/>
      <c r="E63" s="2402" t="s">
        <v>2340</v>
      </c>
      <c r="F63" s="685">
        <f t="shared" ca="1" si="0"/>
        <v>7774.02</v>
      </c>
      <c r="I63" s="2547" t="s">
        <v>2423</v>
      </c>
      <c r="J63" s="3320">
        <v>70</v>
      </c>
      <c r="K63" s="3320">
        <v>50</v>
      </c>
      <c r="L63" s="3320">
        <v>80</v>
      </c>
      <c r="M63" s="3318">
        <v>0.02</v>
      </c>
      <c r="O63" s="2591" t="s">
        <v>2478</v>
      </c>
      <c r="P63" s="1296"/>
      <c r="Q63" s="1296"/>
      <c r="R63" s="1296"/>
    </row>
    <row r="64" spans="1:18" s="1455" customFormat="1" ht="15.75" thickBot="1">
      <c r="A64" s="2438" t="s">
        <v>2372</v>
      </c>
      <c r="B64" s="2402" t="s">
        <v>2341</v>
      </c>
      <c r="C64" s="313">
        <f ca="1">ROUND(C57*F64,1)</f>
        <v>233.2</v>
      </c>
      <c r="D64" s="2420" t="s">
        <v>2342</v>
      </c>
      <c r="E64" s="2402" t="s">
        <v>2335</v>
      </c>
      <c r="F64" s="714">
        <f t="shared" ca="1" si="0"/>
        <v>1.4999999999999999E-2</v>
      </c>
      <c r="I64" s="2547" t="s">
        <v>2424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ROUND(C56*F65,1)</f>
        <v>21</v>
      </c>
      <c r="D65" s="2420" t="s">
        <v>2343</v>
      </c>
      <c r="E65" s="2402" t="s">
        <v>2335</v>
      </c>
      <c r="F65" s="716">
        <f t="shared" ca="1" si="0"/>
        <v>1.5E-3</v>
      </c>
      <c r="I65" s="2547" t="s">
        <v>2425</v>
      </c>
      <c r="J65" s="3320">
        <v>40</v>
      </c>
      <c r="K65" s="3320">
        <v>30</v>
      </c>
      <c r="L65" s="3320">
        <v>50</v>
      </c>
      <c r="M65" s="3318">
        <v>0.02</v>
      </c>
      <c r="O65" s="2587" t="s">
        <v>2440</v>
      </c>
      <c r="P65" s="2597" t="s">
        <v>2458</v>
      </c>
      <c r="Q65" s="2588">
        <f ca="1">C40+J29</f>
        <v>45525</v>
      </c>
      <c r="R65" s="2588" t="s">
        <v>2459</v>
      </c>
    </row>
    <row r="66" spans="1:18" s="1455" customFormat="1" ht="20.25" thickBot="1">
      <c r="A66" s="2438" t="s">
        <v>2367</v>
      </c>
      <c r="B66" s="2402" t="s">
        <v>364</v>
      </c>
      <c r="C66" s="313">
        <f ca="1">ROUND(C48*F66,1)</f>
        <v>52.3</v>
      </c>
      <c r="D66" s="2420" t="s">
        <v>2344</v>
      </c>
      <c r="E66" s="2402" t="s">
        <v>2335</v>
      </c>
      <c r="F66" s="694">
        <f t="shared" ca="1" si="0"/>
        <v>1.4999999999999999E-2</v>
      </c>
      <c r="O66" s="2587" t="s">
        <v>2441</v>
      </c>
      <c r="P66" s="2597" t="s">
        <v>2465</v>
      </c>
      <c r="Q66" s="2588">
        <f ca="1">L60</f>
        <v>0</v>
      </c>
      <c r="R66" s="2588" t="s">
        <v>2448</v>
      </c>
    </row>
    <row r="67" spans="1:18" s="1455" customFormat="1" ht="24.75" thickBot="1">
      <c r="A67" s="2409" t="s">
        <v>2345</v>
      </c>
      <c r="B67" s="2423" t="s">
        <v>2346</v>
      </c>
      <c r="C67" s="698">
        <f ca="1">C48-C58</f>
        <v>2849</v>
      </c>
      <c r="D67" s="2419" t="s">
        <v>2347</v>
      </c>
      <c r="E67" s="2424"/>
      <c r="F67" s="2425"/>
      <c r="O67" s="2589" t="s">
        <v>2442</v>
      </c>
      <c r="P67" s="2597" t="s">
        <v>2472</v>
      </c>
      <c r="Q67" s="2592">
        <f ca="1">L51</f>
        <v>22874</v>
      </c>
      <c r="R67" s="2593" t="s">
        <v>2482</v>
      </c>
    </row>
    <row r="68" spans="1:18" s="1455" customFormat="1" ht="20.25" thickBot="1">
      <c r="A68" s="2399" t="s">
        <v>2348</v>
      </c>
      <c r="B68" s="2400" t="s">
        <v>2349</v>
      </c>
      <c r="C68" s="683">
        <f ca="1">ROUND(C67*(1-((1+F70)/(1+F68))^F69)/(F68-F70),0)</f>
        <v>45525</v>
      </c>
      <c r="D68" s="2421" t="s">
        <v>2350</v>
      </c>
      <c r="E68" s="2402" t="s">
        <v>2351</v>
      </c>
      <c r="F68" s="694">
        <f ca="1">F40</f>
        <v>0.06</v>
      </c>
      <c r="O68" s="2589" t="s">
        <v>2443</v>
      </c>
      <c r="P68" s="2598" t="s">
        <v>2476</v>
      </c>
      <c r="Q68" s="2588">
        <f ca="1">ROUND(Q69-Q70*Q71,0)</f>
        <v>1660</v>
      </c>
      <c r="R68" s="2588" t="s">
        <v>2481</v>
      </c>
    </row>
    <row r="69" spans="1:18" s="1455" customFormat="1" ht="15.75" thickBot="1">
      <c r="A69" s="2403"/>
      <c r="B69" s="2404"/>
      <c r="C69" s="688"/>
      <c r="D69" s="2426" t="s">
        <v>2352</v>
      </c>
      <c r="E69" s="2402" t="s">
        <v>2353</v>
      </c>
      <c r="F69" s="719">
        <f ca="1">F41</f>
        <v>26.5</v>
      </c>
      <c r="O69" s="2589" t="s">
        <v>2451</v>
      </c>
      <c r="P69" s="2598" t="s">
        <v>2466</v>
      </c>
      <c r="Q69" s="2588">
        <f ca="1">C39</f>
        <v>2849</v>
      </c>
      <c r="R69" s="2588" t="s">
        <v>2459</v>
      </c>
    </row>
    <row r="70" spans="1:18" s="1455" customFormat="1" ht="15.75" thickBot="1">
      <c r="A70" s="2406"/>
      <c r="B70" s="2407"/>
      <c r="C70" s="692"/>
      <c r="D70" s="2422"/>
      <c r="E70" s="2402" t="s">
        <v>2354</v>
      </c>
      <c r="F70" s="2532">
        <f>租约!G2</f>
        <v>0.02</v>
      </c>
      <c r="O70" s="2589" t="s">
        <v>2452</v>
      </c>
      <c r="P70" s="2598" t="s">
        <v>2467</v>
      </c>
      <c r="Q70" s="2588">
        <f ca="1">C13</f>
        <v>13992</v>
      </c>
      <c r="R70" s="2588" t="s">
        <v>2459</v>
      </c>
    </row>
    <row r="71" spans="1:18" s="1455" customFormat="1" ht="15.75" thickBot="1">
      <c r="A71" s="2427" t="s">
        <v>2355</v>
      </c>
      <c r="B71" s="2428" t="s">
        <v>2356</v>
      </c>
      <c r="C71" s="722">
        <f ca="1">ROUND(C68*10000/F71,0)</f>
        <v>12021</v>
      </c>
      <c r="D71" s="2429" t="s">
        <v>2357</v>
      </c>
      <c r="E71" s="2430" t="s">
        <v>2358</v>
      </c>
      <c r="F71" s="725">
        <f ca="1">F43</f>
        <v>37870.639999999999</v>
      </c>
      <c r="I71" s="2397"/>
      <c r="K71" s="2397"/>
      <c r="O71" s="2589" t="s">
        <v>2453</v>
      </c>
      <c r="P71" s="2598" t="s">
        <v>2479</v>
      </c>
      <c r="Q71" s="2590">
        <f ca="1">C76</f>
        <v>8.5000000000000006E-2</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1189</v>
      </c>
      <c r="D75" s="1455"/>
      <c r="E75" s="1455"/>
      <c r="F75" s="1455"/>
      <c r="K75" s="1456"/>
      <c r="L75" s="1455"/>
      <c r="O75" s="2587" t="s">
        <v>2446</v>
      </c>
      <c r="P75" s="2597" t="s">
        <v>2464</v>
      </c>
      <c r="Q75" s="2588">
        <f ca="1">Q65+Q66</f>
        <v>45525</v>
      </c>
      <c r="R75" s="2588" t="s">
        <v>2447</v>
      </c>
    </row>
    <row r="76" spans="1:18">
      <c r="B76" s="731" t="s">
        <v>969</v>
      </c>
      <c r="C76" s="732">
        <f ca="1">INDIRECT("'数据-取费表'!j"&amp;$G$1)</f>
        <v>8.5000000000000006E-2</v>
      </c>
      <c r="I76" s="1455"/>
      <c r="J76" s="1455"/>
      <c r="K76" s="1456"/>
      <c r="L76" s="1455"/>
    </row>
    <row r="77" spans="1:18">
      <c r="B77" s="733" t="s">
        <v>972</v>
      </c>
      <c r="C77" s="734"/>
      <c r="I77" s="1455"/>
      <c r="J77" s="1455"/>
      <c r="K77" s="1456"/>
      <c r="L77" s="1455"/>
    </row>
    <row r="78" spans="1:18">
      <c r="B78" s="646" t="s">
        <v>2687</v>
      </c>
      <c r="C78" s="735"/>
    </row>
    <row r="79" spans="1:18">
      <c r="B79" s="2873" t="s">
        <v>2691</v>
      </c>
      <c r="C79" s="650">
        <f ca="1">1-C80</f>
        <v>0.58299999999999996</v>
      </c>
    </row>
    <row r="80" spans="1:18">
      <c r="B80" s="2873" t="s">
        <v>2690</v>
      </c>
      <c r="C80" s="650">
        <f ca="1">ROUND(C75/C39,3)</f>
        <v>0.41699999999999998</v>
      </c>
    </row>
    <row r="81" spans="2:3">
      <c r="B81" s="646" t="s">
        <v>384</v>
      </c>
      <c r="C81" s="647"/>
    </row>
    <row r="82" spans="2:3">
      <c r="B82" s="2872" t="s">
        <v>2689</v>
      </c>
      <c r="C82" s="651">
        <f ca="1">1-C83</f>
        <v>0.69300000000000006</v>
      </c>
    </row>
    <row r="83" spans="2:3">
      <c r="B83" s="2872" t="s">
        <v>2688</v>
      </c>
      <c r="C83" s="650">
        <f ca="1">ROUND(C13/C40,3)</f>
        <v>0.307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c r="D1" s="1274"/>
      <c r="E1" s="2585" t="s">
        <v>536</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342</v>
      </c>
      <c r="B2" s="1407" t="e">
        <f ca="1">ROUND(D2/10000,0)</f>
        <v>#DIV/0!</v>
      </c>
      <c r="C2" s="1300" t="s">
        <v>1097</v>
      </c>
      <c r="D2" s="2724" t="e">
        <f ca="1">C40+J29+L46</f>
        <v>#DIV/0!</v>
      </c>
      <c r="E2" s="2575" t="s">
        <v>2612</v>
      </c>
      <c r="F2" s="1277"/>
      <c r="G2" s="2287"/>
      <c r="H2" s="1275"/>
      <c r="I2" s="1275"/>
      <c r="J2" s="1275"/>
      <c r="K2" s="1299"/>
      <c r="L2" s="1275"/>
      <c r="M2" s="1275"/>
    </row>
    <row r="3" spans="1:37" ht="18" customHeight="1" thickBot="1">
      <c r="A3" s="675" t="s">
        <v>343</v>
      </c>
      <c r="B3" s="1408">
        <f ca="1">IF(ISERROR(D2/F43),0,ROUND(D2/F43,0))</f>
        <v>0</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2324</v>
      </c>
      <c r="C5" s="2626">
        <f ca="1">C6+C10+C12</f>
        <v>0</v>
      </c>
      <c r="D5" s="2636" t="s">
        <v>2526</v>
      </c>
      <c r="E5" s="2627"/>
      <c r="F5" s="2628"/>
      <c r="G5" s="2288"/>
      <c r="H5" s="681">
        <v>1</v>
      </c>
      <c r="I5" s="682" t="s">
        <v>2324</v>
      </c>
      <c r="J5" s="2626">
        <f ca="1">J6+J10+J12</f>
        <v>0</v>
      </c>
      <c r="K5" s="2629" t="s">
        <v>2526</v>
      </c>
      <c r="L5" s="2627"/>
      <c r="M5" s="2628"/>
    </row>
    <row r="6" spans="1:37" ht="18" customHeight="1">
      <c r="A6" s="2622" t="s">
        <v>2365</v>
      </c>
      <c r="B6" s="3582" t="s">
        <v>2525</v>
      </c>
      <c r="C6" s="2631">
        <f ca="1">ROUND(F6*F8*F7*(1-F9),0)</f>
        <v>0</v>
      </c>
      <c r="D6" s="2625" t="s">
        <v>2527</v>
      </c>
      <c r="E6" s="684" t="s">
        <v>910</v>
      </c>
      <c r="F6" s="685">
        <f ca="1">INDIRECT("'数据-取费表'!u"&amp;$G$1)</f>
        <v>0</v>
      </c>
      <c r="G6" s="2288"/>
      <c r="H6" s="2622" t="s">
        <v>2365</v>
      </c>
      <c r="I6" s="3582" t="s">
        <v>2525</v>
      </c>
      <c r="J6" s="683">
        <f ca="1">ROUND(M6*M8*M7*(1-M9),0)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0</v>
      </c>
      <c r="G7" s="2288"/>
      <c r="H7" s="686"/>
      <c r="I7" s="3583"/>
      <c r="J7" s="688"/>
      <c r="K7" s="689"/>
      <c r="L7" s="684" t="s">
        <v>911</v>
      </c>
      <c r="M7" s="685">
        <f ca="1">F7</f>
        <v>0</v>
      </c>
    </row>
    <row r="8" spans="1:37" ht="18" customHeight="1">
      <c r="A8" s="686"/>
      <c r="B8" s="3583"/>
      <c r="C8" s="688"/>
      <c r="D8" s="689"/>
      <c r="E8" s="684" t="s">
        <v>912</v>
      </c>
      <c r="F8" s="685">
        <f ca="1">INDIRECT("'数据-取费表'!ai"&amp;$G$1)</f>
        <v>0</v>
      </c>
      <c r="G8" s="2288"/>
      <c r="H8" s="686"/>
      <c r="I8" s="3583"/>
      <c r="J8" s="688"/>
      <c r="K8" s="689"/>
      <c r="L8" s="684" t="s">
        <v>912</v>
      </c>
      <c r="M8" s="685">
        <f ca="1">INDIRECT("'数据-取费表'!ai"&amp;$G$1)</f>
        <v>0</v>
      </c>
    </row>
    <row r="9" spans="1:37" ht="18" customHeight="1">
      <c r="A9" s="686"/>
      <c r="B9" s="3584"/>
      <c r="C9" s="688"/>
      <c r="D9" s="689"/>
      <c r="E9" s="684" t="s">
        <v>913</v>
      </c>
      <c r="F9" s="694">
        <f ca="1">INDIRECT("'数据-取费表'!w"&amp;$G$1)</f>
        <v>0</v>
      </c>
      <c r="G9" s="2288"/>
      <c r="H9" s="686"/>
      <c r="I9" s="3584"/>
      <c r="J9" s="688"/>
      <c r="K9" s="689"/>
      <c r="L9" s="695" t="s">
        <v>913</v>
      </c>
      <c r="M9" s="696">
        <f ca="1">INDIRECT("'数据-取费表'!ab"&amp;$G$1)</f>
        <v>0</v>
      </c>
    </row>
    <row r="10" spans="1:37" ht="18" customHeight="1">
      <c r="A10" s="2622" t="s">
        <v>2372</v>
      </c>
      <c r="B10" s="2623" t="s">
        <v>2520</v>
      </c>
      <c r="C10" s="698">
        <f ca="1">ROUND(IF(F10="押一",F6*F8*F7/12*F11,IF(F10="押二",F6*F8*F7/12*2*F11,IF(F10="押三",F6*F8*F7/12*3*F11,C11*F11))),0)</f>
        <v>0</v>
      </c>
      <c r="D10" s="2634" t="s">
        <v>2528</v>
      </c>
      <c r="E10" s="2097" t="s">
        <v>2522</v>
      </c>
      <c r="F10" s="2828"/>
      <c r="G10" s="2288"/>
      <c r="H10" s="2622" t="s">
        <v>2372</v>
      </c>
      <c r="I10" s="2623" t="s">
        <v>2520</v>
      </c>
      <c r="J10" s="683">
        <f ca="1">ROUND(IF(M10="押一",M6*M8*M7/12*M11,IF(M10="押二",M6*M8*M7/12*2*M11,IF(M10="押三",M6*M8*M7/12*3*M11,J11*M11))),0)</f>
        <v>0</v>
      </c>
      <c r="K10" s="2634" t="s">
        <v>2528</v>
      </c>
      <c r="L10" s="2097" t="s">
        <v>2522</v>
      </c>
      <c r="M10" s="2828" t="s">
        <v>2683</v>
      </c>
    </row>
    <row r="11" spans="1:37" ht="18" customHeight="1">
      <c r="A11" s="690"/>
      <c r="B11" s="2624" t="s">
        <v>2530</v>
      </c>
      <c r="C11" s="2415"/>
      <c r="D11" s="689"/>
      <c r="E11" s="2097" t="s">
        <v>2523</v>
      </c>
      <c r="F11" s="696">
        <f ca="1">'数据-取费表'!B39</f>
        <v>1.4999999999999999E-2</v>
      </c>
      <c r="G11" s="2288"/>
      <c r="H11" s="2635"/>
      <c r="I11" s="2624" t="s">
        <v>2684</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2533</v>
      </c>
      <c r="I12" s="2671" t="s">
        <v>2521</v>
      </c>
      <c r="J12" s="2672"/>
      <c r="K12" s="2689"/>
      <c r="L12" s="2674"/>
      <c r="M12" s="2690"/>
    </row>
    <row r="13" spans="1:37" ht="18" customHeight="1" thickTop="1">
      <c r="A13" s="2666">
        <v>2</v>
      </c>
      <c r="B13" s="2667" t="s">
        <v>914</v>
      </c>
      <c r="C13" s="692">
        <f ca="1">ROUND(C29*F13,0)</f>
        <v>0</v>
      </c>
      <c r="D13" s="2668" t="s">
        <v>915</v>
      </c>
      <c r="E13" s="2668" t="s">
        <v>916</v>
      </c>
      <c r="F13" s="2669">
        <f ca="1">INDIRECT("'数据-取费表'!y"&amp;$G$1)</f>
        <v>0</v>
      </c>
      <c r="G13" s="2288"/>
      <c r="H13" s="2666">
        <v>2</v>
      </c>
      <c r="I13" s="2667" t="s">
        <v>914</v>
      </c>
      <c r="J13" s="2621">
        <f ca="1">ROUND(J14*J15,0)</f>
        <v>0</v>
      </c>
      <c r="K13" s="2676" t="s">
        <v>915</v>
      </c>
      <c r="L13" s="2687"/>
      <c r="M13" s="2688"/>
    </row>
    <row r="14" spans="1:37" ht="18" customHeight="1">
      <c r="A14" s="2438" t="s">
        <v>2362</v>
      </c>
      <c r="B14" s="684" t="s">
        <v>356</v>
      </c>
      <c r="C14" s="702">
        <f ca="1">ROUND(INDIRECT("'数据-取费表'!l"&amp;$G$1)*F43+'数据-取费表'!L14*INDIRECT("'数据-取费表'!S"&amp;$G$1),0)</f>
        <v>0</v>
      </c>
      <c r="D14" s="2719" t="s">
        <v>917</v>
      </c>
      <c r="E14" s="2718"/>
      <c r="F14" s="703"/>
      <c r="G14" s="2288"/>
      <c r="H14" s="2438" t="s">
        <v>2365</v>
      </c>
      <c r="I14" s="684" t="s">
        <v>918</v>
      </c>
      <c r="J14" s="313">
        <f ca="1">C29</f>
        <v>0</v>
      </c>
      <c r="K14" s="303"/>
      <c r="L14" s="700"/>
      <c r="M14" s="701"/>
    </row>
    <row r="15" spans="1:37" s="706" customFormat="1" ht="18" customHeight="1" thickBot="1">
      <c r="A15" s="2438" t="s">
        <v>2597</v>
      </c>
      <c r="B15" s="684" t="s">
        <v>357</v>
      </c>
      <c r="C15" s="313">
        <f ca="1">ROUND(C14*F15,0)</f>
        <v>0</v>
      </c>
      <c r="D15" s="704" t="s">
        <v>919</v>
      </c>
      <c r="E15" s="704" t="s">
        <v>362</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ROUND(INDIRECT("'数据-取费表'!l"&amp;$G$1)*F43*F16,0)</f>
        <v>0</v>
      </c>
      <c r="D16" s="684" t="s">
        <v>919</v>
      </c>
      <c r="E16" s="684" t="s">
        <v>362</v>
      </c>
      <c r="F16" s="707">
        <f ca="1">IF(INDIRECT("'数据-取费表'!c"&amp;$G$1)="住宅",'数据-取费表'!B34,0)</f>
        <v>0</v>
      </c>
      <c r="G16" s="2288"/>
      <c r="H16" s="2666" t="s">
        <v>2330</v>
      </c>
      <c r="I16" s="2667" t="s">
        <v>921</v>
      </c>
      <c r="J16" s="692">
        <f ca="1">ROUND(J17+J22+J23+J24,0)</f>
        <v>0</v>
      </c>
      <c r="K16" s="2676" t="s">
        <v>922</v>
      </c>
      <c r="L16" s="2677"/>
      <c r="M16" s="2628"/>
    </row>
    <row r="17" spans="1:37" s="706" customFormat="1" ht="18" customHeight="1">
      <c r="A17" s="2438" t="s">
        <v>2599</v>
      </c>
      <c r="B17" s="684" t="s">
        <v>359</v>
      </c>
      <c r="C17" s="313">
        <f ca="1">ROUND(F17*(F43+INDIRECT("'数据-取费表'!S"&amp;$G$1)),0)</f>
        <v>0</v>
      </c>
      <c r="D17" s="684" t="s">
        <v>923</v>
      </c>
      <c r="E17" s="684" t="s">
        <v>924</v>
      </c>
      <c r="F17" s="315">
        <f>'数据-取费表'!B35</f>
        <v>200</v>
      </c>
      <c r="G17" s="2289"/>
      <c r="H17" s="2438" t="s">
        <v>2365</v>
      </c>
      <c r="I17" s="684" t="s">
        <v>360</v>
      </c>
      <c r="J17" s="313">
        <f ca="1">ROUND(IF(项目基本情况!B11="自然人",J5*M17,J18+J19+J20),0)</f>
        <v>0</v>
      </c>
      <c r="K17" s="2719" t="s">
        <v>925</v>
      </c>
      <c r="L17" s="2720"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0</v>
      </c>
      <c r="D18" s="684" t="s">
        <v>919</v>
      </c>
      <c r="E18" s="684" t="s">
        <v>362</v>
      </c>
      <c r="F18" s="707">
        <f>'数据-取费表'!B36</f>
        <v>1.4999999999999999E-2</v>
      </c>
      <c r="G18" s="2289"/>
      <c r="H18" s="2438" t="s">
        <v>2362</v>
      </c>
      <c r="I18" s="684" t="s">
        <v>927</v>
      </c>
      <c r="J18" s="313">
        <f ca="1">ROUND(J5*M18/(1+'数据-取费表'!C42),0)</f>
        <v>0</v>
      </c>
      <c r="K18" s="2720" t="s">
        <v>928</v>
      </c>
      <c r="L18" s="684" t="s">
        <v>362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2365</v>
      </c>
      <c r="B19" s="684" t="s">
        <v>363</v>
      </c>
      <c r="C19" s="313">
        <f ca="1">SUM(C14:C18)</f>
        <v>0</v>
      </c>
      <c r="D19" s="471" t="s">
        <v>929</v>
      </c>
      <c r="E19" s="2722"/>
      <c r="F19" s="315"/>
      <c r="G19" s="2288"/>
      <c r="H19" s="2438" t="s">
        <v>2597</v>
      </c>
      <c r="I19" s="684" t="s">
        <v>930</v>
      </c>
      <c r="J19" s="313">
        <f ca="1">IF(K19="按租金收入计税",ROUND(J5*M19,0),ROUND(C29*M19*0.7,0))</f>
        <v>0</v>
      </c>
      <c r="K19" s="1301" t="s">
        <v>2404</v>
      </c>
      <c r="L19" s="684" t="s">
        <v>362</v>
      </c>
      <c r="M19" s="707">
        <f>IF(K19="按租金收入计税",'数据-取费表'!B51,'数据-取费表'!B50)</f>
        <v>1.2E-2</v>
      </c>
    </row>
    <row r="20" spans="1:37" s="706" customFormat="1" ht="18" customHeight="1">
      <c r="A20" s="2438" t="s">
        <v>2601</v>
      </c>
      <c r="B20" s="684" t="s">
        <v>364</v>
      </c>
      <c r="C20" s="313">
        <f ca="1">ROUND(C19*F20,0)</f>
        <v>0</v>
      </c>
      <c r="D20" s="709" t="s">
        <v>931</v>
      </c>
      <c r="E20" s="684" t="s">
        <v>362</v>
      </c>
      <c r="F20" s="707">
        <f>'数据-取费表'!B37</f>
        <v>0.03</v>
      </c>
      <c r="G20" s="2289"/>
      <c r="H20" s="2438" t="s">
        <v>2598</v>
      </c>
      <c r="I20" s="496" t="s">
        <v>932</v>
      </c>
      <c r="J20" s="314">
        <f ca="1">ROUND(M20*M21,0)</f>
        <v>0</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23</v>
      </c>
      <c r="D21" s="709" t="s">
        <v>936</v>
      </c>
      <c r="E21" s="684" t="s">
        <v>937</v>
      </c>
      <c r="F21" s="707">
        <f>'数据-取费表'!B38</f>
        <v>0.03</v>
      </c>
      <c r="G21" s="2289"/>
      <c r="H21" s="712"/>
      <c r="I21" s="693"/>
      <c r="J21" s="318"/>
      <c r="K21" s="713"/>
      <c r="L21" s="684" t="s">
        <v>938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722"/>
      <c r="F22" s="315"/>
      <c r="G22" s="2288"/>
      <c r="H22" s="2438" t="s">
        <v>2372</v>
      </c>
      <c r="I22" s="684" t="s">
        <v>940</v>
      </c>
      <c r="J22" s="313">
        <f ca="1">ROUND(J14*M22,0)</f>
        <v>0</v>
      </c>
      <c r="K22" s="2720" t="s">
        <v>941</v>
      </c>
      <c r="L22" s="684" t="s">
        <v>362</v>
      </c>
      <c r="M22" s="714">
        <f ca="1">INDIRECT("'数据-取费表'!Ak"&amp;$G$1)</f>
        <v>0</v>
      </c>
    </row>
    <row r="23" spans="1:37" s="706" customFormat="1" ht="18" customHeight="1">
      <c r="A23" s="2438" t="s">
        <v>2362</v>
      </c>
      <c r="B23" s="684" t="s">
        <v>2517</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ROUND(J13*M23,0)</f>
        <v>0</v>
      </c>
      <c r="K23" s="2720" t="s">
        <v>366</v>
      </c>
      <c r="L23" s="684" t="s">
        <v>362</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ROUND(J5*M24,0)</f>
        <v>0</v>
      </c>
      <c r="K24" s="2681" t="s">
        <v>368</v>
      </c>
      <c r="L24" s="2679" t="s">
        <v>362</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722"/>
      <c r="F25" s="315"/>
      <c r="G25" s="2288"/>
      <c r="H25" s="2666" t="s">
        <v>2345</v>
      </c>
      <c r="I25" s="2683" t="s">
        <v>374</v>
      </c>
      <c r="J25" s="692">
        <f ca="1">J5-J16</f>
        <v>0</v>
      </c>
      <c r="K25" s="2684" t="s">
        <v>375</v>
      </c>
      <c r="L25" s="2685"/>
      <c r="M25" s="2686"/>
    </row>
    <row r="26" spans="1:37" ht="18" customHeight="1">
      <c r="A26" s="2438" t="s">
        <v>2362</v>
      </c>
      <c r="B26" s="684" t="s">
        <v>2518</v>
      </c>
      <c r="C26" s="313">
        <f ca="1">ROUND((C19+C20)*F26,0)</f>
        <v>0</v>
      </c>
      <c r="D26" s="709" t="s">
        <v>950</v>
      </c>
      <c r="E26" s="695" t="s">
        <v>951</v>
      </c>
      <c r="F26" s="694">
        <f ca="1">INDIRECT("'数据-取费表'!q"&amp;$G$1)</f>
        <v>0</v>
      </c>
      <c r="G26" s="2288"/>
      <c r="H26" s="681" t="s">
        <v>2348</v>
      </c>
      <c r="I26" s="682" t="s">
        <v>952</v>
      </c>
      <c r="J26" s="683">
        <f ca="1">IF(J5&lt;&gt;0,ROUND(J25*(1-((1+M28)/(1+M26))^M27)/(M26-M28),0),0)</f>
        <v>0</v>
      </c>
      <c r="K26" s="710" t="s">
        <v>370</v>
      </c>
      <c r="L26" s="684" t="s">
        <v>371</v>
      </c>
      <c r="M26" s="694">
        <f ca="1">INDIRECT("'数据-取费表'!I"&amp;$G$1)</f>
        <v>0</v>
      </c>
    </row>
    <row r="27" spans="1:37" ht="18" customHeight="1">
      <c r="A27" s="2438" t="s">
        <v>2368</v>
      </c>
      <c r="B27" s="684" t="s">
        <v>372</v>
      </c>
      <c r="C27" s="313">
        <f ca="1">ROUND(F21*F26,4)</f>
        <v>0</v>
      </c>
      <c r="D27" s="709" t="s">
        <v>954</v>
      </c>
      <c r="E27" s="704"/>
      <c r="F27" s="705"/>
      <c r="G27" s="2288"/>
      <c r="H27" s="686"/>
      <c r="I27" s="687"/>
      <c r="J27" s="688"/>
      <c r="K27" s="718" t="s">
        <v>955</v>
      </c>
      <c r="L27" s="684" t="s">
        <v>378</v>
      </c>
      <c r="M27" s="719">
        <f ca="1">INDIRECT("'数据-取费表'!ag"&amp;$G$1)</f>
        <v>0</v>
      </c>
    </row>
    <row r="28" spans="1:37" s="706" customFormat="1" ht="18" customHeight="1">
      <c r="A28" s="2438" t="s">
        <v>2370</v>
      </c>
      <c r="B28" s="684" t="s">
        <v>373</v>
      </c>
      <c r="C28" s="313">
        <f>ROUND(F28/(1+'数据-取费表'!C42),4)</f>
        <v>5.33E-2</v>
      </c>
      <c r="D28" s="709" t="s">
        <v>961</v>
      </c>
      <c r="E28" s="684" t="s">
        <v>362</v>
      </c>
      <c r="F28" s="707">
        <f>'数据-取费表'!B41</f>
        <v>5.6000000000000001E-2</v>
      </c>
      <c r="G28" s="2289"/>
      <c r="H28" s="690"/>
      <c r="I28" s="691"/>
      <c r="J28" s="692"/>
      <c r="K28" s="713"/>
      <c r="L28" s="684" t="s">
        <v>379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0</v>
      </c>
      <c r="D29" s="2681"/>
      <c r="E29" s="2679"/>
      <c r="F29" s="2682"/>
      <c r="G29" s="2289"/>
      <c r="H29" s="720" t="s">
        <v>2355</v>
      </c>
      <c r="I29" s="721" t="s">
        <v>956</v>
      </c>
      <c r="J29" s="722">
        <f ca="1">ROUND(J26/(1+F40)^F41,0)</f>
        <v>0</v>
      </c>
      <c r="K29" s="723" t="s">
        <v>957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0</v>
      </c>
      <c r="D30" s="2676" t="s">
        <v>922</v>
      </c>
      <c r="E30" s="2677"/>
      <c r="F30" s="2628"/>
      <c r="G30" s="2288"/>
      <c r="H30" s="1278"/>
      <c r="I30" s="1279"/>
      <c r="J30" s="1280"/>
      <c r="K30" s="1281"/>
      <c r="L30" s="1282"/>
      <c r="M30" s="1283"/>
    </row>
    <row r="31" spans="1:37" ht="18" customHeight="1">
      <c r="A31" s="2438" t="s">
        <v>2365</v>
      </c>
      <c r="B31" s="684" t="s">
        <v>360</v>
      </c>
      <c r="C31" s="313">
        <f ca="1">ROUND(IF(项目基本情况!B11="自然人",C5*F31,C32+C33+C34),0)</f>
        <v>0</v>
      </c>
      <c r="D31" s="2719" t="s">
        <v>925</v>
      </c>
      <c r="E31" s="2720" t="s">
        <v>964</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2362</v>
      </c>
      <c r="B32" s="684" t="s">
        <v>927</v>
      </c>
      <c r="C32" s="313">
        <f ca="1">IF(项目基本情况!B11="自然人","——",ROUND(C5*F32/(1+'数据-取费表'!C42),0))</f>
        <v>0</v>
      </c>
      <c r="D32" s="2720" t="s">
        <v>928</v>
      </c>
      <c r="E32" s="684" t="s">
        <v>362</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IF(项目基本情况!B11="自然人","——",IF(D33="按租金收入计税",ROUND(C5*F33,0),IF(D33="按房产原值计税",ROUND(C29*F33*0.7,0),INDIRECT("'数据-取费表'!Aj"&amp;$G$1))))</f>
        <v>0</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932</v>
      </c>
      <c r="C34" s="314">
        <f ca="1">IF(项目基本情况!B11="自然人","——",ROUND(F34*F35,))</f>
        <v>0</v>
      </c>
      <c r="D34" s="710" t="s">
        <v>933</v>
      </c>
      <c r="E34" s="684" t="s">
        <v>934</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0</v>
      </c>
      <c r="G35" s="2288"/>
      <c r="H35" s="1278"/>
      <c r="I35" s="2881"/>
      <c r="J35" s="2882"/>
      <c r="K35" s="1291"/>
      <c r="L35" s="1290"/>
      <c r="M35" s="1290"/>
    </row>
    <row r="36" spans="1:18" ht="18" customHeight="1">
      <c r="A36" s="2695" t="s">
        <v>2372</v>
      </c>
      <c r="B36" s="684" t="s">
        <v>940</v>
      </c>
      <c r="C36" s="313">
        <f ca="1">ROUND(C29*F36,0)</f>
        <v>0</v>
      </c>
      <c r="D36" s="2720" t="s">
        <v>970</v>
      </c>
      <c r="E36" s="684" t="s">
        <v>362</v>
      </c>
      <c r="F36" s="714">
        <f ca="1">INDIRECT("'数据-取费表'!Ak"&amp;$G$1)</f>
        <v>0</v>
      </c>
      <c r="G36" s="2288"/>
      <c r="H36" s="1290"/>
      <c r="I36" s="2881"/>
      <c r="J36" s="2882"/>
      <c r="K36" s="1294"/>
      <c r="L36" s="1290"/>
      <c r="M36" s="1290"/>
    </row>
    <row r="37" spans="1:18" ht="18" customHeight="1">
      <c r="A37" s="2438" t="s">
        <v>2602</v>
      </c>
      <c r="B37" s="684" t="s">
        <v>365</v>
      </c>
      <c r="C37" s="313">
        <f ca="1">ROUND(C13*F37,0)</f>
        <v>0</v>
      </c>
      <c r="D37" s="2720" t="s">
        <v>366</v>
      </c>
      <c r="E37" s="684" t="s">
        <v>362</v>
      </c>
      <c r="F37" s="716">
        <f ca="1">INDIRECT("'数据-取费表'!Al"&amp;$G$1)</f>
        <v>0</v>
      </c>
      <c r="G37" s="2288"/>
      <c r="H37" s="1290"/>
      <c r="I37" s="2881"/>
      <c r="J37" s="2882"/>
      <c r="K37" s="1294"/>
      <c r="L37" s="1290"/>
      <c r="M37" s="1290"/>
    </row>
    <row r="38" spans="1:18" ht="18" customHeight="1" thickBot="1">
      <c r="A38" s="2678" t="s">
        <v>2603</v>
      </c>
      <c r="B38" s="2679" t="s">
        <v>364</v>
      </c>
      <c r="C38" s="2680">
        <f ca="1">ROUND(C5*F38,1)</f>
        <v>0</v>
      </c>
      <c r="D38" s="2681" t="s">
        <v>368</v>
      </c>
      <c r="E38" s="2679" t="s">
        <v>362</v>
      </c>
      <c r="F38" s="2675">
        <f ca="1">INDIRECT("'数据-取费表'!Am"&amp;$G$1)</f>
        <v>0</v>
      </c>
      <c r="G38" s="2288"/>
      <c r="H38" s="1290"/>
      <c r="I38" s="2881"/>
      <c r="J38" s="2882"/>
      <c r="K38" s="1295"/>
      <c r="L38" s="1290"/>
      <c r="M38" s="1290"/>
    </row>
    <row r="39" spans="1:18" ht="24.6" customHeight="1" thickTop="1">
      <c r="A39" s="2666" t="s">
        <v>2345</v>
      </c>
      <c r="B39" s="2683" t="s">
        <v>374</v>
      </c>
      <c r="C39" s="692">
        <f ca="1">C5-C30</f>
        <v>0</v>
      </c>
      <c r="D39" s="2684" t="s">
        <v>375</v>
      </c>
      <c r="E39" s="2685"/>
      <c r="F39" s="2686"/>
      <c r="G39" s="2288"/>
      <c r="H39" s="1290"/>
      <c r="I39" s="2881"/>
      <c r="J39" s="2882"/>
      <c r="K39" s="1295"/>
      <c r="L39" s="1290"/>
      <c r="M39" s="1290"/>
    </row>
    <row r="40" spans="1:18" ht="18" customHeight="1">
      <c r="A40" s="681" t="s">
        <v>2348</v>
      </c>
      <c r="B40" s="682" t="s">
        <v>376</v>
      </c>
      <c r="C40" s="683" t="e">
        <f ca="1">ROUND(C39*(1-((1+F42)/(1+F40))^F41)/(F40-F42),0)</f>
        <v>#DIV/0!</v>
      </c>
      <c r="D40" s="710" t="s">
        <v>370</v>
      </c>
      <c r="E40" s="684" t="s">
        <v>371</v>
      </c>
      <c r="F40" s="694">
        <f ca="1">INDIRECT("'数据-取费表'!I"&amp;$G$1)</f>
        <v>0</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379</v>
      </c>
      <c r="F42" s="694">
        <f ca="1">INDIRECT("'数据-取费表'!v"&amp;$G$1)</f>
        <v>0</v>
      </c>
      <c r="G42" s="2288"/>
      <c r="H42" s="1192"/>
      <c r="I42" s="2881"/>
      <c r="J42" s="2882"/>
      <c r="K42" s="1294"/>
      <c r="L42" s="1192"/>
      <c r="M42" s="1192"/>
    </row>
    <row r="43" spans="1:18" ht="18" customHeight="1" thickBot="1">
      <c r="A43" s="720" t="s">
        <v>2355</v>
      </c>
      <c r="B43" s="721" t="s">
        <v>380</v>
      </c>
      <c r="C43" s="722" t="e">
        <f ca="1">ROUND(C40/F43,0)</f>
        <v>#DIV/0!</v>
      </c>
      <c r="D43" s="723" t="s">
        <v>381</v>
      </c>
      <c r="E43" s="724" t="s">
        <v>382</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2613</v>
      </c>
      <c r="E45" s="1433"/>
      <c r="F45" s="1433"/>
      <c r="O45" s="2591" t="s">
        <v>2477</v>
      </c>
      <c r="P45" s="1296"/>
      <c r="Q45" s="1296"/>
      <c r="R45" s="1296"/>
    </row>
    <row r="46" spans="1:18" s="1455" customFormat="1" ht="21" thickBot="1">
      <c r="A46" s="2396" t="s">
        <v>2317</v>
      </c>
      <c r="B46" s="2397"/>
      <c r="C46" s="2725" t="e">
        <f ca="1">ROUND(C45/10000,0)</f>
        <v>#DIV/0!</v>
      </c>
      <c r="D46" s="2726" t="str">
        <f>C2</f>
        <v>万元</v>
      </c>
      <c r="I46" s="2578" t="s">
        <v>2412</v>
      </c>
      <c r="J46" s="2579"/>
      <c r="K46" s="2580"/>
      <c r="L46" s="2582" t="e">
        <f ca="1">IF(M47="住宅",0,IF(L48&gt;J51,L60,J60))</f>
        <v>#DIV/0!</v>
      </c>
      <c r="O46" s="2594" t="s">
        <v>2455</v>
      </c>
      <c r="P46" s="2595" t="s">
        <v>2456</v>
      </c>
      <c r="Q46" s="2596" t="s">
        <v>2454</v>
      </c>
      <c r="R46" s="2596" t="s">
        <v>2457</v>
      </c>
    </row>
    <row r="47" spans="1:18" s="1455" customFormat="1" ht="15.75" thickBot="1">
      <c r="A47" s="2398" t="s">
        <v>905</v>
      </c>
      <c r="B47" s="2434" t="s">
        <v>906</v>
      </c>
      <c r="C47" s="2434" t="s">
        <v>907</v>
      </c>
      <c r="D47" s="2434" t="s">
        <v>908</v>
      </c>
      <c r="E47" s="2537" t="s">
        <v>909</v>
      </c>
      <c r="F47" s="2538"/>
      <c r="G47" s="1457"/>
      <c r="I47" s="2553" t="s">
        <v>2405</v>
      </c>
      <c r="J47" s="2554"/>
      <c r="K47" s="2563" t="s">
        <v>2428</v>
      </c>
      <c r="L47" s="2564">
        <f ca="1">INDIRECT("'数据-取费表'!d"&amp;$G$1)</f>
        <v>0</v>
      </c>
      <c r="M47" s="2584" t="str">
        <f>IF(ISNUMBER(FIND("住宅",C1)),"住宅","非住宅")</f>
        <v>非住宅</v>
      </c>
      <c r="O47" s="2587" t="s">
        <v>2440</v>
      </c>
      <c r="P47" s="2597" t="s">
        <v>2458</v>
      </c>
      <c r="Q47" s="2588" t="e">
        <f ca="1">C40+J29</f>
        <v>#DIV/0!</v>
      </c>
      <c r="R47" s="2588" t="s">
        <v>2459</v>
      </c>
    </row>
    <row r="48" spans="1:18" s="1455" customFormat="1" ht="47.25" thickBot="1">
      <c r="A48" s="2711" t="s">
        <v>2608</v>
      </c>
      <c r="B48" s="682" t="s">
        <v>2324</v>
      </c>
      <c r="C48" s="2721">
        <f ca="1">C49+C53+C55</f>
        <v>0</v>
      </c>
      <c r="D48" s="2715"/>
      <c r="E48" s="2716"/>
      <c r="F48" s="2418"/>
      <c r="G48" s="1457"/>
      <c r="H48" s="1458"/>
      <c r="I48" s="2544" t="s">
        <v>2406</v>
      </c>
      <c r="J48" s="2555"/>
      <c r="K48" s="2565" t="s">
        <v>680</v>
      </c>
      <c r="L48" s="2168">
        <f ca="1">INDIRECT("'数据-取费表'!f"&amp;$G$1)</f>
        <v>0</v>
      </c>
      <c r="O48" s="2587" t="s">
        <v>2441</v>
      </c>
      <c r="P48" s="2597" t="s">
        <v>2460</v>
      </c>
      <c r="Q48" s="2588" t="e">
        <f ca="1">J60</f>
        <v>#DIV/0!</v>
      </c>
      <c r="R48" s="2588" t="s">
        <v>2468</v>
      </c>
    </row>
    <row r="49" spans="1:18" s="1455" customFormat="1" ht="15.75" thickBot="1">
      <c r="A49" s="2431" t="s">
        <v>2609</v>
      </c>
      <c r="B49" s="2714" t="s">
        <v>2611</v>
      </c>
      <c r="C49" s="2723">
        <f ca="1">ROUND(F49*F51*F50*(1-F52),0)</f>
        <v>0</v>
      </c>
      <c r="D49" s="2533" t="s">
        <v>2325</v>
      </c>
      <c r="E49" s="2536" t="s">
        <v>2318</v>
      </c>
      <c r="F49" s="2539"/>
      <c r="G49" s="1459"/>
      <c r="H49" s="1458"/>
      <c r="I49" s="2544" t="s">
        <v>2426</v>
      </c>
      <c r="J49" s="2556"/>
      <c r="K49" s="2566" t="s">
        <v>2431</v>
      </c>
      <c r="L49" s="2567"/>
      <c r="O49" s="2589" t="s">
        <v>2442</v>
      </c>
      <c r="P49" s="2597" t="s">
        <v>2461</v>
      </c>
      <c r="Q49" s="2588">
        <f ca="1">C29</f>
        <v>0</v>
      </c>
      <c r="R49" s="2588" t="s">
        <v>2459</v>
      </c>
    </row>
    <row r="50" spans="1:18" s="1455" customFormat="1" ht="15.75" thickBot="1">
      <c r="A50" s="2432"/>
      <c r="B50" s="2435"/>
      <c r="C50" s="2436"/>
      <c r="D50" s="2405"/>
      <c r="E50" s="2534" t="s">
        <v>911</v>
      </c>
      <c r="F50" s="2535">
        <f ca="1">F7</f>
        <v>0</v>
      </c>
      <c r="H50" s="1458"/>
      <c r="I50" s="2544" t="s">
        <v>2408</v>
      </c>
      <c r="J50" s="2557">
        <f>SUMPRODUCT((I63:I65=J47)*(J62:L62=J48)*(J63:L65))</f>
        <v>0</v>
      </c>
      <c r="K50" s="2566" t="s">
        <v>2432</v>
      </c>
      <c r="L50" s="2567"/>
      <c r="M50" s="2561"/>
      <c r="O50" s="2589" t="s">
        <v>2443</v>
      </c>
      <c r="P50" s="2597" t="s">
        <v>2469</v>
      </c>
      <c r="Q50" s="2590" t="e">
        <f ca="1">J58</f>
        <v>#DIV/0!</v>
      </c>
      <c r="R50" s="2588"/>
    </row>
    <row r="51" spans="1:18" s="1455" customFormat="1" ht="15.75" thickBot="1">
      <c r="A51" s="2433"/>
      <c r="B51" s="2435"/>
      <c r="C51" s="2436"/>
      <c r="D51" s="2405"/>
      <c r="E51" s="2437" t="s">
        <v>912</v>
      </c>
      <c r="F51" s="685">
        <f ca="1">F8</f>
        <v>0</v>
      </c>
      <c r="I51" s="2558" t="s">
        <v>2413</v>
      </c>
      <c r="J51" s="2559">
        <f>IF(J49="",J50,J49+J50-YEAR('数据-取费表'!B2))</f>
        <v>0</v>
      </c>
      <c r="K51" s="2568" t="s">
        <v>2433</v>
      </c>
      <c r="L51" s="2581">
        <f ca="1">ROUND(-PV(INDIRECT("'数据-取费表'!h"&amp;$G$1),L48,(C39-C13*C76),0),0)</f>
        <v>0</v>
      </c>
      <c r="M51" s="2562"/>
      <c r="O51" s="2589" t="s">
        <v>2444</v>
      </c>
      <c r="P51" s="2597" t="s">
        <v>2470</v>
      </c>
      <c r="Q51" s="2590">
        <f>J52</f>
        <v>0</v>
      </c>
      <c r="R51" s="2588"/>
    </row>
    <row r="52" spans="1:18" s="1455" customFormat="1" ht="15.75" thickBot="1">
      <c r="A52" s="2433"/>
      <c r="B52" s="2435"/>
      <c r="C52" s="2436"/>
      <c r="D52" s="2405"/>
      <c r="E52" s="2437" t="s">
        <v>913</v>
      </c>
      <c r="F52" s="2532"/>
      <c r="I52" s="2560" t="s">
        <v>2436</v>
      </c>
      <c r="J52" s="2574"/>
      <c r="K52" s="2560" t="s">
        <v>2421</v>
      </c>
      <c r="L52" s="2574"/>
      <c r="M52" s="2397"/>
      <c r="O52" s="2589" t="s">
        <v>2445</v>
      </c>
      <c r="P52" s="2597" t="s">
        <v>2462</v>
      </c>
      <c r="Q52" s="2588">
        <f ca="1">J53</f>
        <v>0</v>
      </c>
      <c r="R52" s="2588" t="s">
        <v>2463</v>
      </c>
    </row>
    <row r="53" spans="1:18" s="1455" customFormat="1" ht="43.5" thickBot="1">
      <c r="A53" s="2712" t="s">
        <v>2610</v>
      </c>
      <c r="B53" s="2713" t="s">
        <v>2520</v>
      </c>
      <c r="C53" s="698">
        <f ca="1">ROUND(IF(F53="押一",F49*F51*F50/12*F11,IF(F53="押二",F49*F51*F50/12*2*F11,IF(F53="押三",F49*F51*F50/12*3*F11,C54*F11))),0)</f>
        <v>0</v>
      </c>
      <c r="D53" s="2634" t="s">
        <v>2528</v>
      </c>
      <c r="E53" s="2097" t="s">
        <v>2522</v>
      </c>
      <c r="F53" s="2828"/>
      <c r="I53" s="2570" t="s">
        <v>2438</v>
      </c>
      <c r="J53" s="2571">
        <f ca="1">IF(M47="住宅",J51,MIN(J51,L48))</f>
        <v>0</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1"/>
      <c r="O53" s="2587" t="s">
        <v>2446</v>
      </c>
      <c r="P53" s="2597" t="s">
        <v>2464</v>
      </c>
      <c r="Q53" s="2588" t="e">
        <f ca="1">Q47+Q48</f>
        <v>#DIV/0!</v>
      </c>
      <c r="R53" s="2588" t="s">
        <v>2447</v>
      </c>
    </row>
    <row r="54" spans="1:18" s="1455" customFormat="1" ht="16.5" thickBot="1">
      <c r="A54" s="2431"/>
      <c r="B54" s="2825" t="s">
        <v>2684</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7"/>
      <c r="F55" s="2540"/>
      <c r="I55" s="3315" t="s">
        <v>2414</v>
      </c>
      <c r="J55" s="3314" t="e">
        <f ca="1">ROUND(IF(J47="钢混",J57/J50,1-(1-2%)*(J50-J57)/J50),3)</f>
        <v>#DIV/0!</v>
      </c>
      <c r="K55" s="2551" t="s">
        <v>2415</v>
      </c>
      <c r="L55" s="2573"/>
      <c r="O55" s="2594" t="s">
        <v>2455</v>
      </c>
      <c r="P55" s="2595" t="s">
        <v>2456</v>
      </c>
      <c r="Q55" s="2596" t="s">
        <v>2454</v>
      </c>
      <c r="R55" s="2596" t="s">
        <v>2457</v>
      </c>
    </row>
    <row r="56" spans="1:18" s="1455" customFormat="1" ht="44.25" thickTop="1" thickBot="1">
      <c r="A56" s="2409">
        <v>2</v>
      </c>
      <c r="B56" s="2410" t="s">
        <v>914</v>
      </c>
      <c r="C56" s="608">
        <f ca="1">C13</f>
        <v>0</v>
      </c>
      <c r="D56" s="2698"/>
      <c r="E56" s="2411"/>
      <c r="F56" s="2540"/>
      <c r="I56" s="2543" t="s">
        <v>2416</v>
      </c>
      <c r="J56" s="2572"/>
      <c r="K56" s="2544" t="s">
        <v>2420</v>
      </c>
      <c r="L56" s="2168">
        <f ca="1">IF(L48&lt;J51,"——",L48-J51)</f>
        <v>0</v>
      </c>
      <c r="O56" s="2587" t="s">
        <v>2440</v>
      </c>
      <c r="P56" s="2597" t="s">
        <v>2458</v>
      </c>
      <c r="Q56" s="2588" t="e">
        <f ca="1">C40+J29</f>
        <v>#DIV/0!</v>
      </c>
      <c r="R56" s="2588" t="s">
        <v>2459</v>
      </c>
    </row>
    <row r="57" spans="1:18" s="1455" customFormat="1" ht="29.25" thickBot="1">
      <c r="A57" s="2541"/>
      <c r="B57" s="2402" t="s">
        <v>963</v>
      </c>
      <c r="C57" s="614">
        <f ca="1">C29</f>
        <v>0</v>
      </c>
      <c r="D57" s="2413"/>
      <c r="E57" s="2414"/>
      <c r="F57" s="2542"/>
      <c r="I57" s="2545" t="s">
        <v>2437</v>
      </c>
      <c r="J57" s="2549">
        <f ca="1">IF(OR(M47="住宅",J51&lt;L48,J56="是"),"——",J51-L48)</f>
        <v>0</v>
      </c>
      <c r="K57" s="2544" t="s">
        <v>2430</v>
      </c>
      <c r="L57" s="2168">
        <f ca="1">IF(L48&lt;J51,"——",IF(L55="比较法",L49,IF(L55="基准地价",L50,L51)))</f>
        <v>0</v>
      </c>
      <c r="O57" s="2587" t="s">
        <v>2441</v>
      </c>
      <c r="P57" s="2597" t="s">
        <v>2465</v>
      </c>
      <c r="Q57" s="2588" t="e">
        <f ca="1">L60</f>
        <v>#DIV/0!</v>
      </c>
      <c r="R57" s="2588" t="s">
        <v>2480</v>
      </c>
    </row>
    <row r="58" spans="1:18" s="1455" customFormat="1" ht="29.25" thickBot="1">
      <c r="A58" s="697" t="s">
        <v>2330</v>
      </c>
      <c r="B58" s="2410" t="s">
        <v>921</v>
      </c>
      <c r="C58" s="698">
        <f ca="1">ROUND(C59+C64+C65+C66,0)</f>
        <v>0</v>
      </c>
      <c r="D58" s="2416" t="s">
        <v>922</v>
      </c>
      <c r="E58" s="2417"/>
      <c r="F58" s="2418"/>
      <c r="I58" s="2545" t="s">
        <v>2417</v>
      </c>
      <c r="J58" s="3316" t="e">
        <f ca="1">IF(J55&lt;0.4,0.4,J55)</f>
        <v>#DIV/0!</v>
      </c>
      <c r="K58" s="2568" t="s">
        <v>2439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ROUND(IF(项目基本情况!B11="自然人",C48*F59,C60+C61+C62),0)</f>
        <v>0</v>
      </c>
      <c r="D59" s="2419" t="s">
        <v>925</v>
      </c>
      <c r="E59" s="2420" t="s">
        <v>926</v>
      </c>
      <c r="F59" s="708">
        <f ca="1">IF(项目基本情况!B11="企业","",IF(INDIRECT("'数据-取费表'!c"&amp;$G$1)="住宅",5%,IF(F49*F50*F51/12/(1+'数据-取费表'!C42)&gt;20000,12%,7%)))</f>
        <v>7.0000000000000007E-2</v>
      </c>
      <c r="I59" s="2545" t="s">
        <v>2418</v>
      </c>
      <c r="J59" s="2549" t="e">
        <f ca="1">IF(OR(M47="住宅",J51&lt;L48,J56="是"),"——",ROUND(C29*J58,0))</f>
        <v>#DIV/0!</v>
      </c>
      <c r="K59" s="2568" t="s">
        <v>2427</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927</v>
      </c>
      <c r="C60" s="313">
        <f ca="1">IF(项目基本情况!B11="自然人","——",ROUND(C48*F60/(1+'数据-取费表'!C42),0))</f>
        <v>0</v>
      </c>
      <c r="D60" s="2420" t="s">
        <v>928</v>
      </c>
      <c r="E60" s="2402" t="s">
        <v>362</v>
      </c>
      <c r="F60" s="717">
        <f t="shared" ref="F60:F66" si="0">F32</f>
        <v>5.6000000000000001E-2</v>
      </c>
      <c r="I60" s="2546" t="s">
        <v>2419</v>
      </c>
      <c r="J60" s="2550" t="e">
        <f ca="1">IF(OR(M47="住宅",J51&lt;L48,J56="是"),"0",ROUND(J59/(1+J52)^J53,0))</f>
        <v>#DIV/0!</v>
      </c>
      <c r="K60" s="2552" t="s">
        <v>2422</v>
      </c>
      <c r="L60" s="2550" t="e">
        <f ca="1">IF(OR(M47="住宅",L48&lt;J51),0,ROUND(L57*(L58/L59-1),0))</f>
        <v>#DIV/0!</v>
      </c>
      <c r="O60" s="2589" t="s">
        <v>2444</v>
      </c>
      <c r="P60" s="2597" t="s">
        <v>2474</v>
      </c>
      <c r="Q60" s="2588">
        <f ca="1">L58</f>
        <v>0</v>
      </c>
      <c r="R60" s="2588" t="s">
        <v>2449</v>
      </c>
    </row>
    <row r="61" spans="1:18" s="1455" customFormat="1" ht="20.25" thickBot="1">
      <c r="A61" s="2438" t="s">
        <v>2363</v>
      </c>
      <c r="B61" s="2402" t="s">
        <v>930</v>
      </c>
      <c r="C61" s="313">
        <f ca="1">IF(项目基本情况!B11="自然人","——",IF(D61="按租金收入计税",ROUND(C48*F61,0),IF(D61="按房产原值计税",ROUND(C57*F61*0.7,0),INDIRECT("'数据-取费表'!Aj"&amp;$G$1))))</f>
        <v>0</v>
      </c>
      <c r="D61" s="1301" t="s">
        <v>2404</v>
      </c>
      <c r="E61" s="2402" t="s">
        <v>362</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932</v>
      </c>
      <c r="C62" s="314">
        <f ca="1">IF(项目基本情况!B11="自然人","——",ROUND(F62*F63,0))</f>
        <v>0</v>
      </c>
      <c r="D62" s="2421" t="s">
        <v>933</v>
      </c>
      <c r="E62" s="2402" t="s">
        <v>934</v>
      </c>
      <c r="F62" s="711">
        <f t="shared" si="0"/>
        <v>20</v>
      </c>
      <c r="I62" s="2547" t="s">
        <v>2409</v>
      </c>
      <c r="J62" s="2548" t="s">
        <v>2410</v>
      </c>
      <c r="K62" s="2548" t="s">
        <v>2411</v>
      </c>
      <c r="L62" s="2548" t="s">
        <v>2407</v>
      </c>
      <c r="M62" s="3317" t="s">
        <v>3026</v>
      </c>
      <c r="O62" s="2587" t="s">
        <v>2446</v>
      </c>
      <c r="P62" s="2597" t="s">
        <v>2464</v>
      </c>
      <c r="Q62" s="2588" t="e">
        <f ca="1">Q56+Q57</f>
        <v>#DIV/0!</v>
      </c>
      <c r="R62" s="2588" t="s">
        <v>2447</v>
      </c>
    </row>
    <row r="63" spans="1:18" s="1455" customFormat="1" ht="16.5" thickBot="1">
      <c r="A63" s="712"/>
      <c r="B63" s="2408"/>
      <c r="C63" s="318"/>
      <c r="D63" s="2422"/>
      <c r="E63" s="2402" t="s">
        <v>938</v>
      </c>
      <c r="F63" s="685">
        <f t="shared" ca="1" si="0"/>
        <v>0</v>
      </c>
      <c r="I63" s="2547" t="s">
        <v>2423</v>
      </c>
      <c r="J63" s="3320">
        <v>70</v>
      </c>
      <c r="K63" s="3320">
        <v>50</v>
      </c>
      <c r="L63" s="3320">
        <v>80</v>
      </c>
      <c r="M63" s="3318">
        <v>0.02</v>
      </c>
      <c r="O63" s="2591" t="s">
        <v>2478</v>
      </c>
      <c r="P63" s="1296"/>
      <c r="Q63" s="1296"/>
      <c r="R63" s="1296"/>
    </row>
    <row r="64" spans="1:18" s="1455" customFormat="1" ht="15.75" thickBot="1">
      <c r="A64" s="2438" t="s">
        <v>2372</v>
      </c>
      <c r="B64" s="2402" t="s">
        <v>940</v>
      </c>
      <c r="C64" s="313">
        <f ca="1">ROUND(C57*F64,0)</f>
        <v>0</v>
      </c>
      <c r="D64" s="2420" t="s">
        <v>970</v>
      </c>
      <c r="E64" s="2402" t="s">
        <v>362</v>
      </c>
      <c r="F64" s="714">
        <f t="shared" ca="1" si="0"/>
        <v>0</v>
      </c>
      <c r="I64" s="2547" t="s">
        <v>104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ROUND(C56*F65,0)</f>
        <v>0</v>
      </c>
      <c r="D65" s="2420" t="s">
        <v>366</v>
      </c>
      <c r="E65" s="2402" t="s">
        <v>362</v>
      </c>
      <c r="F65" s="716">
        <f t="shared" ca="1" si="0"/>
        <v>0</v>
      </c>
      <c r="I65" s="2547" t="s">
        <v>2425</v>
      </c>
      <c r="J65" s="3320">
        <v>40</v>
      </c>
      <c r="K65" s="3320">
        <v>30</v>
      </c>
      <c r="L65" s="3320">
        <v>50</v>
      </c>
      <c r="M65" s="3318">
        <v>0.02</v>
      </c>
      <c r="O65" s="2587" t="s">
        <v>2440</v>
      </c>
      <c r="P65" s="2597" t="s">
        <v>2458</v>
      </c>
      <c r="Q65" s="2588" t="e">
        <f ca="1">C40+J29</f>
        <v>#DIV/0!</v>
      </c>
      <c r="R65" s="2588" t="s">
        <v>2459</v>
      </c>
    </row>
    <row r="66" spans="1:18" s="1455" customFormat="1" ht="20.25" thickBot="1">
      <c r="A66" s="2438" t="s">
        <v>2367</v>
      </c>
      <c r="B66" s="2402" t="s">
        <v>364</v>
      </c>
      <c r="C66" s="313">
        <f ca="1">ROUND(C48*F66,0)</f>
        <v>0</v>
      </c>
      <c r="D66" s="2420" t="s">
        <v>368</v>
      </c>
      <c r="E66" s="2402" t="s">
        <v>362</v>
      </c>
      <c r="F66" s="694">
        <f t="shared" ca="1" si="0"/>
        <v>0</v>
      </c>
      <c r="O66" s="2587" t="s">
        <v>2441</v>
      </c>
      <c r="P66" s="2597" t="s">
        <v>2465</v>
      </c>
      <c r="Q66" s="2588" t="e">
        <f ca="1">L60</f>
        <v>#DIV/0!</v>
      </c>
      <c r="R66" s="2588" t="s">
        <v>2448</v>
      </c>
    </row>
    <row r="67" spans="1:18" s="1455" customFormat="1" ht="24.75" thickBot="1">
      <c r="A67" s="2409" t="s">
        <v>2345</v>
      </c>
      <c r="B67" s="2423" t="s">
        <v>374</v>
      </c>
      <c r="C67" s="698">
        <f ca="1">C48-C58</f>
        <v>0</v>
      </c>
      <c r="D67" s="2419" t="s">
        <v>375</v>
      </c>
      <c r="E67" s="2424"/>
      <c r="F67" s="2425"/>
      <c r="O67" s="2589" t="s">
        <v>2442</v>
      </c>
      <c r="P67" s="2597" t="s">
        <v>2472</v>
      </c>
      <c r="Q67" s="2592">
        <f ca="1">L51</f>
        <v>0</v>
      </c>
      <c r="R67" s="2593" t="s">
        <v>2482</v>
      </c>
    </row>
    <row r="68" spans="1:18" s="1455" customFormat="1" ht="20.25" thickBot="1">
      <c r="A68" s="2399" t="s">
        <v>2348</v>
      </c>
      <c r="B68" s="2400" t="s">
        <v>376</v>
      </c>
      <c r="C68" s="683" t="e">
        <f ca="1">ROUND(C67*(1-((1+F70)/(1+F68))^F69)/(F68-F70),0)</f>
        <v>#DIV/0!</v>
      </c>
      <c r="D68" s="2421" t="s">
        <v>370</v>
      </c>
      <c r="E68" s="2402" t="s">
        <v>371</v>
      </c>
      <c r="F68" s="694">
        <f ca="1">F40</f>
        <v>0</v>
      </c>
      <c r="O68" s="2589" t="s">
        <v>2443</v>
      </c>
      <c r="P68" s="2598" t="s">
        <v>2476</v>
      </c>
      <c r="Q68" s="2588">
        <f ca="1">ROUND(Q69-Q70*Q71,0)</f>
        <v>0</v>
      </c>
      <c r="R68" s="2588" t="s">
        <v>2481</v>
      </c>
    </row>
    <row r="69" spans="1:18" s="1455" customFormat="1" ht="15.75" thickBot="1">
      <c r="A69" s="2403"/>
      <c r="B69" s="2404"/>
      <c r="C69" s="688"/>
      <c r="D69" s="2426" t="s">
        <v>955</v>
      </c>
      <c r="E69" s="2402" t="s">
        <v>378</v>
      </c>
      <c r="F69" s="719">
        <f ca="1">F41</f>
        <v>0</v>
      </c>
      <c r="O69" s="2589" t="s">
        <v>2451</v>
      </c>
      <c r="P69" s="2598" t="s">
        <v>2466</v>
      </c>
      <c r="Q69" s="2588">
        <f ca="1">C39</f>
        <v>0</v>
      </c>
      <c r="R69" s="2588" t="s">
        <v>2459</v>
      </c>
    </row>
    <row r="70" spans="1:18" s="1455" customFormat="1" ht="15.75" thickBot="1">
      <c r="A70" s="2406"/>
      <c r="B70" s="2407"/>
      <c r="C70" s="692"/>
      <c r="D70" s="2422"/>
      <c r="E70" s="2402" t="s">
        <v>379</v>
      </c>
      <c r="F70" s="2532">
        <f ca="1">F42</f>
        <v>0</v>
      </c>
      <c r="O70" s="2589" t="s">
        <v>2452</v>
      </c>
      <c r="P70" s="2598" t="s">
        <v>2467</v>
      </c>
      <c r="Q70" s="2588">
        <f ca="1">C13</f>
        <v>0</v>
      </c>
      <c r="R70" s="2588" t="s">
        <v>2459</v>
      </c>
    </row>
    <row r="71" spans="1:18" s="1455" customFormat="1" ht="15.75" thickBot="1">
      <c r="A71" s="2427" t="s">
        <v>2355</v>
      </c>
      <c r="B71" s="2428" t="s">
        <v>380</v>
      </c>
      <c r="C71" s="722" t="e">
        <f ca="1">ROUND(C68/F71,0)</f>
        <v>#DIV/0!</v>
      </c>
      <c r="D71" s="2429" t="s">
        <v>381</v>
      </c>
      <c r="E71" s="2430" t="s">
        <v>382</v>
      </c>
      <c r="F71" s="725">
        <f ca="1">F43</f>
        <v>0</v>
      </c>
      <c r="I71" s="2397"/>
      <c r="K71" s="2397"/>
      <c r="O71" s="2589" t="s">
        <v>2453</v>
      </c>
      <c r="P71" s="2598" t="s">
        <v>2479</v>
      </c>
      <c r="Q71" s="2590">
        <f ca="1">C76</f>
        <v>0</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0</v>
      </c>
      <c r="D75" s="1455"/>
      <c r="E75" s="1455"/>
      <c r="F75" s="1455"/>
      <c r="K75" s="1456"/>
      <c r="L75" s="1455"/>
      <c r="O75" s="2587" t="s">
        <v>2446</v>
      </c>
      <c r="P75" s="2597" t="s">
        <v>2464</v>
      </c>
      <c r="Q75" s="2588" t="e">
        <f ca="1">Q65+Q66</f>
        <v>#DIV/0!</v>
      </c>
      <c r="R75" s="2588" t="s">
        <v>2447</v>
      </c>
    </row>
    <row r="76" spans="1:18">
      <c r="B76" s="731" t="s">
        <v>969</v>
      </c>
      <c r="C76" s="732">
        <f ca="1">INDIRECT("'数据-取费表'!j"&amp;$G$1)</f>
        <v>0</v>
      </c>
      <c r="I76" s="1455"/>
      <c r="J76" s="1455"/>
      <c r="K76" s="1456"/>
      <c r="L76" s="1455"/>
    </row>
    <row r="77" spans="1:18">
      <c r="B77" s="733" t="s">
        <v>972</v>
      </c>
      <c r="C77" s="734"/>
      <c r="I77" s="1455"/>
      <c r="J77" s="1455"/>
      <c r="K77" s="1456"/>
      <c r="L77" s="1455"/>
    </row>
    <row r="78" spans="1:18">
      <c r="B78" s="646" t="s">
        <v>958</v>
      </c>
      <c r="C78" s="735"/>
    </row>
    <row r="79" spans="1:18">
      <c r="B79" s="2873" t="s">
        <v>2691</v>
      </c>
      <c r="C79" s="650" t="e">
        <f ca="1">1-C80</f>
        <v>#DIV/0!</v>
      </c>
    </row>
    <row r="80" spans="1:18">
      <c r="B80" s="2873" t="s">
        <v>2692</v>
      </c>
      <c r="C80" s="650" t="e">
        <f ca="1">ROUND(C75/C39,3)</f>
        <v>#DIV/0!</v>
      </c>
    </row>
    <row r="81" spans="2:3">
      <c r="B81" s="646" t="s">
        <v>384</v>
      </c>
      <c r="C81" s="647"/>
    </row>
    <row r="82" spans="2:3">
      <c r="B82" s="2872" t="s">
        <v>2689</v>
      </c>
      <c r="C82" s="651" t="e">
        <f ca="1">1-C83</f>
        <v>#DIV/0!</v>
      </c>
    </row>
    <row r="83" spans="2:3">
      <c r="B83" s="2872" t="s">
        <v>2688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2662</v>
      </c>
      <c r="B1" s="2784"/>
      <c r="C1" s="2784"/>
      <c r="D1" s="2784"/>
      <c r="E1" s="2785"/>
    </row>
    <row r="2" spans="1:6" ht="14.25">
      <c r="A2" s="2786" t="s">
        <v>2663</v>
      </c>
      <c r="B2" s="2780">
        <f ca="1">SUMIF(B6:B13,"&lt;&gt;#ref!",B6:B13)</f>
        <v>45525</v>
      </c>
      <c r="C2" s="2781" t="s">
        <v>2660</v>
      </c>
      <c r="D2" s="2782" t="s">
        <v>2665</v>
      </c>
      <c r="E2" s="2790">
        <f>SUM(E6:E13)</f>
        <v>37870.639999999999</v>
      </c>
    </row>
    <row r="3" spans="1:6" ht="14.25">
      <c r="A3" s="2786" t="s">
        <v>2664</v>
      </c>
      <c r="B3" s="2780">
        <f ca="1">ROUND(B2*10000/E2,0)</f>
        <v>12021</v>
      </c>
      <c r="C3" s="2781" t="s">
        <v>2661</v>
      </c>
      <c r="D3" s="2787"/>
      <c r="E3" s="2791"/>
    </row>
    <row r="4" spans="1:6" ht="14.25">
      <c r="A4" s="2792"/>
      <c r="B4" s="2787"/>
      <c r="C4" s="2787"/>
      <c r="D4" s="2787"/>
      <c r="E4" s="2791"/>
    </row>
    <row r="5" spans="1:6">
      <c r="A5" s="2796" t="s">
        <v>2667</v>
      </c>
      <c r="B5" s="3585" t="s">
        <v>2669</v>
      </c>
      <c r="C5" s="3585"/>
      <c r="D5" s="2795"/>
      <c r="E5" s="3334" t="s">
        <v>2668</v>
      </c>
      <c r="F5" s="3335" t="s">
        <v>3042</v>
      </c>
    </row>
    <row r="6" spans="1:6">
      <c r="A6" s="2793" t="str">
        <f>'数据-取费表'!AN6</f>
        <v>收益法</v>
      </c>
      <c r="B6" s="2789">
        <f ca="1">IF(F6="是",'数据-取费表'!AO6,0)</f>
        <v>45525</v>
      </c>
      <c r="C6" s="2781" t="s">
        <v>2660</v>
      </c>
      <c r="D6" s="2787"/>
      <c r="E6" s="1543">
        <f>IF(OR(A6=0,F6="否"),0,'数据-取费表'!K6+'数据-取费表'!S6)</f>
        <v>37870.639999999999</v>
      </c>
      <c r="F6" s="3336" t="s">
        <v>3043</v>
      </c>
    </row>
    <row r="7" spans="1:6">
      <c r="A7" s="2793">
        <f>'数据-取费表'!AN7</f>
        <v>0</v>
      </c>
      <c r="B7" s="2789" t="e">
        <f ca="1">IF(F7="是",'数据-取费表'!AO7,0)</f>
        <v>#REF!</v>
      </c>
      <c r="C7" s="2781" t="s">
        <v>2660</v>
      </c>
      <c r="D7" s="2787"/>
      <c r="E7" s="1543">
        <f>IF(OR(A7=0,F7="否"),0,'数据-取费表'!K7+'数据-取费表'!S7)</f>
        <v>0</v>
      </c>
      <c r="F7" s="3336" t="s">
        <v>3043</v>
      </c>
    </row>
    <row r="8" spans="1:6">
      <c r="A8" s="2793">
        <f>'数据-取费表'!AN8</f>
        <v>0</v>
      </c>
      <c r="B8" s="2789" t="e">
        <f ca="1">IF(F8="是",'数据-取费表'!AO8,0)</f>
        <v>#REF!</v>
      </c>
      <c r="C8" s="2781" t="s">
        <v>2660</v>
      </c>
      <c r="D8" s="2787"/>
      <c r="E8" s="1543">
        <f>IF(OR(A8=0,F8="否"),0,'数据-取费表'!K8+'数据-取费表'!S8)</f>
        <v>0</v>
      </c>
      <c r="F8" s="3336" t="s">
        <v>3043</v>
      </c>
    </row>
    <row r="9" spans="1:6">
      <c r="A9" s="2793">
        <f>'数据-取费表'!AN9</f>
        <v>0</v>
      </c>
      <c r="B9" s="2789" t="e">
        <f ca="1">IF(F9="是",'数据-取费表'!AO9,0)</f>
        <v>#REF!</v>
      </c>
      <c r="C9" s="2781" t="s">
        <v>2660</v>
      </c>
      <c r="D9" s="2787"/>
      <c r="E9" s="1543">
        <f>IF(OR(A9=0,F9="否"),0,'数据-取费表'!K9+'数据-取费表'!S9)</f>
        <v>0</v>
      </c>
      <c r="F9" s="3336" t="s">
        <v>3043</v>
      </c>
    </row>
    <row r="10" spans="1:6">
      <c r="A10" s="2793">
        <f>'数据-取费表'!AN10</f>
        <v>0</v>
      </c>
      <c r="B10" s="2789" t="e">
        <f ca="1">IF(F10="是",'数据-取费表'!AO10,0)</f>
        <v>#REF!</v>
      </c>
      <c r="C10" s="2781" t="s">
        <v>2660</v>
      </c>
      <c r="D10" s="2787"/>
      <c r="E10" s="1543">
        <f>IF(OR(A10=0,F10="否"),0,'数据-取费表'!K10+'数据-取费表'!S10)</f>
        <v>0</v>
      </c>
      <c r="F10" s="3336" t="s">
        <v>3043</v>
      </c>
    </row>
    <row r="11" spans="1:6">
      <c r="A11" s="2793">
        <f>'数据-取费表'!AN11</f>
        <v>0</v>
      </c>
      <c r="B11" s="2789" t="e">
        <f ca="1">IF(F11="是",'数据-取费表'!AO11,0)</f>
        <v>#REF!</v>
      </c>
      <c r="C11" s="2781" t="s">
        <v>2660</v>
      </c>
      <c r="D11" s="2787"/>
      <c r="E11" s="1543">
        <f>IF(OR(A11=0,F11="否"),0,'数据-取费表'!K11+'数据-取费表'!S11)</f>
        <v>0</v>
      </c>
      <c r="F11" s="3336" t="s">
        <v>3043</v>
      </c>
    </row>
    <row r="12" spans="1:6">
      <c r="A12" s="2793">
        <f>'数据-取费表'!AN12</f>
        <v>0</v>
      </c>
      <c r="B12" s="2789" t="e">
        <f ca="1">IF(F12="是",'数据-取费表'!AO12,0)</f>
        <v>#REF!</v>
      </c>
      <c r="C12" s="2781" t="s">
        <v>2660</v>
      </c>
      <c r="D12" s="2787"/>
      <c r="E12" s="1543">
        <f>IF(OR(A12=0,F12="否"),0,'数据-取费表'!K12+'数据-取费表'!S12)</f>
        <v>0</v>
      </c>
      <c r="F12" s="3336" t="s">
        <v>3043</v>
      </c>
    </row>
    <row r="13" spans="1:6" ht="14.25" thickBot="1">
      <c r="A13" s="2794">
        <f>'数据-取费表'!AN13</f>
        <v>0</v>
      </c>
      <c r="B13" s="2789" t="e">
        <f ca="1">IF(F13="是",'数据-取费表'!AO13,0)</f>
        <v>#REF!</v>
      </c>
      <c r="C13" s="2797" t="s">
        <v>2660</v>
      </c>
      <c r="D13" s="2788"/>
      <c r="E13" s="1543">
        <f>IF(OR(A13=0,F13="否"),0,'数据-取费表'!K13+'数据-取费表'!S13)</f>
        <v>0</v>
      </c>
      <c r="F13" s="3336"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6" t="s">
        <v>2537</v>
      </c>
      <c r="B1" s="3587"/>
      <c r="C1" s="3588"/>
      <c r="D1" s="3589">
        <f>SUM(I10,I15,I20,I21,I23)</f>
        <v>0</v>
      </c>
      <c r="E1" s="3589"/>
      <c r="F1" s="3589"/>
      <c r="G1" s="3589"/>
      <c r="H1" s="3589"/>
      <c r="I1" s="3590"/>
    </row>
    <row r="2" spans="1:9">
      <c r="A2" s="3591" t="s">
        <v>2538</v>
      </c>
      <c r="B2" s="3592" t="s">
        <v>2539</v>
      </c>
      <c r="C2" s="3592"/>
      <c r="D2" s="2638" t="s">
        <v>2540</v>
      </c>
      <c r="E2" s="2638" t="s">
        <v>2541</v>
      </c>
      <c r="F2" s="2638" t="s">
        <v>2542</v>
      </c>
      <c r="G2" s="2638" t="s">
        <v>2543</v>
      </c>
      <c r="H2" s="2638" t="s">
        <v>2544</v>
      </c>
      <c r="I2" s="2639" t="s">
        <v>2545</v>
      </c>
    </row>
    <row r="3" spans="1:9">
      <c r="A3" s="3591"/>
      <c r="B3" s="3592" t="s">
        <v>2546</v>
      </c>
      <c r="C3" s="3592"/>
      <c r="D3" s="2640"/>
      <c r="E3" s="2638"/>
      <c r="F3" s="2641"/>
      <c r="G3" s="2641"/>
      <c r="H3" s="2642"/>
      <c r="I3" s="2643">
        <f>ROUND(D3*E3*F3*G3*H3/10000,0)</f>
        <v>0</v>
      </c>
    </row>
    <row r="4" spans="1:9">
      <c r="A4" s="3591"/>
      <c r="B4" s="3592" t="s">
        <v>2547</v>
      </c>
      <c r="C4" s="3592"/>
      <c r="D4" s="2640"/>
      <c r="E4" s="2638"/>
      <c r="F4" s="2641"/>
      <c r="G4" s="2641"/>
      <c r="H4" s="2642"/>
      <c r="I4" s="2643">
        <f t="shared" ref="I4:I9" si="0">ROUND(D4*E4*F4*G4*H4/10000,0)</f>
        <v>0</v>
      </c>
    </row>
    <row r="5" spans="1:9">
      <c r="A5" s="3591"/>
      <c r="B5" s="3592" t="s">
        <v>2548</v>
      </c>
      <c r="C5" s="3592"/>
      <c r="D5" s="2640"/>
      <c r="E5" s="2638"/>
      <c r="F5" s="2641"/>
      <c r="G5" s="2641"/>
      <c r="H5" s="2642"/>
      <c r="I5" s="2643">
        <f t="shared" si="0"/>
        <v>0</v>
      </c>
    </row>
    <row r="6" spans="1:9">
      <c r="A6" s="3591"/>
      <c r="B6" s="3592" t="s">
        <v>2549</v>
      </c>
      <c r="C6" s="3592"/>
      <c r="D6" s="2640"/>
      <c r="E6" s="2638"/>
      <c r="F6" s="2641"/>
      <c r="G6" s="2641"/>
      <c r="H6" s="2642"/>
      <c r="I6" s="2643">
        <f t="shared" si="0"/>
        <v>0</v>
      </c>
    </row>
    <row r="7" spans="1:9">
      <c r="A7" s="3591"/>
      <c r="B7" s="3592" t="s">
        <v>2550</v>
      </c>
      <c r="C7" s="3592"/>
      <c r="D7" s="2640"/>
      <c r="E7" s="2638"/>
      <c r="F7" s="2641"/>
      <c r="G7" s="2641"/>
      <c r="H7" s="2642"/>
      <c r="I7" s="2643">
        <f t="shared" si="0"/>
        <v>0</v>
      </c>
    </row>
    <row r="8" spans="1:9">
      <c r="A8" s="3591"/>
      <c r="B8" s="3592" t="s">
        <v>2551</v>
      </c>
      <c r="C8" s="3592"/>
      <c r="D8" s="2640"/>
      <c r="E8" s="2638"/>
      <c r="F8" s="2641"/>
      <c r="G8" s="2641"/>
      <c r="H8" s="2642"/>
      <c r="I8" s="2643">
        <f t="shared" si="0"/>
        <v>0</v>
      </c>
    </row>
    <row r="9" spans="1:9">
      <c r="A9" s="3591"/>
      <c r="B9" s="3592" t="s">
        <v>2552</v>
      </c>
      <c r="C9" s="3592"/>
      <c r="D9" s="2640"/>
      <c r="E9" s="2638"/>
      <c r="F9" s="2641"/>
      <c r="G9" s="2641"/>
      <c r="H9" s="2642"/>
      <c r="I9" s="2643">
        <f t="shared" si="0"/>
        <v>0</v>
      </c>
    </row>
    <row r="10" spans="1:9">
      <c r="A10" s="3591"/>
      <c r="B10" s="3593" t="s">
        <v>2553</v>
      </c>
      <c r="C10" s="3593"/>
      <c r="D10" s="2644"/>
      <c r="E10" s="2644" t="e">
        <f>ROUND(D1*10000/D10/H9,0)</f>
        <v>#DIV/0!</v>
      </c>
      <c r="F10" s="2645"/>
      <c r="G10" s="2645"/>
      <c r="H10" s="2646"/>
      <c r="I10" s="2647">
        <f>SUM(I3:I9)</f>
        <v>0</v>
      </c>
    </row>
    <row r="11" spans="1:9" ht="14.25">
      <c r="A11" s="3591" t="s">
        <v>2554</v>
      </c>
      <c r="B11" s="3592" t="s">
        <v>2555</v>
      </c>
      <c r="C11" s="3592"/>
      <c r="D11" s="2640" t="s">
        <v>2556</v>
      </c>
      <c r="E11" s="2640" t="s">
        <v>2557</v>
      </c>
      <c r="F11" s="2641" t="s">
        <v>2558</v>
      </c>
      <c r="G11" s="2641" t="s">
        <v>2544</v>
      </c>
      <c r="H11" s="2648" t="s">
        <v>2559</v>
      </c>
      <c r="I11" s="2639" t="s">
        <v>2545</v>
      </c>
    </row>
    <row r="12" spans="1:9">
      <c r="A12" s="3591"/>
      <c r="B12" s="3592" t="s">
        <v>2560</v>
      </c>
      <c r="C12" s="3592"/>
      <c r="D12" s="2640"/>
      <c r="E12" s="2640"/>
      <c r="F12" s="2641"/>
      <c r="G12" s="2642"/>
      <c r="H12" s="2649"/>
      <c r="I12" s="2639">
        <f>ROUND(D12*E12*F12*G12/10000,0)</f>
        <v>0</v>
      </c>
    </row>
    <row r="13" spans="1:9">
      <c r="A13" s="3591"/>
      <c r="B13" s="3592" t="s">
        <v>2561</v>
      </c>
      <c r="C13" s="3592"/>
      <c r="D13" s="2640"/>
      <c r="E13" s="2640"/>
      <c r="F13" s="2641"/>
      <c r="G13" s="2642"/>
      <c r="H13" s="2649"/>
      <c r="I13" s="2639">
        <f>ROUND(D13*E13*F13*G13/10000,0)</f>
        <v>0</v>
      </c>
    </row>
    <row r="14" spans="1:9">
      <c r="A14" s="3591"/>
      <c r="B14" s="3592" t="s">
        <v>2562</v>
      </c>
      <c r="C14" s="3592"/>
      <c r="D14" s="2640"/>
      <c r="E14" s="2640"/>
      <c r="F14" s="2641"/>
      <c r="G14" s="2642"/>
      <c r="H14" s="2649"/>
      <c r="I14" s="2639">
        <f>ROUND(D14*E14*F14*G14/10000,0)</f>
        <v>0</v>
      </c>
    </row>
    <row r="15" spans="1:9">
      <c r="A15" s="3591"/>
      <c r="B15" s="3593" t="s">
        <v>2553</v>
      </c>
      <c r="C15" s="3593"/>
      <c r="D15" s="2644"/>
      <c r="E15" s="2644">
        <f>SUM(E12:E14)</f>
        <v>0</v>
      </c>
      <c r="F15" s="2645"/>
      <c r="G15" s="2642"/>
      <c r="H15" s="2649"/>
      <c r="I15" s="2650">
        <f>SUM(I12:I14)</f>
        <v>0</v>
      </c>
    </row>
    <row r="16" spans="1:9" ht="24">
      <c r="A16" s="3591" t="s">
        <v>2563</v>
      </c>
      <c r="B16" s="3592" t="s">
        <v>2564</v>
      </c>
      <c r="C16" s="3592"/>
      <c r="D16" s="2640" t="s">
        <v>2540</v>
      </c>
      <c r="E16" s="2651" t="s">
        <v>2565</v>
      </c>
      <c r="F16" s="2641" t="s">
        <v>2566</v>
      </c>
      <c r="G16" s="2642" t="s">
        <v>2544</v>
      </c>
      <c r="H16" s="2648" t="s">
        <v>2559</v>
      </c>
      <c r="I16" s="2639" t="s">
        <v>2545</v>
      </c>
    </row>
    <row r="17" spans="1:9" ht="14.25">
      <c r="A17" s="3591"/>
      <c r="B17" s="3592" t="s">
        <v>2567</v>
      </c>
      <c r="C17" s="3592"/>
      <c r="D17" s="2640"/>
      <c r="E17" s="2640"/>
      <c r="F17" s="2641"/>
      <c r="G17" s="2642"/>
      <c r="H17" s="2652"/>
      <c r="I17" s="2653">
        <f>ROUND(D17*E17*F17*G17/10000,0)</f>
        <v>0</v>
      </c>
    </row>
    <row r="18" spans="1:9" ht="14.25">
      <c r="A18" s="3591"/>
      <c r="B18" s="3592" t="s">
        <v>2568</v>
      </c>
      <c r="C18" s="3592"/>
      <c r="D18" s="2640"/>
      <c r="E18" s="2640"/>
      <c r="F18" s="2641"/>
      <c r="G18" s="2642"/>
      <c r="H18" s="2652"/>
      <c r="I18" s="2653">
        <f>ROUND(D18*E18*F18*G18/10000,0)</f>
        <v>0</v>
      </c>
    </row>
    <row r="19" spans="1:9" ht="14.25">
      <c r="A19" s="3591"/>
      <c r="B19" s="3592" t="s">
        <v>2569</v>
      </c>
      <c r="C19" s="3592"/>
      <c r="D19" s="2640"/>
      <c r="E19" s="2640"/>
      <c r="F19" s="2641"/>
      <c r="G19" s="2642"/>
      <c r="H19" s="2652"/>
      <c r="I19" s="2653">
        <f>ROUND(D19*E19*F19*G19/10000,0)</f>
        <v>0</v>
      </c>
    </row>
    <row r="20" spans="1:9">
      <c r="A20" s="3591"/>
      <c r="B20" s="3593" t="s">
        <v>2553</v>
      </c>
      <c r="C20" s="3593"/>
      <c r="D20" s="2644">
        <f>SUM(D17:D19)</f>
        <v>0</v>
      </c>
      <c r="E20" s="2644"/>
      <c r="F20" s="2645"/>
      <c r="G20" s="2642"/>
      <c r="H20" s="2649"/>
      <c r="I20" s="2650">
        <f>SUM(I17:I19)</f>
        <v>0</v>
      </c>
    </row>
    <row r="21" spans="1:9">
      <c r="A21" s="3591" t="s">
        <v>2570</v>
      </c>
      <c r="B21" s="3595"/>
      <c r="C21" s="3595"/>
      <c r="D21" s="3595"/>
      <c r="E21" s="3595"/>
      <c r="F21" s="3595"/>
      <c r="G21" s="3595"/>
      <c r="H21" s="3295">
        <v>0.1</v>
      </c>
      <c r="I21" s="2647">
        <f>ROUND(I10*H21,0)</f>
        <v>0</v>
      </c>
    </row>
    <row r="22" spans="1:9" ht="14.25">
      <c r="A22" s="3596" t="s">
        <v>2571</v>
      </c>
      <c r="B22" s="3597"/>
      <c r="C22" s="3598"/>
      <c r="D22" s="2654" t="s">
        <v>2572</v>
      </c>
      <c r="E22" s="2654" t="s">
        <v>2573</v>
      </c>
      <c r="F22" s="2655" t="s">
        <v>2574</v>
      </c>
      <c r="G22" s="2655" t="s">
        <v>2575</v>
      </c>
      <c r="H22" s="2648" t="s">
        <v>2576</v>
      </c>
      <c r="I22" s="2639" t="s">
        <v>2577</v>
      </c>
    </row>
    <row r="23" spans="1:9" ht="14.25" thickBot="1">
      <c r="A23" s="3599"/>
      <c r="B23" s="3600"/>
      <c r="C23" s="3601"/>
      <c r="D23" s="2656"/>
      <c r="E23" s="2656"/>
      <c r="F23" s="2656"/>
      <c r="G23" s="2657"/>
      <c r="H23" s="2658"/>
      <c r="I23" s="2659">
        <f>ROUND(E23*D23*F23*(1-G23)/10000,0)</f>
        <v>0</v>
      </c>
    </row>
    <row r="26" spans="1:9">
      <c r="A26" s="2660" t="s">
        <v>2578</v>
      </c>
      <c r="B26" s="2660"/>
      <c r="C26" s="2660"/>
      <c r="D26" s="2660"/>
      <c r="E26" s="3602">
        <f>C27-C30-C31-C32</f>
        <v>0</v>
      </c>
      <c r="F26" s="3602"/>
      <c r="G26" s="3602"/>
      <c r="H26" s="3249" t="s">
        <v>2947</v>
      </c>
    </row>
    <row r="27" spans="1:9">
      <c r="A27" s="2661">
        <v>1</v>
      </c>
      <c r="B27" s="2662" t="s">
        <v>2579</v>
      </c>
      <c r="C27" s="2662">
        <f>C28+C29</f>
        <v>0</v>
      </c>
      <c r="D27" s="2662"/>
      <c r="E27" s="3603"/>
      <c r="F27" s="3603"/>
      <c r="G27" s="3603"/>
    </row>
    <row r="28" spans="1:9">
      <c r="A28" s="2663" t="s">
        <v>2580</v>
      </c>
      <c r="B28" s="2662" t="s">
        <v>2581</v>
      </c>
      <c r="C28" s="2662"/>
      <c r="D28" s="2662"/>
      <c r="E28" s="3603"/>
      <c r="F28" s="3603"/>
      <c r="G28" s="3603"/>
    </row>
    <row r="29" spans="1:9">
      <c r="A29" s="2663" t="s">
        <v>2582</v>
      </c>
      <c r="B29" s="2662" t="s">
        <v>2583</v>
      </c>
      <c r="C29" s="2662"/>
      <c r="D29" s="2662"/>
      <c r="E29" s="2662" t="s">
        <v>2584</v>
      </c>
      <c r="F29" s="2662"/>
      <c r="G29" s="2662"/>
    </row>
    <row r="30" spans="1:9">
      <c r="A30" s="2661">
        <v>2</v>
      </c>
      <c r="B30" s="2662" t="s">
        <v>2585</v>
      </c>
      <c r="C30" s="2662">
        <f>C27*D30</f>
        <v>0</v>
      </c>
      <c r="D30" s="2664">
        <v>0.2</v>
      </c>
      <c r="E30" s="2662" t="s">
        <v>2586</v>
      </c>
      <c r="F30" s="2662"/>
      <c r="G30" s="2662"/>
    </row>
    <row r="31" spans="1:9">
      <c r="A31" s="2661">
        <v>3</v>
      </c>
      <c r="B31" s="2662" t="s">
        <v>2587</v>
      </c>
      <c r="C31" s="2662">
        <f>C25*D31</f>
        <v>0</v>
      </c>
      <c r="D31" s="2664">
        <v>0.15</v>
      </c>
      <c r="E31" s="2662" t="s">
        <v>2588</v>
      </c>
      <c r="F31" s="2662"/>
      <c r="G31" s="2662"/>
    </row>
    <row r="32" spans="1:9">
      <c r="A32" s="2661">
        <v>4</v>
      </c>
      <c r="B32" s="2662" t="s">
        <v>2589</v>
      </c>
      <c r="C32" s="2662">
        <f>C27*D32</f>
        <v>0</v>
      </c>
      <c r="D32" s="2664">
        <v>0.05</v>
      </c>
      <c r="E32" s="3594"/>
      <c r="F32" s="3594"/>
      <c r="G32" s="3594"/>
    </row>
    <row r="33" spans="1:7" hidden="1">
      <c r="A33" s="3604" t="s">
        <v>2590</v>
      </c>
      <c r="B33" s="3605"/>
      <c r="C33" s="3605"/>
      <c r="D33" s="3606"/>
      <c r="E33" s="3602"/>
      <c r="F33" s="3602"/>
      <c r="G33" s="3602"/>
    </row>
    <row r="34" spans="1:7" hidden="1">
      <c r="A34" s="2665">
        <v>1</v>
      </c>
      <c r="B34" s="2662" t="s">
        <v>2591</v>
      </c>
      <c r="C34" s="2662"/>
      <c r="D34" s="2662"/>
      <c r="E34" s="3603"/>
      <c r="F34" s="3603"/>
      <c r="G34" s="3603"/>
    </row>
    <row r="35" spans="1:7" hidden="1">
      <c r="A35" s="2665">
        <v>2</v>
      </c>
      <c r="B35" s="2662" t="s">
        <v>2592</v>
      </c>
      <c r="C35" s="2662"/>
      <c r="D35" s="2662"/>
      <c r="E35" s="3603"/>
      <c r="F35" s="3603"/>
      <c r="G35" s="3603"/>
    </row>
    <row r="36" spans="1:7" hidden="1">
      <c r="A36" s="2665">
        <v>3</v>
      </c>
      <c r="B36" s="2662" t="s">
        <v>2593</v>
      </c>
      <c r="C36" s="2662"/>
      <c r="D36" s="2662"/>
      <c r="E36" s="3603"/>
      <c r="F36" s="3603"/>
      <c r="G36" s="3603"/>
    </row>
    <row r="37" spans="1:7" hidden="1">
      <c r="A37" s="2665">
        <v>4</v>
      </c>
      <c r="B37" s="2662" t="s">
        <v>2594</v>
      </c>
      <c r="C37" s="2662"/>
      <c r="D37" s="2662"/>
      <c r="E37" s="3603"/>
      <c r="F37" s="3603"/>
      <c r="G37" s="3603"/>
    </row>
    <row r="38" spans="1:7" hidden="1">
      <c r="A38" s="3604" t="s">
        <v>2595</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973</v>
      </c>
      <c r="B1" s="3101" t="s">
        <v>974</v>
      </c>
      <c r="C1" s="3102" t="s">
        <v>975</v>
      </c>
      <c r="D1" s="3103"/>
      <c r="E1" s="3104"/>
      <c r="F1" s="3105" t="s">
        <v>2685</v>
      </c>
      <c r="G1" s="3107" t="s">
        <v>976</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977</v>
      </c>
      <c r="B2" s="2844" t="e">
        <f ca="1">IF(C2="——",ROUND(C49*D3/10000,0),ROUND(C49*D3/10000,0)-D2)</f>
        <v>#DIV/0!</v>
      </c>
      <c r="C2" s="3097"/>
      <c r="D2" s="2724" t="e">
        <f ca="1">SUMIF(INDIRECT("'"&amp;F2&amp;"'"&amp;"!A:A"),"承租人权益价值",INDIRECT("'"&amp;F2&amp;"'"&amp;"!c:c"))</f>
        <v>#REF!</v>
      </c>
      <c r="E2" s="3098" t="s">
        <v>862</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978</v>
      </c>
      <c r="B3" s="742" t="e">
        <f ca="1">IF(C2="——",C49,ROUND(B2*10000/D3,0))</f>
        <v>#DIV/0!</v>
      </c>
      <c r="C3" s="142" t="s">
        <v>979</v>
      </c>
      <c r="D3" s="742">
        <f>IF(D1="",'数据-汇总表'!E3,SUMIF('数据-汇总表'!$C19:$C33,D1,'数据-汇总表'!$E19:$E33))</f>
        <v>37870.639999999999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980</v>
      </c>
      <c r="B4" s="144"/>
      <c r="C4" s="3625" t="s">
        <v>981</v>
      </c>
      <c r="D4" s="3626"/>
      <c r="E4" s="3627" t="s">
        <v>982</v>
      </c>
      <c r="F4" s="3628"/>
      <c r="G4" s="3625" t="s">
        <v>983</v>
      </c>
      <c r="H4" s="3626"/>
      <c r="I4" s="3625" t="s">
        <v>984</v>
      </c>
      <c r="J4" s="3626"/>
      <c r="K4" s="145" t="s">
        <v>985</v>
      </c>
      <c r="L4" s="2295"/>
      <c r="M4" s="2296"/>
      <c r="N4" s="2296"/>
      <c r="O4" s="2296"/>
      <c r="P4" s="3629" t="s">
        <v>980</v>
      </c>
      <c r="Q4" s="3630"/>
      <c r="R4" s="3612" t="s">
        <v>982</v>
      </c>
      <c r="S4" s="3613"/>
      <c r="T4" s="3612" t="s">
        <v>983</v>
      </c>
      <c r="U4" s="3613"/>
      <c r="V4" s="3637" t="s">
        <v>984</v>
      </c>
      <c r="W4" s="3637"/>
      <c r="X4" s="1340"/>
      <c r="Y4" s="3612" t="s">
        <v>980</v>
      </c>
      <c r="Z4" s="3613"/>
      <c r="AA4" s="3607" t="s">
        <v>982</v>
      </c>
      <c r="AB4" s="3607" t="s">
        <v>983</v>
      </c>
      <c r="AC4" s="3607" t="s">
        <v>984</v>
      </c>
    </row>
    <row r="5" spans="1:29">
      <c r="A5" s="146"/>
      <c r="B5" s="147"/>
      <c r="C5" s="3618" t="s">
        <v>986</v>
      </c>
      <c r="D5" s="3619"/>
      <c r="E5" s="3616" t="s">
        <v>987</v>
      </c>
      <c r="F5" s="3617"/>
      <c r="G5" s="3618" t="s">
        <v>988</v>
      </c>
      <c r="H5" s="3619"/>
      <c r="I5" s="3618" t="s">
        <v>989</v>
      </c>
      <c r="J5" s="3619"/>
      <c r="K5" s="152"/>
      <c r="L5" s="2295"/>
      <c r="M5" s="2296"/>
      <c r="N5" s="2296"/>
      <c r="O5" s="2296"/>
      <c r="P5" s="3631"/>
      <c r="Q5" s="3632"/>
      <c r="R5" s="3614"/>
      <c r="S5" s="3615"/>
      <c r="T5" s="3614"/>
      <c r="U5" s="3615"/>
      <c r="V5" s="3637"/>
      <c r="W5" s="3637"/>
      <c r="X5" s="1340"/>
      <c r="Y5" s="3614"/>
      <c r="Z5" s="3615"/>
      <c r="AA5" s="3608"/>
      <c r="AB5" s="3608"/>
      <c r="AC5" s="3608"/>
    </row>
    <row r="6" spans="1:29" ht="14.25" thickBot="1">
      <c r="A6" s="148"/>
      <c r="B6" s="149"/>
      <c r="C6" s="3620" t="s">
        <v>990</v>
      </c>
      <c r="D6" s="3621"/>
      <c r="E6" s="3622" t="s">
        <v>990</v>
      </c>
      <c r="F6" s="3623"/>
      <c r="G6" s="3620" t="s">
        <v>990</v>
      </c>
      <c r="H6" s="3621"/>
      <c r="I6" s="3620" t="s">
        <v>990</v>
      </c>
      <c r="J6" s="3621"/>
      <c r="K6" s="152" t="s">
        <v>991</v>
      </c>
      <c r="L6" s="2295"/>
      <c r="M6" s="2296"/>
      <c r="N6" s="2296"/>
      <c r="O6" s="2296"/>
      <c r="P6" s="3633"/>
      <c r="Q6" s="3634"/>
      <c r="R6" s="3614"/>
      <c r="S6" s="3615"/>
      <c r="T6" s="3635"/>
      <c r="U6" s="3636"/>
      <c r="V6" s="3637"/>
      <c r="W6" s="3637"/>
      <c r="X6" s="1340"/>
      <c r="Y6" s="3635"/>
      <c r="Z6" s="3636"/>
      <c r="AA6" s="3609"/>
      <c r="AB6" s="3609"/>
      <c r="AC6" s="3609"/>
    </row>
    <row r="7" spans="1:29" s="40" customFormat="1" ht="15" thickBot="1">
      <c r="A7" s="1014" t="s">
        <v>992</v>
      </c>
      <c r="B7" s="1015"/>
      <c r="C7" s="1016">
        <f>'数据-取费表'!B2</f>
        <v>43026</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10" t="s">
        <v>992</v>
      </c>
      <c r="Q7" s="3638"/>
      <c r="R7" s="1342" t="s">
        <v>112</v>
      </c>
      <c r="S7" s="1343">
        <f t="shared" ref="S7:S15" si="0">F7</f>
        <v>0</v>
      </c>
      <c r="T7" s="1342" t="s">
        <v>112</v>
      </c>
      <c r="U7" s="1343">
        <f t="shared" ref="U7:U15" si="1">H7</f>
        <v>0</v>
      </c>
      <c r="V7" s="1342" t="s">
        <v>112</v>
      </c>
      <c r="W7" s="1343">
        <f t="shared" ref="W7:W15" si="2">J7</f>
        <v>0</v>
      </c>
      <c r="X7" s="287"/>
      <c r="Y7" s="3610" t="s">
        <v>992</v>
      </c>
      <c r="Z7" s="3611"/>
      <c r="AA7" s="1344" t="e">
        <f>D7/F7</f>
        <v>#DIV/0!</v>
      </c>
      <c r="AB7" s="1344" t="e">
        <f>D7/H7</f>
        <v>#DIV/0!</v>
      </c>
      <c r="AC7" s="1344" t="e">
        <f>D7/J7</f>
        <v>#DIV/0!</v>
      </c>
    </row>
    <row r="8" spans="1:29" s="40" customFormat="1" ht="15" thickBot="1">
      <c r="A8" s="1014" t="s">
        <v>993</v>
      </c>
      <c r="B8" s="1015"/>
      <c r="C8" s="1020" t="s">
        <v>152</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10" t="s">
        <v>993</v>
      </c>
      <c r="Q8" s="3611"/>
      <c r="R8" s="1342" t="s">
        <v>112</v>
      </c>
      <c r="S8" s="1343">
        <f t="shared" si="0"/>
        <v>0</v>
      </c>
      <c r="T8" s="1342" t="s">
        <v>112</v>
      </c>
      <c r="U8" s="1343">
        <f t="shared" si="1"/>
        <v>0</v>
      </c>
      <c r="V8" s="1342" t="s">
        <v>112</v>
      </c>
      <c r="W8" s="1343">
        <f t="shared" si="2"/>
        <v>0</v>
      </c>
      <c r="X8" s="287"/>
      <c r="Y8" s="3610" t="s">
        <v>993</v>
      </c>
      <c r="Z8" s="3611"/>
      <c r="AA8" s="1344" t="e">
        <f t="shared" ref="AA8:AA19" si="3">D8/F8</f>
        <v>#DIV/0!</v>
      </c>
      <c r="AB8" s="1344" t="e">
        <f t="shared" ref="AB8:AB19" si="4">D8/H8</f>
        <v>#DIV/0!</v>
      </c>
      <c r="AC8" s="1344" t="e">
        <f t="shared" ref="AC8:AC19" si="5">D8/J8</f>
        <v>#DIV/0!</v>
      </c>
    </row>
    <row r="9" spans="1:29" s="40" customFormat="1" ht="14.25">
      <c r="A9" s="1021" t="s">
        <v>994</v>
      </c>
      <c r="B9" s="62" t="s">
        <v>995</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4"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4"/>
      <c r="Q10" s="7" t="str">
        <f t="shared" si="6"/>
        <v>土地使用年限（年）</v>
      </c>
      <c r="R10" s="1342" t="s">
        <v>62</v>
      </c>
      <c r="S10" s="1343">
        <f t="shared" si="0"/>
        <v>100</v>
      </c>
      <c r="T10" s="1342" t="s">
        <v>62</v>
      </c>
      <c r="U10" s="1343">
        <f t="shared" si="1"/>
        <v>100</v>
      </c>
      <c r="V10" s="1342" t="s">
        <v>62</v>
      </c>
      <c r="W10" s="1343">
        <f t="shared" si="2"/>
        <v>100</v>
      </c>
      <c r="X10" s="287"/>
      <c r="Y10" s="3448"/>
      <c r="Z10" s="288" t="str">
        <f t="shared" si="7"/>
        <v>土地使用年限（年）</v>
      </c>
      <c r="AA10" s="1344">
        <f t="shared" si="3"/>
        <v>1</v>
      </c>
      <c r="AB10" s="1344">
        <f t="shared" si="4"/>
        <v>1</v>
      </c>
      <c r="AC10" s="1344">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4"/>
      <c r="Q11" s="7" t="str">
        <f t="shared" si="6"/>
        <v>容积率</v>
      </c>
      <c r="R11" s="1342" t="s">
        <v>101</v>
      </c>
      <c r="S11" s="1343" t="e">
        <f t="shared" si="0"/>
        <v>#N/A</v>
      </c>
      <c r="T11" s="1342" t="s">
        <v>101</v>
      </c>
      <c r="U11" s="1343" t="e">
        <f t="shared" si="1"/>
        <v>#N/A</v>
      </c>
      <c r="V11" s="1342" t="s">
        <v>101</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4"/>
      <c r="Q12" s="7">
        <f t="shared" si="6"/>
        <v>111</v>
      </c>
      <c r="R12" s="1342" t="s">
        <v>101</v>
      </c>
      <c r="S12" s="1343">
        <f t="shared" si="0"/>
        <v>100</v>
      </c>
      <c r="T12" s="1342" t="s">
        <v>101</v>
      </c>
      <c r="U12" s="1343">
        <f t="shared" si="1"/>
        <v>100</v>
      </c>
      <c r="V12" s="1342" t="s">
        <v>101</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4"/>
      <c r="Q13" s="7">
        <f t="shared" si="6"/>
        <v>111</v>
      </c>
      <c r="R13" s="1342" t="s">
        <v>101</v>
      </c>
      <c r="S13" s="1343">
        <f t="shared" si="0"/>
        <v>100</v>
      </c>
      <c r="T13" s="1342" t="s">
        <v>101</v>
      </c>
      <c r="U13" s="1343">
        <f t="shared" si="1"/>
        <v>100</v>
      </c>
      <c r="V13" s="1342" t="s">
        <v>101</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4"/>
      <c r="Q14" s="7">
        <f t="shared" si="6"/>
        <v>111</v>
      </c>
      <c r="R14" s="1342" t="s">
        <v>101</v>
      </c>
      <c r="S14" s="1343">
        <f t="shared" si="0"/>
        <v>100</v>
      </c>
      <c r="T14" s="1342" t="s">
        <v>101</v>
      </c>
      <c r="U14" s="1343">
        <f t="shared" si="1"/>
        <v>100</v>
      </c>
      <c r="V14" s="1342" t="s">
        <v>101</v>
      </c>
      <c r="W14" s="1343">
        <f t="shared" si="2"/>
        <v>100</v>
      </c>
      <c r="X14" s="287"/>
      <c r="Y14" s="3448"/>
      <c r="Z14" s="288">
        <f t="shared" si="7"/>
        <v>111</v>
      </c>
      <c r="AA14" s="1344">
        <f t="shared" si="3"/>
        <v>1</v>
      </c>
      <c r="AB14" s="1344">
        <f t="shared" si="4"/>
        <v>1</v>
      </c>
      <c r="AC14" s="1344">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51" t="s">
        <v>66</v>
      </c>
      <c r="Q15" s="1351" t="str">
        <f t="shared" si="6"/>
        <v>居住社区成熟度</v>
      </c>
      <c r="R15" s="1352" t="s">
        <v>101</v>
      </c>
      <c r="S15" s="1353">
        <f t="shared" si="0"/>
        <v>100</v>
      </c>
      <c r="T15" s="1352" t="s">
        <v>101</v>
      </c>
      <c r="U15" s="1353">
        <f t="shared" si="1"/>
        <v>100</v>
      </c>
      <c r="V15" s="1352" t="s">
        <v>101</v>
      </c>
      <c r="W15" s="1353">
        <f t="shared" si="2"/>
        <v>100</v>
      </c>
      <c r="X15" s="1340"/>
      <c r="Y15" s="3644" t="s">
        <v>66</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52"/>
      <c r="Q16" s="1351"/>
      <c r="R16" s="1352"/>
      <c r="S16" s="1353"/>
      <c r="T16" s="1352"/>
      <c r="U16" s="1353"/>
      <c r="V16" s="1352"/>
      <c r="W16" s="1353"/>
      <c r="X16" s="1340"/>
      <c r="Y16" s="3645"/>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52"/>
      <c r="Q17" s="1351" t="str">
        <f>B17</f>
        <v>交通便捷度</v>
      </c>
      <c r="R17" s="1352" t="s">
        <v>101</v>
      </c>
      <c r="S17" s="1353">
        <f>F17</f>
        <v>100</v>
      </c>
      <c r="T17" s="1352" t="s">
        <v>101</v>
      </c>
      <c r="U17" s="1353">
        <f>H17</f>
        <v>100</v>
      </c>
      <c r="V17" s="1352" t="s">
        <v>101</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52"/>
      <c r="Q18" s="1351"/>
      <c r="R18" s="1352"/>
      <c r="S18" s="1353"/>
      <c r="T18" s="1352"/>
      <c r="U18" s="1353"/>
      <c r="V18" s="1352"/>
      <c r="W18" s="1353"/>
      <c r="X18" s="1340"/>
      <c r="Y18" s="3645"/>
      <c r="Z18" s="1354"/>
      <c r="AA18" s="1355">
        <v>1</v>
      </c>
      <c r="AB18" s="1355">
        <v>1</v>
      </c>
      <c r="AC18" s="1355">
        <v>1</v>
      </c>
    </row>
    <row r="19" spans="1:29" ht="40.5">
      <c r="A19" s="151"/>
      <c r="B19" s="1356" t="s">
        <v>2621</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52"/>
      <c r="Q19" s="1351" t="str">
        <f>B19</f>
        <v>公共配套设施</v>
      </c>
      <c r="R19" s="1352" t="s">
        <v>101</v>
      </c>
      <c r="S19" s="1353">
        <f>F19</f>
        <v>100</v>
      </c>
      <c r="T19" s="1352" t="s">
        <v>101</v>
      </c>
      <c r="U19" s="1353">
        <f>H19</f>
        <v>100</v>
      </c>
      <c r="V19" s="1352" t="s">
        <v>101</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52"/>
      <c r="Q20" s="1351"/>
      <c r="R20" s="1352"/>
      <c r="S20" s="1353"/>
      <c r="T20" s="1352"/>
      <c r="U20" s="1353"/>
      <c r="V20" s="1352"/>
      <c r="W20" s="1353"/>
      <c r="X20" s="1340"/>
      <c r="Y20" s="3645"/>
      <c r="Z20" s="1354"/>
      <c r="AA20" s="1355">
        <v>1</v>
      </c>
      <c r="AB20" s="1355">
        <v>1</v>
      </c>
      <c r="AC20" s="1355">
        <v>1</v>
      </c>
    </row>
    <row r="21" spans="1:29" ht="40.5">
      <c r="A21" s="151"/>
      <c r="B21" s="1412" t="s">
        <v>2632</v>
      </c>
      <c r="C21" s="158" t="str">
        <f>估价对象房地状况!C8</f>
        <v>估价对象所在区域基础设施水平达“六通”。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52"/>
      <c r="Q22" s="2746"/>
      <c r="R22" s="1352"/>
      <c r="S22" s="1353"/>
      <c r="T22" s="1352"/>
      <c r="U22" s="1353"/>
      <c r="V22" s="1352"/>
      <c r="W22" s="1353"/>
      <c r="X22" s="2748"/>
      <c r="Y22" s="3645"/>
      <c r="Z22" s="2747"/>
      <c r="AA22" s="1355">
        <v>1</v>
      </c>
      <c r="AB22" s="1355">
        <v>1</v>
      </c>
      <c r="AC22" s="1355">
        <v>1</v>
      </c>
    </row>
    <row r="23" spans="1:29" ht="121.5">
      <c r="A23" s="151"/>
      <c r="B23" s="1356" t="s">
        <v>70</v>
      </c>
      <c r="C23" s="158" t="str">
        <f>估价对象房地状况!C9</f>
        <v>估价对象所在区域有重庆园博园，自然环境较好；所在区域有宝林博物馆、会仙阁艺术馆，人文环境较好；综合评价环境状况较好。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52"/>
      <c r="Q23" s="1351" t="str">
        <f>B23</f>
        <v>自然及人文环境</v>
      </c>
      <c r="R23" s="1352" t="s">
        <v>101</v>
      </c>
      <c r="S23" s="1353">
        <f>F23</f>
        <v>100</v>
      </c>
      <c r="T23" s="1352" t="s">
        <v>101</v>
      </c>
      <c r="U23" s="1353">
        <f>H23</f>
        <v>100</v>
      </c>
      <c r="V23" s="1352" t="s">
        <v>101</v>
      </c>
      <c r="W23" s="1353">
        <f>J23</f>
        <v>100</v>
      </c>
      <c r="X23" s="1340"/>
      <c r="Y23" s="364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52"/>
      <c r="Q24" s="1351"/>
      <c r="R24" s="1352"/>
      <c r="S24" s="1353"/>
      <c r="T24" s="1352"/>
      <c r="U24" s="1353"/>
      <c r="V24" s="1352"/>
      <c r="W24" s="1353"/>
      <c r="X24" s="1340"/>
      <c r="Y24" s="3645"/>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52"/>
      <c r="Q25" s="1351" t="str">
        <f t="shared" ref="Q25:Q46" si="11">B25</f>
        <v>楼层-1</v>
      </c>
      <c r="R25" s="1352" t="s">
        <v>101</v>
      </c>
      <c r="S25" s="1353">
        <f t="shared" ref="S25:S46" si="12">F25</f>
        <v>100</v>
      </c>
      <c r="T25" s="1352" t="s">
        <v>101</v>
      </c>
      <c r="U25" s="1353">
        <f t="shared" ref="U25:U46" si="13">H25</f>
        <v>100</v>
      </c>
      <c r="V25" s="1352" t="s">
        <v>101</v>
      </c>
      <c r="W25" s="1353">
        <f t="shared" ref="W25:W46" si="14">J25</f>
        <v>100</v>
      </c>
      <c r="X25" s="1340"/>
      <c r="Y25" s="3645"/>
      <c r="Z25" s="1354" t="str">
        <f>Q25</f>
        <v>楼层-1</v>
      </c>
      <c r="AA25" s="1355">
        <f t="shared" ref="AA25:AA46" si="15">D25/F25</f>
        <v>1</v>
      </c>
      <c r="AB25" s="1355">
        <f t="shared" ref="AB25:AB46" si="16">D25/H25</f>
        <v>1</v>
      </c>
      <c r="AC25" s="1355">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52"/>
      <c r="Q26" s="1351" t="str">
        <f t="shared" si="11"/>
        <v>朝向</v>
      </c>
      <c r="R26" s="1352" t="s">
        <v>101</v>
      </c>
      <c r="S26" s="1353">
        <f t="shared" si="12"/>
        <v>100</v>
      </c>
      <c r="T26" s="1352" t="s">
        <v>101</v>
      </c>
      <c r="U26" s="1353">
        <f t="shared" si="13"/>
        <v>100</v>
      </c>
      <c r="V26" s="1352" t="s">
        <v>101</v>
      </c>
      <c r="W26" s="1353">
        <f t="shared" si="14"/>
        <v>100</v>
      </c>
      <c r="X26" s="1340"/>
      <c r="Y26" s="364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52"/>
      <c r="Q27" s="7">
        <f t="shared" si="11"/>
        <v>111</v>
      </c>
      <c r="R27" s="1342" t="s">
        <v>101</v>
      </c>
      <c r="S27" s="1343">
        <f t="shared" si="12"/>
        <v>100</v>
      </c>
      <c r="T27" s="1342" t="s">
        <v>101</v>
      </c>
      <c r="U27" s="1343">
        <f t="shared" si="13"/>
        <v>100</v>
      </c>
      <c r="V27" s="1342" t="s">
        <v>101</v>
      </c>
      <c r="W27" s="1343">
        <f t="shared" si="14"/>
        <v>100</v>
      </c>
      <c r="X27" s="287"/>
      <c r="Y27" s="364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52"/>
      <c r="Q28" s="1351">
        <f t="shared" si="11"/>
        <v>111</v>
      </c>
      <c r="R28" s="1352" t="s">
        <v>101</v>
      </c>
      <c r="S28" s="1353">
        <f t="shared" si="12"/>
        <v>100</v>
      </c>
      <c r="T28" s="1352" t="s">
        <v>101</v>
      </c>
      <c r="U28" s="1353">
        <f t="shared" si="13"/>
        <v>100</v>
      </c>
      <c r="V28" s="1352" t="s">
        <v>101</v>
      </c>
      <c r="W28" s="1353">
        <f t="shared" si="14"/>
        <v>100</v>
      </c>
      <c r="X28" s="1340"/>
      <c r="Y28" s="364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52"/>
      <c r="Q29" s="1351">
        <f t="shared" si="11"/>
        <v>111</v>
      </c>
      <c r="R29" s="1352" t="s">
        <v>101</v>
      </c>
      <c r="S29" s="1353">
        <f t="shared" si="12"/>
        <v>100</v>
      </c>
      <c r="T29" s="1352" t="s">
        <v>101</v>
      </c>
      <c r="U29" s="1353">
        <f t="shared" si="13"/>
        <v>100</v>
      </c>
      <c r="V29" s="1352" t="s">
        <v>101</v>
      </c>
      <c r="W29" s="1353">
        <f t="shared" si="14"/>
        <v>100</v>
      </c>
      <c r="X29" s="1340"/>
      <c r="Y29" s="364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52"/>
      <c r="Q30" s="1351">
        <f t="shared" si="11"/>
        <v>111</v>
      </c>
      <c r="R30" s="1352" t="s">
        <v>101</v>
      </c>
      <c r="S30" s="1353">
        <f t="shared" si="12"/>
        <v>100</v>
      </c>
      <c r="T30" s="1352" t="s">
        <v>101</v>
      </c>
      <c r="U30" s="1353">
        <f t="shared" si="13"/>
        <v>100</v>
      </c>
      <c r="V30" s="1352" t="s">
        <v>101</v>
      </c>
      <c r="W30" s="1353">
        <f t="shared" si="14"/>
        <v>100</v>
      </c>
      <c r="X30" s="1340"/>
      <c r="Y30" s="364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52"/>
      <c r="Q31" s="1351">
        <f t="shared" si="11"/>
        <v>111</v>
      </c>
      <c r="R31" s="1352" t="s">
        <v>101</v>
      </c>
      <c r="S31" s="1353">
        <f t="shared" si="12"/>
        <v>100</v>
      </c>
      <c r="T31" s="1352" t="s">
        <v>101</v>
      </c>
      <c r="U31" s="1353">
        <f t="shared" si="13"/>
        <v>100</v>
      </c>
      <c r="V31" s="1352" t="s">
        <v>101</v>
      </c>
      <c r="W31" s="1353">
        <f t="shared" si="14"/>
        <v>100</v>
      </c>
      <c r="X31" s="1340"/>
      <c r="Y31" s="3645"/>
      <c r="Z31" s="1354">
        <f t="shared" si="18"/>
        <v>111</v>
      </c>
      <c r="AA31" s="1355">
        <f t="shared" si="15"/>
        <v>1</v>
      </c>
      <c r="AB31" s="1355">
        <f t="shared" si="16"/>
        <v>1</v>
      </c>
      <c r="AC31" s="1355">
        <f t="shared" si="17"/>
        <v>1</v>
      </c>
    </row>
    <row r="32" spans="1:29" ht="15">
      <c r="A32" s="155" t="s">
        <v>996</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46" t="s">
        <v>67</v>
      </c>
      <c r="Q32" s="1351" t="str">
        <f t="shared" si="11"/>
        <v>建筑类型</v>
      </c>
      <c r="R32" s="1352" t="s">
        <v>101</v>
      </c>
      <c r="S32" s="1353">
        <f t="shared" si="12"/>
        <v>100</v>
      </c>
      <c r="T32" s="1352" t="s">
        <v>101</v>
      </c>
      <c r="U32" s="1353">
        <f t="shared" si="13"/>
        <v>100</v>
      </c>
      <c r="V32" s="1352" t="s">
        <v>101</v>
      </c>
      <c r="W32" s="1353">
        <f t="shared" si="14"/>
        <v>100</v>
      </c>
      <c r="X32" s="1340"/>
      <c r="Y32" s="3649" t="s">
        <v>67</v>
      </c>
      <c r="Z32" s="1354" t="str">
        <f t="shared" si="18"/>
        <v>建筑类型</v>
      </c>
      <c r="AA32" s="1355">
        <f t="shared" si="15"/>
        <v>1</v>
      </c>
      <c r="AB32" s="1355">
        <f t="shared" si="16"/>
        <v>1</v>
      </c>
      <c r="AC32" s="1355">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47"/>
      <c r="Q33" s="1359" t="str">
        <f t="shared" si="11"/>
        <v>项目建筑规模</v>
      </c>
      <c r="R33" s="1360" t="s">
        <v>101</v>
      </c>
      <c r="S33" s="1361" t="e">
        <f t="shared" si="12"/>
        <v>#N/A</v>
      </c>
      <c r="T33" s="1360" t="s">
        <v>101</v>
      </c>
      <c r="U33" s="1361" t="e">
        <f t="shared" si="13"/>
        <v>#N/A</v>
      </c>
      <c r="V33" s="1360" t="s">
        <v>101</v>
      </c>
      <c r="W33" s="1361" t="e">
        <f t="shared" si="14"/>
        <v>#N/A</v>
      </c>
      <c r="X33" s="1362"/>
      <c r="Y33" s="3649"/>
      <c r="Z33" s="1363" t="str">
        <f t="shared" si="18"/>
        <v>项目建筑规模</v>
      </c>
      <c r="AA33" s="1355" t="e">
        <f t="shared" si="15"/>
        <v>#N/A</v>
      </c>
      <c r="AB33" s="1355" t="e">
        <f t="shared" si="16"/>
        <v>#N/A</v>
      </c>
      <c r="AC33" s="1355"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47"/>
      <c r="Q34" s="1351" t="str">
        <f t="shared" si="11"/>
        <v>建筑结构</v>
      </c>
      <c r="R34" s="1352" t="s">
        <v>101</v>
      </c>
      <c r="S34" s="1353">
        <f t="shared" si="12"/>
        <v>100</v>
      </c>
      <c r="T34" s="1352" t="s">
        <v>101</v>
      </c>
      <c r="U34" s="1353">
        <f t="shared" si="13"/>
        <v>100</v>
      </c>
      <c r="V34" s="1352" t="s">
        <v>101</v>
      </c>
      <c r="W34" s="1353">
        <f t="shared" si="14"/>
        <v>100</v>
      </c>
      <c r="X34" s="1340"/>
      <c r="Y34" s="3649"/>
      <c r="Z34" s="1354" t="str">
        <f t="shared" si="18"/>
        <v>建筑结构</v>
      </c>
      <c r="AA34" s="1355">
        <f t="shared" si="15"/>
        <v>1</v>
      </c>
      <c r="AB34" s="1355">
        <f t="shared" si="16"/>
        <v>1</v>
      </c>
      <c r="AC34" s="1355">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47"/>
      <c r="Q35" s="1351" t="str">
        <f t="shared" si="11"/>
        <v>建筑品质</v>
      </c>
      <c r="R35" s="1352" t="s">
        <v>101</v>
      </c>
      <c r="S35" s="1353">
        <f t="shared" si="12"/>
        <v>100</v>
      </c>
      <c r="T35" s="1352" t="s">
        <v>101</v>
      </c>
      <c r="U35" s="1353">
        <f t="shared" si="13"/>
        <v>100</v>
      </c>
      <c r="V35" s="1352" t="s">
        <v>101</v>
      </c>
      <c r="W35" s="1353">
        <f t="shared" si="14"/>
        <v>100</v>
      </c>
      <c r="X35" s="1340"/>
      <c r="Y35" s="3649"/>
      <c r="Z35" s="1354" t="str">
        <f t="shared" si="18"/>
        <v>建筑品质</v>
      </c>
      <c r="AA35" s="1355">
        <f t="shared" si="15"/>
        <v>1</v>
      </c>
      <c r="AB35" s="1355">
        <f t="shared" si="16"/>
        <v>1</v>
      </c>
      <c r="AC35" s="1355">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47"/>
      <c r="Q36" s="1351" t="str">
        <f t="shared" si="11"/>
        <v>公共部分装修</v>
      </c>
      <c r="R36" s="1352" t="s">
        <v>101</v>
      </c>
      <c r="S36" s="1353">
        <f t="shared" si="12"/>
        <v>100</v>
      </c>
      <c r="T36" s="1352" t="s">
        <v>101</v>
      </c>
      <c r="U36" s="1353">
        <f t="shared" si="13"/>
        <v>100</v>
      </c>
      <c r="V36" s="1352" t="s">
        <v>101</v>
      </c>
      <c r="W36" s="1353">
        <f t="shared" si="14"/>
        <v>100</v>
      </c>
      <c r="X36" s="1340"/>
      <c r="Y36" s="3649"/>
      <c r="Z36" s="1354" t="str">
        <f t="shared" si="18"/>
        <v>公共部分装修</v>
      </c>
      <c r="AA36" s="1355">
        <f t="shared" si="15"/>
        <v>1</v>
      </c>
      <c r="AB36" s="1355">
        <f t="shared" si="16"/>
        <v>1</v>
      </c>
      <c r="AC36" s="1355">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47"/>
      <c r="Q37" s="7" t="str">
        <f t="shared" si="11"/>
        <v>成新度</v>
      </c>
      <c r="R37" s="1342" t="s">
        <v>101</v>
      </c>
      <c r="S37" s="1343" t="e">
        <f t="shared" si="12"/>
        <v>#N/A</v>
      </c>
      <c r="T37" s="1342" t="s">
        <v>101</v>
      </c>
      <c r="U37" s="1343" t="e">
        <f t="shared" si="13"/>
        <v>#N/A</v>
      </c>
      <c r="V37" s="1342" t="s">
        <v>101</v>
      </c>
      <c r="W37" s="1343" t="e">
        <f t="shared" si="14"/>
        <v>#N/A</v>
      </c>
      <c r="X37" s="287"/>
      <c r="Y37" s="3649"/>
      <c r="Z37" s="288" t="str">
        <f t="shared" si="18"/>
        <v>成新度</v>
      </c>
      <c r="AA37" s="1344" t="e">
        <f t="shared" si="15"/>
        <v>#N/A</v>
      </c>
      <c r="AB37" s="1344" t="e">
        <f t="shared" si="16"/>
        <v>#N/A</v>
      </c>
      <c r="AC37" s="1344"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47" t="s">
        <v>67</v>
      </c>
      <c r="Q38" s="1351" t="str">
        <f t="shared" si="11"/>
        <v>物业管理</v>
      </c>
      <c r="R38" s="1352" t="s">
        <v>101</v>
      </c>
      <c r="S38" s="1353">
        <f t="shared" si="12"/>
        <v>100</v>
      </c>
      <c r="T38" s="1352" t="s">
        <v>101</v>
      </c>
      <c r="U38" s="1353">
        <f t="shared" si="13"/>
        <v>100</v>
      </c>
      <c r="V38" s="1352" t="s">
        <v>101</v>
      </c>
      <c r="W38" s="1353">
        <f t="shared" si="14"/>
        <v>100</v>
      </c>
      <c r="X38" s="1340"/>
      <c r="Y38" s="3649" t="s">
        <v>67</v>
      </c>
      <c r="Z38" s="1354" t="str">
        <f t="shared" si="18"/>
        <v>物业管理</v>
      </c>
      <c r="AA38" s="1355">
        <f t="shared" si="15"/>
        <v>1</v>
      </c>
      <c r="AB38" s="1355">
        <f t="shared" si="16"/>
        <v>1</v>
      </c>
      <c r="AC38" s="1355">
        <f t="shared" si="17"/>
        <v>1</v>
      </c>
    </row>
    <row r="39" spans="1:29" ht="15">
      <c r="A39" s="161"/>
      <c r="B39" s="12"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47"/>
      <c r="Q39" s="1351" t="str">
        <f t="shared" si="11"/>
        <v>市政基础设施</v>
      </c>
      <c r="R39" s="1352" t="s">
        <v>101</v>
      </c>
      <c r="S39" s="1353">
        <f t="shared" si="12"/>
        <v>100</v>
      </c>
      <c r="T39" s="1352" t="s">
        <v>101</v>
      </c>
      <c r="U39" s="1353">
        <f t="shared" si="13"/>
        <v>100</v>
      </c>
      <c r="V39" s="1352" t="s">
        <v>101</v>
      </c>
      <c r="W39" s="1353">
        <f t="shared" si="14"/>
        <v>100</v>
      </c>
      <c r="X39" s="1340"/>
      <c r="Y39" s="3649"/>
      <c r="Z39" s="1354" t="str">
        <f t="shared" si="18"/>
        <v>市政基础设施</v>
      </c>
      <c r="AA39" s="1355">
        <f t="shared" si="15"/>
        <v>1</v>
      </c>
      <c r="AB39" s="1355">
        <f t="shared" si="16"/>
        <v>1</v>
      </c>
      <c r="AC39" s="1355">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47"/>
      <c r="Q40" s="1351" t="str">
        <f t="shared" si="11"/>
        <v>房型</v>
      </c>
      <c r="R40" s="1352" t="s">
        <v>101</v>
      </c>
      <c r="S40" s="1353">
        <f t="shared" si="12"/>
        <v>100</v>
      </c>
      <c r="T40" s="1352" t="s">
        <v>101</v>
      </c>
      <c r="U40" s="1353">
        <f t="shared" si="13"/>
        <v>100</v>
      </c>
      <c r="V40" s="1352" t="s">
        <v>101</v>
      </c>
      <c r="W40" s="1353">
        <f t="shared" si="14"/>
        <v>100</v>
      </c>
      <c r="X40" s="1340"/>
      <c r="Y40" s="3649"/>
      <c r="Z40" s="1354" t="str">
        <f t="shared" si="18"/>
        <v>房型</v>
      </c>
      <c r="AA40" s="1355">
        <f t="shared" si="15"/>
        <v>1</v>
      </c>
      <c r="AB40" s="1355">
        <f t="shared" si="16"/>
        <v>1</v>
      </c>
      <c r="AC40" s="1355">
        <f t="shared" si="17"/>
        <v>1</v>
      </c>
    </row>
    <row r="41" spans="1:29" s="1039" customFormat="1" ht="27">
      <c r="A41" s="1043"/>
      <c r="B41" s="12" t="s">
        <v>102</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47"/>
      <c r="Q41" s="1359" t="str">
        <f t="shared" si="11"/>
        <v>单套/主力户型建筑面积</v>
      </c>
      <c r="R41" s="1360" t="s">
        <v>101</v>
      </c>
      <c r="S41" s="1361">
        <f t="shared" si="12"/>
        <v>100</v>
      </c>
      <c r="T41" s="1360" t="s">
        <v>101</v>
      </c>
      <c r="U41" s="1361">
        <f t="shared" si="13"/>
        <v>100</v>
      </c>
      <c r="V41" s="1360" t="s">
        <v>101</v>
      </c>
      <c r="W41" s="1361">
        <f t="shared" si="14"/>
        <v>100</v>
      </c>
      <c r="X41" s="1362"/>
      <c r="Y41" s="3649"/>
      <c r="Z41" s="1363" t="str">
        <f t="shared" si="18"/>
        <v>单套/主力户型建筑面积</v>
      </c>
      <c r="AA41" s="1355">
        <f t="shared" si="15"/>
        <v>1</v>
      </c>
      <c r="AB41" s="1355">
        <f t="shared" si="16"/>
        <v>1</v>
      </c>
      <c r="AC41" s="1355">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47"/>
      <c r="Q42" s="1351" t="str">
        <f t="shared" si="11"/>
        <v>内部装修</v>
      </c>
      <c r="R42" s="1352" t="s">
        <v>101</v>
      </c>
      <c r="S42" s="1353">
        <f t="shared" si="12"/>
        <v>100</v>
      </c>
      <c r="T42" s="1352" t="s">
        <v>101</v>
      </c>
      <c r="U42" s="1353">
        <f t="shared" si="13"/>
        <v>100</v>
      </c>
      <c r="V42" s="1352" t="s">
        <v>101</v>
      </c>
      <c r="W42" s="1353">
        <f t="shared" si="14"/>
        <v>100</v>
      </c>
      <c r="X42" s="1340"/>
      <c r="Y42" s="3649"/>
      <c r="Z42" s="1354" t="str">
        <f t="shared" si="18"/>
        <v>内部装修</v>
      </c>
      <c r="AA42" s="1355">
        <f t="shared" si="15"/>
        <v>1</v>
      </c>
      <c r="AB42" s="1355">
        <f t="shared" si="16"/>
        <v>1</v>
      </c>
      <c r="AC42" s="1355">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47"/>
      <c r="Q43" s="1351" t="str">
        <f t="shared" si="11"/>
        <v>内部装修维护情况</v>
      </c>
      <c r="R43" s="1352" t="s">
        <v>101</v>
      </c>
      <c r="S43" s="1353">
        <f t="shared" si="12"/>
        <v>100</v>
      </c>
      <c r="T43" s="1352" t="s">
        <v>101</v>
      </c>
      <c r="U43" s="1353">
        <f t="shared" si="13"/>
        <v>100</v>
      </c>
      <c r="V43" s="1352" t="s">
        <v>101</v>
      </c>
      <c r="W43" s="1353">
        <f t="shared" si="14"/>
        <v>100</v>
      </c>
      <c r="X43" s="1340"/>
      <c r="Y43" s="364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47"/>
      <c r="Q44" s="7">
        <f t="shared" si="11"/>
        <v>111</v>
      </c>
      <c r="R44" s="1342" t="s">
        <v>101</v>
      </c>
      <c r="S44" s="1343">
        <f t="shared" si="12"/>
        <v>100</v>
      </c>
      <c r="T44" s="1342" t="s">
        <v>101</v>
      </c>
      <c r="U44" s="1343">
        <f t="shared" si="13"/>
        <v>100</v>
      </c>
      <c r="V44" s="1342" t="s">
        <v>101</v>
      </c>
      <c r="W44" s="1343">
        <f t="shared" si="14"/>
        <v>100</v>
      </c>
      <c r="X44" s="287"/>
      <c r="Y44" s="364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47"/>
      <c r="Q45" s="1351">
        <f t="shared" si="11"/>
        <v>111</v>
      </c>
      <c r="R45" s="1352" t="s">
        <v>101</v>
      </c>
      <c r="S45" s="1353">
        <f t="shared" si="12"/>
        <v>100</v>
      </c>
      <c r="T45" s="1352" t="s">
        <v>101</v>
      </c>
      <c r="U45" s="1353">
        <f t="shared" si="13"/>
        <v>100</v>
      </c>
      <c r="V45" s="1352" t="s">
        <v>101</v>
      </c>
      <c r="W45" s="1353">
        <f t="shared" si="14"/>
        <v>100</v>
      </c>
      <c r="X45" s="1340"/>
      <c r="Y45" s="364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48"/>
      <c r="Q46" s="1351">
        <f t="shared" si="11"/>
        <v>111</v>
      </c>
      <c r="R46" s="1352" t="s">
        <v>100</v>
      </c>
      <c r="S46" s="1353">
        <f t="shared" si="12"/>
        <v>100</v>
      </c>
      <c r="T46" s="1352" t="s">
        <v>100</v>
      </c>
      <c r="U46" s="1353">
        <f t="shared" si="13"/>
        <v>100</v>
      </c>
      <c r="V46" s="1352" t="s">
        <v>100</v>
      </c>
      <c r="W46" s="1353">
        <f t="shared" si="14"/>
        <v>100</v>
      </c>
      <c r="X46" s="1340"/>
      <c r="Y46" s="3650"/>
      <c r="Z46" s="1354">
        <f t="shared" si="18"/>
        <v>111</v>
      </c>
      <c r="AA46" s="1355">
        <f t="shared" si="15"/>
        <v>1</v>
      </c>
      <c r="AB46" s="1355">
        <f t="shared" si="16"/>
        <v>1</v>
      </c>
      <c r="AC46" s="1355">
        <f t="shared" si="17"/>
        <v>1</v>
      </c>
    </row>
    <row r="47" spans="1:29" ht="15">
      <c r="A47" s="163" t="s">
        <v>99</v>
      </c>
      <c r="B47" s="164"/>
      <c r="C47" s="2833" t="s">
        <v>98</v>
      </c>
      <c r="D47" s="2834"/>
      <c r="E47" s="2835"/>
      <c r="F47" s="2836"/>
      <c r="G47" s="2837"/>
      <c r="H47" s="2838"/>
      <c r="I47" s="2835"/>
      <c r="J47" s="2838"/>
      <c r="K47" s="1364"/>
      <c r="L47" s="2303"/>
      <c r="M47" s="2304"/>
      <c r="N47" s="2296"/>
      <c r="O47" s="2304"/>
      <c r="P47" s="3642" t="str">
        <f>A47</f>
        <v>成交单价（元/平方米）</v>
      </c>
      <c r="Q47" s="3642"/>
      <c r="R47" s="3643">
        <f>E47</f>
        <v>0</v>
      </c>
      <c r="S47" s="3643"/>
      <c r="T47" s="3643">
        <f>G47</f>
        <v>0</v>
      </c>
      <c r="U47" s="3643"/>
      <c r="V47" s="3643">
        <f>I47</f>
        <v>0</v>
      </c>
      <c r="W47" s="3643"/>
      <c r="X47" s="1365"/>
      <c r="Y47" s="1366"/>
      <c r="Z47" s="1365"/>
      <c r="AA47" s="1365"/>
      <c r="AB47" s="1365"/>
      <c r="AC47" s="1365"/>
    </row>
    <row r="48" spans="1:29" ht="15.75" thickBot="1">
      <c r="A48" s="165" t="s">
        <v>97</v>
      </c>
      <c r="B48" s="166"/>
      <c r="C48" s="2839" t="e">
        <f>R49</f>
        <v>#DIV/0!</v>
      </c>
      <c r="D48" s="2840"/>
      <c r="E48" s="2841" t="e">
        <f>R48</f>
        <v>#DIV/0!</v>
      </c>
      <c r="F48" s="2841"/>
      <c r="G48" s="2839" t="e">
        <f>T48</f>
        <v>#DIV/0!</v>
      </c>
      <c r="H48" s="2840"/>
      <c r="I48" s="2841" t="e">
        <f>V48</f>
        <v>#DIV/0!</v>
      </c>
      <c r="J48" s="2840"/>
      <c r="K48" s="1367"/>
      <c r="L48" s="2303"/>
      <c r="M48" s="2304"/>
      <c r="N48" s="2304"/>
      <c r="O48" s="2304"/>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5"/>
      <c r="Y48" s="1365"/>
      <c r="Z48" s="1365"/>
      <c r="AA48" s="1365"/>
      <c r="AB48" s="1365"/>
      <c r="AC48" s="1365"/>
    </row>
    <row r="49" spans="1:29" ht="15.75" thickBot="1">
      <c r="A49" s="115" t="s">
        <v>3004</v>
      </c>
      <c r="B49" s="116"/>
      <c r="C49" s="2842" t="e">
        <f>R49</f>
        <v>#DIV/0!</v>
      </c>
      <c r="D49" s="2843"/>
      <c r="E49" s="2843"/>
      <c r="F49" s="2843"/>
      <c r="G49" s="2843"/>
      <c r="H49" s="2843"/>
      <c r="I49" s="2843"/>
      <c r="J49" s="2843"/>
      <c r="K49" s="1368"/>
      <c r="L49" s="2303"/>
      <c r="M49" s="2304"/>
      <c r="N49" s="2304"/>
      <c r="O49" s="2304"/>
      <c r="P49" s="3639" t="str">
        <f>A49</f>
        <v>估价对象XX用房的比较价值（楼面单价，元/平方米）</v>
      </c>
      <c r="Q49" s="3640"/>
      <c r="R49" s="3641" t="e">
        <f>IF(F1="售价",ROUND(AVERAGE(R48:V48),0),ROUND(AVERAGE(R48:V48),1))</f>
        <v>#DIV/0!</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124</v>
      </c>
      <c r="B57" s="1365"/>
      <c r="C57" s="1373"/>
      <c r="D57" s="1373"/>
      <c r="E57" s="1373"/>
      <c r="F57" s="1374"/>
      <c r="G57" s="1374"/>
      <c r="H57" s="1373"/>
      <c r="I57" s="1373"/>
      <c r="J57" s="1373"/>
      <c r="K57" s="2310"/>
      <c r="L57" s="2311"/>
      <c r="M57" s="2312"/>
      <c r="N57" s="2312"/>
      <c r="O57" s="2312"/>
      <c r="P57" s="1376"/>
      <c r="Q57" s="121"/>
    </row>
    <row r="58" spans="1:29" s="851" customFormat="1" ht="15">
      <c r="A58" s="848" t="s">
        <v>2785</v>
      </c>
      <c r="B58" s="849"/>
      <c r="C58" s="3043" t="str">
        <f>YEAR(C7)&amp;"-"&amp;MONTH(C7)</f>
        <v>2017-10</v>
      </c>
      <c r="D58" s="3042">
        <f>EDATE(C58,-1)</f>
        <v>42979</v>
      </c>
      <c r="E58" s="3042">
        <f>EDATE(D58,-1)</f>
        <v>42948</v>
      </c>
      <c r="F58" s="3042">
        <f t="shared" ref="F58:O58" si="19">EDATE(E58,-1)</f>
        <v>42917</v>
      </c>
      <c r="G58" s="3042">
        <f t="shared" si="19"/>
        <v>42887</v>
      </c>
      <c r="H58" s="3042">
        <f t="shared" si="19"/>
        <v>42856</v>
      </c>
      <c r="I58" s="3042">
        <f t="shared" si="19"/>
        <v>42826</v>
      </c>
      <c r="J58" s="3042">
        <f t="shared" si="19"/>
        <v>42795</v>
      </c>
      <c r="K58" s="3042">
        <f t="shared" si="19"/>
        <v>42767</v>
      </c>
      <c r="L58" s="3042">
        <f t="shared" si="19"/>
        <v>42736</v>
      </c>
      <c r="M58" s="3042">
        <f t="shared" si="19"/>
        <v>42705</v>
      </c>
      <c r="N58" s="3042">
        <f t="shared" si="19"/>
        <v>42675</v>
      </c>
      <c r="O58" s="3042">
        <f t="shared" si="19"/>
        <v>42644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63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64</v>
      </c>
      <c r="B63" s="286" t="s">
        <v>65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66</v>
      </c>
      <c r="B76" s="286" t="s">
        <v>107</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89</v>
      </c>
      <c r="C78" s="921" t="s">
        <v>1010</v>
      </c>
      <c r="D78" s="921" t="s">
        <v>1011</v>
      </c>
      <c r="E78" s="921" t="s">
        <v>1012</v>
      </c>
      <c r="F78" s="921" t="s">
        <v>1013</v>
      </c>
      <c r="G78" s="921" t="s">
        <v>1014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1010</v>
      </c>
      <c r="D80" s="921" t="s">
        <v>1011</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2635</v>
      </c>
      <c r="C82" s="177" t="s">
        <v>2636</v>
      </c>
      <c r="D82" s="177" t="s">
        <v>2640</v>
      </c>
      <c r="E82" s="177" t="s">
        <v>2637</v>
      </c>
      <c r="F82" s="177" t="s">
        <v>2638</v>
      </c>
      <c r="G82" s="177" t="s">
        <v>2639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95</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94</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67</v>
      </c>
      <c r="B100" s="286" t="s">
        <v>120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108</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121</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110</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102</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91</v>
      </c>
      <c r="C124" s="921" t="s">
        <v>422</v>
      </c>
      <c r="D124" s="921" t="s">
        <v>423</v>
      </c>
      <c r="E124" s="921" t="s">
        <v>424</v>
      </c>
      <c r="F124" s="921" t="s">
        <v>425</v>
      </c>
      <c r="G124" s="921" t="s">
        <v>426</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8" t="s">
        <v>2289</v>
      </c>
      <c r="D138" s="1778" t="s">
        <v>2290</v>
      </c>
      <c r="E138" s="2149" t="s">
        <v>2291</v>
      </c>
      <c r="F138" s="2150" t="s">
        <v>2292</v>
      </c>
      <c r="G138" s="1778" t="s">
        <v>2290</v>
      </c>
      <c r="H138" s="2151" t="s">
        <v>2291</v>
      </c>
      <c r="I138" s="2152"/>
      <c r="J138" s="1778"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2312</v>
      </c>
    </row>
    <row r="148" spans="2:11">
      <c r="B148" s="2141" t="s">
        <v>2313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2685</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72821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19229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1340"/>
      <c r="Y4" s="3612" t="s">
        <v>53</v>
      </c>
      <c r="Z4" s="3613"/>
      <c r="AA4" s="3607" t="s">
        <v>55</v>
      </c>
      <c r="AB4" s="3637" t="s">
        <v>56</v>
      </c>
      <c r="AC4" s="3607" t="s">
        <v>57</v>
      </c>
    </row>
    <row r="5" spans="1:29">
      <c r="A5" s="146"/>
      <c r="B5" s="147"/>
      <c r="C5" s="3618" t="s">
        <v>3071</v>
      </c>
      <c r="D5" s="3619"/>
      <c r="E5" s="3616" t="s">
        <v>3072</v>
      </c>
      <c r="F5" s="3617"/>
      <c r="G5" s="3618" t="s">
        <v>3072</v>
      </c>
      <c r="H5" s="3619"/>
      <c r="I5" s="3618" t="s">
        <v>3178</v>
      </c>
      <c r="J5" s="3619"/>
      <c r="K5" s="187"/>
      <c r="L5" s="2295"/>
      <c r="M5" s="2296"/>
      <c r="N5" s="2296"/>
      <c r="O5" s="2296"/>
      <c r="P5" s="3631"/>
      <c r="Q5" s="3632"/>
      <c r="R5" s="3614"/>
      <c r="S5" s="3615"/>
      <c r="T5" s="3614"/>
      <c r="U5" s="3615"/>
      <c r="V5" s="3637"/>
      <c r="W5" s="3637"/>
      <c r="X5" s="1340"/>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1340"/>
      <c r="Y6" s="3635"/>
      <c r="Z6" s="3636"/>
      <c r="AA6" s="3609"/>
      <c r="AB6" s="3637"/>
      <c r="AC6" s="3609"/>
    </row>
    <row r="7" spans="1:29" s="40" customFormat="1" ht="15" thickBot="1">
      <c r="A7" s="1014" t="s">
        <v>61</v>
      </c>
      <c r="B7" s="1015"/>
      <c r="C7" s="1016">
        <f>'数据-取费表'!B2</f>
        <v>43026</v>
      </c>
      <c r="D7" s="754">
        <v>100</v>
      </c>
      <c r="E7" s="1017">
        <v>42880</v>
      </c>
      <c r="F7" s="756">
        <f>SUMIF(58:58,YEAR(E7)&amp;"-"&amp;MONTH(E7),59:59)</f>
        <v>95</v>
      </c>
      <c r="G7" s="1017">
        <v>42958</v>
      </c>
      <c r="H7" s="754">
        <f>SUMIF(58:58,YEAR(G7)&amp;"-"&amp;MONTH(G7),59:59)</f>
        <v>98</v>
      </c>
      <c r="I7" s="1017">
        <v>42940</v>
      </c>
      <c r="J7" s="754">
        <f>SUMIF(58:58,YEAR(I7)&amp;"-"&amp;MONTH(I7),59:59)</f>
        <v>97</v>
      </c>
      <c r="K7" s="1019"/>
      <c r="L7" s="2297"/>
      <c r="M7" s="2259"/>
      <c r="N7" s="2259"/>
      <c r="O7" s="2259"/>
      <c r="P7" s="3610" t="s">
        <v>61</v>
      </c>
      <c r="Q7" s="3638"/>
      <c r="R7" s="1342" t="s">
        <v>62</v>
      </c>
      <c r="S7" s="1343">
        <f t="shared" ref="S7:S15" si="0">F7</f>
        <v>95</v>
      </c>
      <c r="T7" s="1342" t="s">
        <v>62</v>
      </c>
      <c r="U7" s="1343">
        <f t="shared" ref="U7:U15" si="1">H7</f>
        <v>98</v>
      </c>
      <c r="V7" s="1342" t="s">
        <v>62</v>
      </c>
      <c r="W7" s="1343">
        <f t="shared" ref="W7:W15" si="2">J7</f>
        <v>97</v>
      </c>
      <c r="X7" s="287"/>
      <c r="Y7" s="3610" t="s">
        <v>61</v>
      </c>
      <c r="Z7" s="3611"/>
      <c r="AA7" s="1344">
        <f>D7/F7</f>
        <v>1.0526315789473684</v>
      </c>
      <c r="AB7" s="1344">
        <f>D7/H7</f>
        <v>1.0204081632653061</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1015</v>
      </c>
      <c r="Q8" s="3611"/>
      <c r="R8" s="1342" t="s">
        <v>62</v>
      </c>
      <c r="S8" s="1343">
        <f t="shared" si="0"/>
        <v>100</v>
      </c>
      <c r="T8" s="1342" t="s">
        <v>62</v>
      </c>
      <c r="U8" s="1343">
        <f t="shared" si="1"/>
        <v>100</v>
      </c>
      <c r="V8" s="1342" t="s">
        <v>62</v>
      </c>
      <c r="W8" s="1343">
        <f t="shared" si="2"/>
        <v>100</v>
      </c>
      <c r="X8" s="287"/>
      <c r="Y8" s="3610" t="s">
        <v>1015</v>
      </c>
      <c r="Z8" s="3611"/>
      <c r="AA8" s="1344">
        <f t="shared" ref="AA8:AA46" si="3">D8/F8</f>
        <v>1</v>
      </c>
      <c r="AB8" s="1344">
        <f t="shared" ref="AB8:AB46" si="4">D8/H8</f>
        <v>1</v>
      </c>
      <c r="AC8" s="1344">
        <f t="shared" ref="AC8:AC46" si="5">D8/J8</f>
        <v>1</v>
      </c>
    </row>
    <row r="9" spans="1:29" s="40" customFormat="1" ht="14.25">
      <c r="A9" s="1021" t="s">
        <v>1016</v>
      </c>
      <c r="B9" s="62" t="s">
        <v>1017</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4"/>
      <c r="Q10" s="7" t="str">
        <f t="shared" si="6"/>
        <v>土地使用年限（年）</v>
      </c>
      <c r="R10" s="1342" t="s">
        <v>62</v>
      </c>
      <c r="S10" s="1343">
        <f t="shared" si="0"/>
        <v>102</v>
      </c>
      <c r="T10" s="1342" t="s">
        <v>62</v>
      </c>
      <c r="U10" s="1343">
        <f t="shared" si="1"/>
        <v>102</v>
      </c>
      <c r="V10" s="1342" t="s">
        <v>62</v>
      </c>
      <c r="W10" s="1343">
        <f t="shared" si="2"/>
        <v>100</v>
      </c>
      <c r="X10" s="287"/>
      <c r="Y10" s="3448"/>
      <c r="Z10" s="288" t="str">
        <f t="shared" si="7"/>
        <v>土地使用年限（年）</v>
      </c>
      <c r="AA10" s="1344">
        <f t="shared" si="3"/>
        <v>0.98039215686274506</v>
      </c>
      <c r="AB10" s="1344">
        <f t="shared" si="4"/>
        <v>0.98039215686274506</v>
      </c>
      <c r="AC10" s="1344">
        <f t="shared" si="5"/>
        <v>1</v>
      </c>
    </row>
    <row r="11" spans="1:29" ht="15">
      <c r="A11" s="151"/>
      <c r="B11" s="12" t="s">
        <v>90</v>
      </c>
      <c r="C11" s="772">
        <f>'数据-汇总表'!I5</f>
        <v>4.87</v>
      </c>
      <c r="D11" s="426">
        <v>100</v>
      </c>
      <c r="E11" s="773">
        <v>1.29</v>
      </c>
      <c r="F11" s="768">
        <f>LOOKUP(E11,68:68,69:69)-LOOKUP(C11,68:68,69:69)+100</f>
        <v>106</v>
      </c>
      <c r="G11" s="772">
        <v>1.29</v>
      </c>
      <c r="H11" s="426">
        <f>LOOKUP(G11,68:68,69:69)-LOOKUP(C11,68:68,69:69)+100</f>
        <v>106</v>
      </c>
      <c r="I11" s="772">
        <v>1.34</v>
      </c>
      <c r="J11" s="426">
        <f>LOOKUP(I11,68:68,69:69)-LOOKUP(C11,68:68,69:69)+100</f>
        <v>106</v>
      </c>
      <c r="K11" s="955">
        <v>2</v>
      </c>
      <c r="L11" s="2300"/>
      <c r="M11" s="2296"/>
      <c r="N11" s="2296"/>
      <c r="O11" s="2296"/>
      <c r="P11" s="3624"/>
      <c r="Q11" s="7" t="str">
        <f t="shared" si="6"/>
        <v>容积率</v>
      </c>
      <c r="R11" s="1342" t="s">
        <v>62</v>
      </c>
      <c r="S11" s="1343">
        <f t="shared" si="0"/>
        <v>106</v>
      </c>
      <c r="T11" s="1342" t="s">
        <v>62</v>
      </c>
      <c r="U11" s="1343">
        <f t="shared" si="1"/>
        <v>106</v>
      </c>
      <c r="V11" s="1342" t="s">
        <v>62</v>
      </c>
      <c r="W11" s="1343">
        <f t="shared" si="2"/>
        <v>106</v>
      </c>
      <c r="X11" s="287"/>
      <c r="Y11" s="3448"/>
      <c r="Z11" s="288"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7">
        <f t="shared" si="6"/>
        <v>0</v>
      </c>
      <c r="R12" s="1342" t="s">
        <v>62</v>
      </c>
      <c r="S12" s="1343">
        <f t="shared" si="0"/>
        <v>100</v>
      </c>
      <c r="T12" s="1342" t="s">
        <v>62</v>
      </c>
      <c r="U12" s="1343">
        <f t="shared" si="1"/>
        <v>100</v>
      </c>
      <c r="V12" s="1342" t="s">
        <v>62</v>
      </c>
      <c r="W12" s="1343">
        <f t="shared" si="2"/>
        <v>100</v>
      </c>
      <c r="X12" s="287"/>
      <c r="Y12" s="3448"/>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7">
        <f t="shared" si="6"/>
        <v>0</v>
      </c>
      <c r="R13" s="1342" t="s">
        <v>62</v>
      </c>
      <c r="S13" s="1343">
        <f t="shared" si="0"/>
        <v>100</v>
      </c>
      <c r="T13" s="1342" t="s">
        <v>62</v>
      </c>
      <c r="U13" s="1343">
        <f t="shared" si="1"/>
        <v>100</v>
      </c>
      <c r="V13" s="1342" t="s">
        <v>62</v>
      </c>
      <c r="W13" s="1343">
        <f t="shared" si="2"/>
        <v>100</v>
      </c>
      <c r="X13" s="287"/>
      <c r="Y13" s="3448"/>
      <c r="Z13" s="28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7">
        <f t="shared" si="6"/>
        <v>0</v>
      </c>
      <c r="R14" s="1342" t="s">
        <v>62</v>
      </c>
      <c r="S14" s="1343">
        <f t="shared" si="0"/>
        <v>100</v>
      </c>
      <c r="T14" s="1342" t="s">
        <v>62</v>
      </c>
      <c r="U14" s="1343">
        <f t="shared" si="1"/>
        <v>100</v>
      </c>
      <c r="V14" s="1342" t="s">
        <v>62</v>
      </c>
      <c r="W14" s="1343">
        <f t="shared" si="2"/>
        <v>100</v>
      </c>
      <c r="X14" s="287"/>
      <c r="Y14" s="3448"/>
      <c r="Z14" s="28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51" t="s">
        <v>66</v>
      </c>
      <c r="Q15" s="1351" t="str">
        <f t="shared" si="6"/>
        <v>商业繁华度</v>
      </c>
      <c r="R15" s="1352" t="s">
        <v>62</v>
      </c>
      <c r="S15" s="1353">
        <f t="shared" si="0"/>
        <v>102</v>
      </c>
      <c r="T15" s="1352" t="s">
        <v>62</v>
      </c>
      <c r="U15" s="1353">
        <f t="shared" si="1"/>
        <v>102</v>
      </c>
      <c r="V15" s="1352" t="s">
        <v>62</v>
      </c>
      <c r="W15" s="1353">
        <f t="shared" si="2"/>
        <v>102</v>
      </c>
      <c r="X15" s="1340"/>
      <c r="Y15" s="3644" t="s">
        <v>66</v>
      </c>
      <c r="Z15" s="1354" t="str">
        <f t="shared" si="7"/>
        <v>商业繁华度</v>
      </c>
      <c r="AA15" s="1355">
        <f t="shared" si="3"/>
        <v>0.98039215686274506</v>
      </c>
      <c r="AB15" s="1355">
        <f t="shared" si="4"/>
        <v>0.98039215686274506</v>
      </c>
      <c r="AC15" s="1355">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52"/>
      <c r="Q16" s="1351"/>
      <c r="R16" s="1352"/>
      <c r="S16" s="1353"/>
      <c r="T16" s="1352"/>
      <c r="U16" s="1353"/>
      <c r="V16" s="1352"/>
      <c r="W16" s="1353"/>
      <c r="X16" s="1340"/>
      <c r="Y16" s="3645"/>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52"/>
      <c r="Q17" s="1351" t="str">
        <f>B17</f>
        <v>交通便捷度</v>
      </c>
      <c r="R17" s="1352" t="s">
        <v>62</v>
      </c>
      <c r="S17" s="1353">
        <f>F17</f>
        <v>100</v>
      </c>
      <c r="T17" s="1352" t="s">
        <v>62</v>
      </c>
      <c r="U17" s="1353">
        <f>H17</f>
        <v>100</v>
      </c>
      <c r="V17" s="1352" t="s">
        <v>62</v>
      </c>
      <c r="W17" s="1353">
        <f>J17</f>
        <v>100</v>
      </c>
      <c r="X17" s="1340"/>
      <c r="Y17" s="3645"/>
      <c r="Z17" s="1354" t="str">
        <f>Q17</f>
        <v>交通便捷度</v>
      </c>
      <c r="AA17" s="1355">
        <f t="shared" si="3"/>
        <v>1</v>
      </c>
      <c r="AB17" s="1355">
        <f t="shared" si="4"/>
        <v>1</v>
      </c>
      <c r="AC17" s="1355">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52"/>
      <c r="Q18" s="1351"/>
      <c r="R18" s="1352"/>
      <c r="S18" s="1353"/>
      <c r="T18" s="1352"/>
      <c r="U18" s="1353"/>
      <c r="V18" s="1352"/>
      <c r="W18" s="1353"/>
      <c r="X18" s="1340"/>
      <c r="Y18" s="3645"/>
      <c r="Z18" s="1354"/>
      <c r="AA18" s="1355">
        <v>1</v>
      </c>
      <c r="AB18" s="1355">
        <v>1</v>
      </c>
      <c r="AC18" s="1355">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52"/>
      <c r="Q19" s="1351" t="str">
        <f>B19</f>
        <v>公共配套设施</v>
      </c>
      <c r="R19" s="1352" t="s">
        <v>62</v>
      </c>
      <c r="S19" s="1353">
        <f>F19</f>
        <v>100</v>
      </c>
      <c r="T19" s="1352" t="s">
        <v>62</v>
      </c>
      <c r="U19" s="1353">
        <f>H19</f>
        <v>100</v>
      </c>
      <c r="V19" s="1352" t="s">
        <v>62</v>
      </c>
      <c r="W19" s="1353">
        <f>J19</f>
        <v>100</v>
      </c>
      <c r="X19" s="1340"/>
      <c r="Y19" s="3645"/>
      <c r="Z19" s="1354" t="str">
        <f>Q19</f>
        <v>公共配套设施</v>
      </c>
      <c r="AA19" s="1355">
        <f t="shared" si="3"/>
        <v>1</v>
      </c>
      <c r="AB19" s="1355">
        <f t="shared" si="4"/>
        <v>1</v>
      </c>
      <c r="AC19" s="1355">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52"/>
      <c r="Q20" s="1351"/>
      <c r="R20" s="1352"/>
      <c r="S20" s="1353"/>
      <c r="T20" s="1352"/>
      <c r="U20" s="1353"/>
      <c r="V20" s="1352"/>
      <c r="W20" s="1353"/>
      <c r="X20" s="1340"/>
      <c r="Y20" s="3645"/>
      <c r="Z20" s="1354"/>
      <c r="AA20" s="1355">
        <v>1</v>
      </c>
      <c r="AB20" s="1355">
        <v>1</v>
      </c>
      <c r="AC20" s="1355">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52"/>
      <c r="Q22" s="2746"/>
      <c r="R22" s="1352"/>
      <c r="S22" s="1353"/>
      <c r="T22" s="1352"/>
      <c r="U22" s="1353"/>
      <c r="V22" s="1352"/>
      <c r="W22" s="1353"/>
      <c r="X22" s="2748"/>
      <c r="Y22" s="3645"/>
      <c r="Z22" s="2747"/>
      <c r="AA22" s="1355">
        <v>1</v>
      </c>
      <c r="AB22" s="1355">
        <v>1</v>
      </c>
      <c r="AC22" s="1355">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52"/>
      <c r="Q23" s="1351" t="str">
        <f>B23</f>
        <v>自然及人文环境</v>
      </c>
      <c r="R23" s="1352" t="s">
        <v>62</v>
      </c>
      <c r="S23" s="1353">
        <f>F23</f>
        <v>100</v>
      </c>
      <c r="T23" s="1352" t="s">
        <v>62</v>
      </c>
      <c r="U23" s="1353">
        <f>H23</f>
        <v>100</v>
      </c>
      <c r="V23" s="1352" t="s">
        <v>62</v>
      </c>
      <c r="W23" s="1353">
        <f>J23</f>
        <v>100</v>
      </c>
      <c r="X23" s="1340"/>
      <c r="Y23" s="3645"/>
      <c r="Z23" s="1354" t="str">
        <f>Q23</f>
        <v>自然及人文环境</v>
      </c>
      <c r="AA23" s="1355">
        <f t="shared" si="3"/>
        <v>1</v>
      </c>
      <c r="AB23" s="1355">
        <f t="shared" si="4"/>
        <v>1</v>
      </c>
      <c r="AC23" s="1355">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52"/>
      <c r="Q24" s="1351"/>
      <c r="R24" s="1352"/>
      <c r="S24" s="1353"/>
      <c r="T24" s="1352"/>
      <c r="U24" s="1353"/>
      <c r="V24" s="1352"/>
      <c r="W24" s="1353"/>
      <c r="X24" s="1340"/>
      <c r="Y24" s="3645"/>
      <c r="Z24" s="1354"/>
      <c r="AA24" s="1355">
        <v>1</v>
      </c>
      <c r="AB24" s="1355">
        <v>1</v>
      </c>
      <c r="AC24" s="1355">
        <v>1</v>
      </c>
    </row>
    <row r="25" spans="1:29" ht="15">
      <c r="A25" s="151"/>
      <c r="B25" s="12" t="s">
        <v>128</v>
      </c>
      <c r="C25" s="182" t="s">
        <v>3121</v>
      </c>
      <c r="D25" s="778">
        <v>100</v>
      </c>
      <c r="E25" s="182" t="s">
        <v>3121</v>
      </c>
      <c r="F25" s="804">
        <f>SUMIF(86:86,E25,87:87)-SUMIF(86:86,C25,87:87)+100</f>
        <v>100</v>
      </c>
      <c r="G25" s="182" t="s">
        <v>3121</v>
      </c>
      <c r="H25" s="778">
        <f>SUMIF(86:86,G25,87:87)-SUMIF(86:86,C25,87:87)+100</f>
        <v>100</v>
      </c>
      <c r="I25" s="182" t="s">
        <v>3121</v>
      </c>
      <c r="J25" s="778">
        <f>SUMIF(86:86,I25,87:87)-SUMIF(86:86,C25,87:87)+100</f>
        <v>100</v>
      </c>
      <c r="K25" s="955">
        <v>2</v>
      </c>
      <c r="L25" s="2301"/>
      <c r="M25" s="2296"/>
      <c r="N25" s="2296"/>
      <c r="O25" s="2296"/>
      <c r="P25" s="3652"/>
      <c r="Q25" s="1351" t="str">
        <f t="shared" ref="Q25:Q46" si="11">B25</f>
        <v>临街状况</v>
      </c>
      <c r="R25" s="1352" t="s">
        <v>62</v>
      </c>
      <c r="S25" s="1353">
        <f>F25</f>
        <v>100</v>
      </c>
      <c r="T25" s="1352" t="s">
        <v>62</v>
      </c>
      <c r="U25" s="1353">
        <f>H25</f>
        <v>100</v>
      </c>
      <c r="V25" s="1352" t="s">
        <v>62</v>
      </c>
      <c r="W25" s="1353">
        <f>J25</f>
        <v>100</v>
      </c>
      <c r="X25" s="1340"/>
      <c r="Y25" s="3645"/>
      <c r="Z25" s="1354" t="str">
        <f>Q25</f>
        <v>临街状况</v>
      </c>
      <c r="AA25" s="1355">
        <f t="shared" si="3"/>
        <v>1</v>
      </c>
      <c r="AB25" s="1355">
        <f t="shared" si="4"/>
        <v>1</v>
      </c>
      <c r="AC25" s="1355">
        <f t="shared" si="5"/>
        <v>1</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52"/>
      <c r="Q26" s="1351" t="str">
        <f t="shared" si="11"/>
        <v>平面位置/可视性</v>
      </c>
      <c r="R26" s="1352" t="s">
        <v>62</v>
      </c>
      <c r="S26" s="1353">
        <f>F26</f>
        <v>100</v>
      </c>
      <c r="T26" s="1352" t="s">
        <v>62</v>
      </c>
      <c r="U26" s="1353">
        <f>H26</f>
        <v>100</v>
      </c>
      <c r="V26" s="1352" t="s">
        <v>62</v>
      </c>
      <c r="W26" s="1353">
        <f>J26</f>
        <v>100</v>
      </c>
      <c r="X26" s="1340"/>
      <c r="Y26" s="3645"/>
      <c r="Z26" s="1354" t="str">
        <f>Q26</f>
        <v>平面位置/可视性</v>
      </c>
      <c r="AA26" s="1355">
        <f t="shared" si="3"/>
        <v>1</v>
      </c>
      <c r="AB26" s="1355">
        <f t="shared" si="4"/>
        <v>1</v>
      </c>
      <c r="AC26" s="1355">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52"/>
      <c r="Q27" s="7" t="str">
        <f t="shared" si="11"/>
        <v>人流量</v>
      </c>
      <c r="R27" s="1342" t="s">
        <v>62</v>
      </c>
      <c r="S27" s="1343">
        <f>F27</f>
        <v>102</v>
      </c>
      <c r="T27" s="1342" t="s">
        <v>62</v>
      </c>
      <c r="U27" s="1343">
        <f>H27</f>
        <v>102</v>
      </c>
      <c r="V27" s="1342" t="s">
        <v>62</v>
      </c>
      <c r="W27" s="1343">
        <f>J27</f>
        <v>102</v>
      </c>
      <c r="X27" s="287"/>
      <c r="Y27" s="3645"/>
      <c r="Z27" s="288" t="str">
        <f>Q27</f>
        <v>人流量</v>
      </c>
      <c r="AA27" s="1355">
        <f>D27/F27</f>
        <v>0.98039215686274506</v>
      </c>
      <c r="AB27" s="1355">
        <f>D27/H27</f>
        <v>0.98039215686274506</v>
      </c>
      <c r="AC27" s="1355">
        <f>D27/J27</f>
        <v>0.98039215686274506</v>
      </c>
    </row>
    <row r="28" spans="1:29" ht="15" thickBot="1">
      <c r="A28" s="151"/>
      <c r="B28" s="12" t="s">
        <v>129</v>
      </c>
      <c r="C28" s="182">
        <v>3</v>
      </c>
      <c r="D28" s="778">
        <v>100</v>
      </c>
      <c r="E28" s="182">
        <v>1</v>
      </c>
      <c r="F28" s="804">
        <f>SUMIF(92:92,E28,93:93)-SUMIF(92:92,C28,93:93)+100</f>
        <v>115</v>
      </c>
      <c r="G28" s="182">
        <v>1</v>
      </c>
      <c r="H28" s="778">
        <f>SUMIF(92:92,G28,93:93)-SUMIF(92:92,C28,93:93)+100</f>
        <v>115</v>
      </c>
      <c r="I28" s="182">
        <v>1</v>
      </c>
      <c r="J28" s="778">
        <f>SUMIF(92:92,I28,93:93)-SUMIF(92:92,C28,93:93)+100</f>
        <v>115</v>
      </c>
      <c r="K28" s="188"/>
      <c r="L28" s="2301"/>
      <c r="M28" s="2296"/>
      <c r="N28" s="2296"/>
      <c r="O28" s="2296"/>
      <c r="P28" s="3652"/>
      <c r="Q28" s="1351" t="str">
        <f t="shared" si="11"/>
        <v>楼层</v>
      </c>
      <c r="R28" s="1352" t="s">
        <v>62</v>
      </c>
      <c r="S28" s="1353">
        <f t="shared" ref="S28:S46" si="12">F28</f>
        <v>115</v>
      </c>
      <c r="T28" s="1352" t="s">
        <v>62</v>
      </c>
      <c r="U28" s="1353">
        <f t="shared" ref="U28:U46" si="13">H28</f>
        <v>115</v>
      </c>
      <c r="V28" s="1352" t="s">
        <v>62</v>
      </c>
      <c r="W28" s="1353">
        <f t="shared" ref="W28:W46" si="14">J28</f>
        <v>115</v>
      </c>
      <c r="X28" s="1340"/>
      <c r="Y28" s="3645"/>
      <c r="Z28" s="1354" t="str">
        <f t="shared" ref="Z28:Z46" si="15">Q28</f>
        <v>楼层</v>
      </c>
      <c r="AA28" s="1355">
        <f t="shared" si="3"/>
        <v>0.86956521739130432</v>
      </c>
      <c r="AB28" s="1355">
        <f t="shared" si="4"/>
        <v>0.86956521739130432</v>
      </c>
      <c r="AC28" s="1355">
        <f t="shared" si="5"/>
        <v>0.86956521739130432</v>
      </c>
    </row>
    <row r="29" spans="1:29" ht="14.25" hidden="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1351">
        <f t="shared" si="11"/>
        <v>0</v>
      </c>
      <c r="R29" s="1352" t="s">
        <v>62</v>
      </c>
      <c r="S29" s="1353">
        <f t="shared" si="12"/>
        <v>100</v>
      </c>
      <c r="T29" s="1352" t="s">
        <v>62</v>
      </c>
      <c r="U29" s="1353">
        <f t="shared" si="13"/>
        <v>100</v>
      </c>
      <c r="V29" s="1352" t="s">
        <v>62</v>
      </c>
      <c r="W29" s="1353">
        <f t="shared" si="14"/>
        <v>100</v>
      </c>
      <c r="X29" s="1340"/>
      <c r="Y29" s="3645"/>
      <c r="Z29" s="1354">
        <f t="shared" si="15"/>
        <v>0</v>
      </c>
      <c r="AA29" s="1355">
        <f t="shared" si="3"/>
        <v>1</v>
      </c>
      <c r="AB29" s="1355">
        <f t="shared" si="4"/>
        <v>1</v>
      </c>
      <c r="AC29" s="1355">
        <f t="shared" si="5"/>
        <v>1</v>
      </c>
    </row>
    <row r="30" spans="1:29" ht="14.25" hidden="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1351">
        <f t="shared" si="11"/>
        <v>0</v>
      </c>
      <c r="R30" s="1352" t="s">
        <v>62</v>
      </c>
      <c r="S30" s="1353">
        <f t="shared" si="12"/>
        <v>100</v>
      </c>
      <c r="T30" s="1352" t="s">
        <v>62</v>
      </c>
      <c r="U30" s="1353">
        <f t="shared" si="13"/>
        <v>100</v>
      </c>
      <c r="V30" s="1352" t="s">
        <v>62</v>
      </c>
      <c r="W30" s="1353">
        <f t="shared" si="14"/>
        <v>100</v>
      </c>
      <c r="X30" s="1340"/>
      <c r="Y30" s="3645"/>
      <c r="Z30" s="1354">
        <f t="shared" si="15"/>
        <v>0</v>
      </c>
      <c r="AA30" s="1355">
        <f t="shared" si="3"/>
        <v>1</v>
      </c>
      <c r="AB30" s="1355">
        <f t="shared" si="4"/>
        <v>1</v>
      </c>
      <c r="AC30" s="1355">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1351">
        <f t="shared" si="11"/>
        <v>0</v>
      </c>
      <c r="R31" s="1352" t="s">
        <v>62</v>
      </c>
      <c r="S31" s="1353">
        <f t="shared" si="12"/>
        <v>100</v>
      </c>
      <c r="T31" s="1352" t="s">
        <v>62</v>
      </c>
      <c r="U31" s="1353">
        <f t="shared" si="13"/>
        <v>100</v>
      </c>
      <c r="V31" s="1352" t="s">
        <v>62</v>
      </c>
      <c r="W31" s="1353">
        <f t="shared" si="14"/>
        <v>100</v>
      </c>
      <c r="X31" s="1340"/>
      <c r="Y31" s="3645"/>
      <c r="Z31" s="1354">
        <f t="shared" si="15"/>
        <v>0</v>
      </c>
      <c r="AA31" s="1355">
        <f t="shared" si="3"/>
        <v>1</v>
      </c>
      <c r="AB31" s="1355">
        <f t="shared" si="4"/>
        <v>1</v>
      </c>
      <c r="AC31" s="1355">
        <f t="shared" si="5"/>
        <v>1</v>
      </c>
    </row>
    <row r="32" spans="1:29" ht="15">
      <c r="A32" s="155" t="s">
        <v>1020</v>
      </c>
      <c r="B32" s="62" t="s">
        <v>1021</v>
      </c>
      <c r="C32" s="110" t="s">
        <v>3056</v>
      </c>
      <c r="D32" s="810">
        <v>100</v>
      </c>
      <c r="E32" s="110" t="s">
        <v>3162</v>
      </c>
      <c r="F32" s="804">
        <f>SUMIF(100:100,E32,101:101)-SUMIF(100:100,C32,101:101)+100</f>
        <v>97</v>
      </c>
      <c r="G32" s="110" t="s">
        <v>3162</v>
      </c>
      <c r="H32" s="778">
        <f>SUMIF(100:100,G32,101:101)-SUMIF(100:100,C32,101:101)+100</f>
        <v>97</v>
      </c>
      <c r="I32" s="110" t="s">
        <v>3164</v>
      </c>
      <c r="J32" s="810">
        <f>SUMIF(100:100,I32,101:101)-SUMIF(100:100,C32,101:101)+100</f>
        <v>94</v>
      </c>
      <c r="K32" s="955">
        <v>3</v>
      </c>
      <c r="L32" s="2301"/>
      <c r="M32" s="2296"/>
      <c r="N32" s="2296"/>
      <c r="O32" s="2296"/>
      <c r="P32" s="3646" t="s">
        <v>1022</v>
      </c>
      <c r="Q32" s="1351" t="str">
        <f t="shared" si="11"/>
        <v>商业类型</v>
      </c>
      <c r="R32" s="1352" t="s">
        <v>62</v>
      </c>
      <c r="S32" s="1353">
        <f t="shared" si="12"/>
        <v>97</v>
      </c>
      <c r="T32" s="1352" t="s">
        <v>62</v>
      </c>
      <c r="U32" s="1353">
        <f t="shared" si="13"/>
        <v>97</v>
      </c>
      <c r="V32" s="1352" t="s">
        <v>62</v>
      </c>
      <c r="W32" s="1353">
        <f t="shared" si="14"/>
        <v>94</v>
      </c>
      <c r="X32" s="1340"/>
      <c r="Y32" s="3649" t="s">
        <v>1022</v>
      </c>
      <c r="Z32" s="1354" t="str">
        <f t="shared" si="15"/>
        <v>商业类型</v>
      </c>
      <c r="AA32" s="1355">
        <f t="shared" si="3"/>
        <v>1.0309278350515463</v>
      </c>
      <c r="AB32" s="1355">
        <f t="shared" si="4"/>
        <v>1.0309278350515463</v>
      </c>
      <c r="AC32" s="1355">
        <f t="shared" si="5"/>
        <v>1.0638297872340425</v>
      </c>
    </row>
    <row r="33" spans="1:29" s="1039" customFormat="1" ht="14.25">
      <c r="A33" s="1043"/>
      <c r="B33" s="12"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1355">
        <f t="shared" si="3"/>
        <v>1</v>
      </c>
      <c r="AB33" s="1355">
        <f t="shared" si="4"/>
        <v>1</v>
      </c>
      <c r="AC33" s="1355">
        <f t="shared" si="5"/>
        <v>1</v>
      </c>
    </row>
    <row r="34" spans="1:29" ht="15">
      <c r="A34" s="161"/>
      <c r="B34" s="12"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7"/>
      <c r="Q34" s="1351" t="str">
        <f t="shared" si="11"/>
        <v>建筑结构</v>
      </c>
      <c r="R34" s="1352" t="s">
        <v>62</v>
      </c>
      <c r="S34" s="1353">
        <f t="shared" si="12"/>
        <v>100</v>
      </c>
      <c r="T34" s="1352" t="s">
        <v>62</v>
      </c>
      <c r="U34" s="1353">
        <f t="shared" si="13"/>
        <v>100</v>
      </c>
      <c r="V34" s="1352" t="s">
        <v>62</v>
      </c>
      <c r="W34" s="1353">
        <f t="shared" si="14"/>
        <v>100</v>
      </c>
      <c r="X34" s="1340"/>
      <c r="Y34" s="3649"/>
      <c r="Z34" s="1354" t="str">
        <f t="shared" si="15"/>
        <v>建筑结构</v>
      </c>
      <c r="AA34" s="1355">
        <f t="shared" si="3"/>
        <v>1</v>
      </c>
      <c r="AB34" s="1355">
        <f t="shared" si="4"/>
        <v>1</v>
      </c>
      <c r="AC34" s="1355">
        <f t="shared" si="5"/>
        <v>1</v>
      </c>
    </row>
    <row r="35" spans="1:29" ht="15">
      <c r="A35" s="161"/>
      <c r="B35" s="12" t="s">
        <v>1023</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7"/>
      <c r="Q35" s="1351" t="str">
        <f t="shared" si="11"/>
        <v>公共部分装修</v>
      </c>
      <c r="R35" s="1352" t="s">
        <v>62</v>
      </c>
      <c r="S35" s="1353">
        <f t="shared" si="12"/>
        <v>100</v>
      </c>
      <c r="T35" s="1352" t="s">
        <v>62</v>
      </c>
      <c r="U35" s="1353">
        <f t="shared" si="13"/>
        <v>100</v>
      </c>
      <c r="V35" s="1352" t="s">
        <v>62</v>
      </c>
      <c r="W35" s="1353">
        <f t="shared" si="14"/>
        <v>100</v>
      </c>
      <c r="X35" s="1340"/>
      <c r="Y35" s="3649"/>
      <c r="Z35" s="1354" t="str">
        <f t="shared" si="15"/>
        <v>公共部分装修</v>
      </c>
      <c r="AA35" s="1355">
        <f t="shared" si="3"/>
        <v>1</v>
      </c>
      <c r="AB35" s="1355">
        <f t="shared" si="4"/>
        <v>1</v>
      </c>
      <c r="AC35" s="1355">
        <f t="shared" si="5"/>
        <v>1</v>
      </c>
    </row>
    <row r="36" spans="1:29" ht="15">
      <c r="A36" s="161"/>
      <c r="B36" s="12" t="s">
        <v>1024</v>
      </c>
      <c r="C36" s="3380">
        <f>'数据-取费表'!N6</f>
        <v>0.9</v>
      </c>
      <c r="D36" s="778">
        <v>100</v>
      </c>
      <c r="E36" s="817">
        <f>ROUND(1-(2017-2015)/60,2)</f>
        <v>0.97</v>
      </c>
      <c r="F36" s="804">
        <f>LOOKUP(E36,110:110,111:111)-LOOKUP(C36,110:110,111:111)+100</f>
        <v>100</v>
      </c>
      <c r="G36" s="817">
        <f>E36</f>
        <v>0.97</v>
      </c>
      <c r="H36" s="804">
        <f>LOOKUP(G36,110:110,111:111)-LOOKUP(C36,110:110,111:111)+100</f>
        <v>100</v>
      </c>
      <c r="I36" s="3380">
        <f>ROUND(1-(2017-2011)/60,2)</f>
        <v>0.9</v>
      </c>
      <c r="J36" s="778">
        <f>LOOKUP(I36,110:110,111:111)-LOOKUP(C36,110:110,111:111)+100</f>
        <v>100</v>
      </c>
      <c r="K36" s="955">
        <v>2</v>
      </c>
      <c r="L36" s="2301"/>
      <c r="M36" s="2296"/>
      <c r="N36" s="2296"/>
      <c r="O36" s="2296"/>
      <c r="P36" s="3647"/>
      <c r="Q36" s="1351" t="str">
        <f t="shared" si="11"/>
        <v>成新度</v>
      </c>
      <c r="R36" s="1352" t="s">
        <v>62</v>
      </c>
      <c r="S36" s="1353">
        <f t="shared" si="12"/>
        <v>100</v>
      </c>
      <c r="T36" s="1352" t="s">
        <v>62</v>
      </c>
      <c r="U36" s="1353">
        <f t="shared" si="13"/>
        <v>100</v>
      </c>
      <c r="V36" s="1352" t="s">
        <v>62</v>
      </c>
      <c r="W36" s="1353">
        <f t="shared" si="14"/>
        <v>100</v>
      </c>
      <c r="X36" s="1340"/>
      <c r="Y36" s="3649"/>
      <c r="Z36" s="1354" t="str">
        <f t="shared" si="15"/>
        <v>成新度</v>
      </c>
      <c r="AA36" s="1355">
        <f t="shared" si="3"/>
        <v>1</v>
      </c>
      <c r="AB36" s="1355">
        <f t="shared" si="4"/>
        <v>1</v>
      </c>
      <c r="AC36" s="1355">
        <f t="shared" si="5"/>
        <v>1</v>
      </c>
    </row>
    <row r="37" spans="1:29" s="40" customFormat="1" ht="15">
      <c r="A37" s="1041"/>
      <c r="B37" s="12" t="s">
        <v>2643</v>
      </c>
      <c r="C37" s="109" t="s">
        <v>3145</v>
      </c>
      <c r="D37" s="426">
        <v>100</v>
      </c>
      <c r="E37" s="109" t="s">
        <v>3145</v>
      </c>
      <c r="F37" s="804">
        <f>SUMIF(112:112,E37,113:113)-SUMIF(112:112,C37,113:113)+100</f>
        <v>100</v>
      </c>
      <c r="G37" s="109" t="s">
        <v>3145</v>
      </c>
      <c r="H37" s="778">
        <f>SUMIF(112:112,G37,113:113)-SUMIF(112:112,C37,113:113)+100</f>
        <v>100</v>
      </c>
      <c r="I37" s="109" t="s">
        <v>3143</v>
      </c>
      <c r="J37" s="778">
        <f>SUMIF(112:112,I37,113:113)-SUMIF(112:112,C37,113:113)+100</f>
        <v>102</v>
      </c>
      <c r="K37" s="955">
        <v>2</v>
      </c>
      <c r="L37" s="2297"/>
      <c r="M37" s="2259"/>
      <c r="N37" s="2259"/>
      <c r="O37" s="2259"/>
      <c r="P37" s="3647"/>
      <c r="Q37" s="7" t="str">
        <f t="shared" si="11"/>
        <v>市政基础设施</v>
      </c>
      <c r="R37" s="1342" t="s">
        <v>62</v>
      </c>
      <c r="S37" s="1343">
        <f t="shared" si="12"/>
        <v>100</v>
      </c>
      <c r="T37" s="1342" t="s">
        <v>62</v>
      </c>
      <c r="U37" s="1343">
        <f t="shared" si="13"/>
        <v>100</v>
      </c>
      <c r="V37" s="1342" t="s">
        <v>62</v>
      </c>
      <c r="W37" s="1343">
        <f t="shared" si="14"/>
        <v>102</v>
      </c>
      <c r="X37" s="287"/>
      <c r="Y37" s="3649"/>
      <c r="Z37" s="288" t="str">
        <f t="shared" si="15"/>
        <v>市政基础设施</v>
      </c>
      <c r="AA37" s="1344">
        <f t="shared" si="3"/>
        <v>1</v>
      </c>
      <c r="AB37" s="1344">
        <f t="shared" si="4"/>
        <v>1</v>
      </c>
      <c r="AC37" s="1344">
        <f t="shared" si="5"/>
        <v>0.98039215686274506</v>
      </c>
    </row>
    <row r="38" spans="1:29" ht="15">
      <c r="A38" s="161"/>
      <c r="B38" s="12"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7" t="s">
        <v>1025</v>
      </c>
      <c r="Q38" s="1351" t="str">
        <f t="shared" si="11"/>
        <v>业态</v>
      </c>
      <c r="R38" s="1352" t="s">
        <v>62</v>
      </c>
      <c r="S38" s="1353">
        <f t="shared" si="12"/>
        <v>100</v>
      </c>
      <c r="T38" s="1352" t="s">
        <v>62</v>
      </c>
      <c r="U38" s="1353">
        <f t="shared" si="13"/>
        <v>100</v>
      </c>
      <c r="V38" s="1352" t="s">
        <v>62</v>
      </c>
      <c r="W38" s="1353">
        <f t="shared" si="14"/>
        <v>100</v>
      </c>
      <c r="X38" s="1340"/>
      <c r="Y38" s="3649" t="s">
        <v>1025</v>
      </c>
      <c r="Z38" s="1354" t="str">
        <f t="shared" si="15"/>
        <v>业态</v>
      </c>
      <c r="AA38" s="1355">
        <f t="shared" si="3"/>
        <v>1</v>
      </c>
      <c r="AB38" s="1355">
        <f t="shared" si="4"/>
        <v>1</v>
      </c>
      <c r="AC38" s="1355">
        <f t="shared" si="5"/>
        <v>1</v>
      </c>
    </row>
    <row r="39" spans="1:29" ht="15">
      <c r="A39" s="161"/>
      <c r="B39" s="12" t="s">
        <v>1026</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7"/>
      <c r="Q39" s="1351" t="str">
        <f t="shared" si="11"/>
        <v>层高</v>
      </c>
      <c r="R39" s="1352" t="s">
        <v>62</v>
      </c>
      <c r="S39" s="1353">
        <f t="shared" si="12"/>
        <v>100</v>
      </c>
      <c r="T39" s="1352" t="s">
        <v>62</v>
      </c>
      <c r="U39" s="1353">
        <f t="shared" si="13"/>
        <v>100</v>
      </c>
      <c r="V39" s="1352" t="s">
        <v>62</v>
      </c>
      <c r="W39" s="1353">
        <f t="shared" si="14"/>
        <v>100</v>
      </c>
      <c r="X39" s="1340"/>
      <c r="Y39" s="3649"/>
      <c r="Z39" s="1354" t="str">
        <f t="shared" si="15"/>
        <v>层高</v>
      </c>
      <c r="AA39" s="1355">
        <f t="shared" si="3"/>
        <v>1</v>
      </c>
      <c r="AB39" s="1355">
        <f t="shared" si="4"/>
        <v>1</v>
      </c>
      <c r="AC39" s="1355">
        <f t="shared" si="5"/>
        <v>1</v>
      </c>
    </row>
    <row r="40" spans="1:29" ht="14.25">
      <c r="A40" s="161"/>
      <c r="B40" s="12" t="s">
        <v>1027</v>
      </c>
      <c r="C40" s="960" t="s">
        <v>3188</v>
      </c>
      <c r="D40" s="778">
        <v>100</v>
      </c>
      <c r="E40" s="961" t="s">
        <v>3167</v>
      </c>
      <c r="F40" s="804">
        <f>SUMIF(118:118,E40,119:119)-SUMIF(118:118,C40,119:119)+100</f>
        <v>111</v>
      </c>
      <c r="G40" s="961" t="s">
        <v>3167</v>
      </c>
      <c r="H40" s="778">
        <f>SUMIF(118:118,G40,119:119)-SUMIF(118:118,C40,119:119)+100</f>
        <v>111</v>
      </c>
      <c r="I40" s="960" t="s">
        <v>3186</v>
      </c>
      <c r="J40" s="778">
        <f>SUMIF(118:118,I40,119:119)-SUMIF(118:118,C40,119:119)+100</f>
        <v>108</v>
      </c>
      <c r="K40" s="188"/>
      <c r="L40" s="2301"/>
      <c r="M40" s="2296"/>
      <c r="N40" s="2296"/>
      <c r="O40" s="2296"/>
      <c r="P40" s="3647"/>
      <c r="Q40" s="1351" t="str">
        <f t="shared" si="11"/>
        <v>单套建筑面积</v>
      </c>
      <c r="R40" s="1352" t="s">
        <v>62</v>
      </c>
      <c r="S40" s="1353">
        <f t="shared" si="12"/>
        <v>111</v>
      </c>
      <c r="T40" s="1352" t="s">
        <v>62</v>
      </c>
      <c r="U40" s="1353">
        <f t="shared" si="13"/>
        <v>111</v>
      </c>
      <c r="V40" s="1352" t="s">
        <v>62</v>
      </c>
      <c r="W40" s="1353">
        <f t="shared" si="14"/>
        <v>108</v>
      </c>
      <c r="X40" s="1340"/>
      <c r="Y40" s="3649"/>
      <c r="Z40" s="1354" t="str">
        <f t="shared" si="15"/>
        <v>单套建筑面积</v>
      </c>
      <c r="AA40" s="1355">
        <f t="shared" si="3"/>
        <v>0.90090090090090091</v>
      </c>
      <c r="AB40" s="1355">
        <f t="shared" si="4"/>
        <v>0.90090090090090091</v>
      </c>
      <c r="AC40" s="1355">
        <f t="shared" si="5"/>
        <v>0.92592592592592593</v>
      </c>
    </row>
    <row r="41" spans="1:29" s="1039" customFormat="1" ht="15">
      <c r="A41" s="1043"/>
      <c r="B41" s="191"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1355">
        <f t="shared" si="3"/>
        <v>1</v>
      </c>
      <c r="AB41" s="1355">
        <f t="shared" si="4"/>
        <v>1</v>
      </c>
      <c r="AC41" s="1355">
        <f t="shared" si="5"/>
        <v>1</v>
      </c>
    </row>
    <row r="42" spans="1:29" ht="15">
      <c r="A42" s="161"/>
      <c r="B42" s="12" t="s">
        <v>1029</v>
      </c>
      <c r="C42" s="109" t="s">
        <v>3135</v>
      </c>
      <c r="D42" s="778">
        <v>100</v>
      </c>
      <c r="E42" s="109" t="s">
        <v>3140</v>
      </c>
      <c r="F42" s="804">
        <f>SUMIF(122:122,E42,123:123)-SUMIF(122:122,C42,123:123)+100</f>
        <v>94</v>
      </c>
      <c r="G42" s="109" t="s">
        <v>3140</v>
      </c>
      <c r="H42" s="778">
        <f>SUMIF(122:122,G42,123:123)-SUMIF(122:122,C42,123:123)+100</f>
        <v>94</v>
      </c>
      <c r="I42" s="109" t="s">
        <v>3135</v>
      </c>
      <c r="J42" s="778">
        <f>SUMIF(122:122,I42,123:123)-SUMIF(122:122,C42,123:123)+100</f>
        <v>100</v>
      </c>
      <c r="K42" s="955">
        <v>2</v>
      </c>
      <c r="L42" s="2301"/>
      <c r="M42" s="2296"/>
      <c r="N42" s="2296"/>
      <c r="O42" s="2296"/>
      <c r="P42" s="3647"/>
      <c r="Q42" s="1351" t="str">
        <f t="shared" si="11"/>
        <v>内部装修</v>
      </c>
      <c r="R42" s="1352" t="s">
        <v>62</v>
      </c>
      <c r="S42" s="1353">
        <f t="shared" si="12"/>
        <v>94</v>
      </c>
      <c r="T42" s="1352" t="s">
        <v>62</v>
      </c>
      <c r="U42" s="1353">
        <f t="shared" si="13"/>
        <v>94</v>
      </c>
      <c r="V42" s="1352" t="s">
        <v>62</v>
      </c>
      <c r="W42" s="1353">
        <f t="shared" si="14"/>
        <v>100</v>
      </c>
      <c r="X42" s="1340"/>
      <c r="Y42" s="3649"/>
      <c r="Z42" s="1354" t="str">
        <f t="shared" si="15"/>
        <v>内部装修</v>
      </c>
      <c r="AA42" s="1355">
        <f t="shared" si="3"/>
        <v>1.0638297872340425</v>
      </c>
      <c r="AB42" s="1355">
        <f t="shared" si="4"/>
        <v>1.0638297872340425</v>
      </c>
      <c r="AC42" s="1355">
        <f t="shared" si="5"/>
        <v>1</v>
      </c>
    </row>
    <row r="43" spans="1:29" ht="27.75" thickBot="1">
      <c r="A43" s="161"/>
      <c r="B43" s="12"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7"/>
      <c r="Q43" s="1351" t="str">
        <f t="shared" si="11"/>
        <v>内部装修维护情况</v>
      </c>
      <c r="R43" s="1352" t="s">
        <v>62</v>
      </c>
      <c r="S43" s="1353">
        <f t="shared" si="12"/>
        <v>100</v>
      </c>
      <c r="T43" s="1352" t="s">
        <v>62</v>
      </c>
      <c r="U43" s="1353">
        <f t="shared" si="13"/>
        <v>100</v>
      </c>
      <c r="V43" s="1352" t="s">
        <v>62</v>
      </c>
      <c r="W43" s="1353">
        <f t="shared" si="14"/>
        <v>100</v>
      </c>
      <c r="X43" s="1340"/>
      <c r="Y43" s="3649"/>
      <c r="Z43" s="1354" t="str">
        <f t="shared" si="15"/>
        <v>内部装修维护情况</v>
      </c>
      <c r="AA43" s="1355">
        <f t="shared" si="3"/>
        <v>1</v>
      </c>
      <c r="AB43" s="1355">
        <f t="shared" si="4"/>
        <v>1</v>
      </c>
      <c r="AC43" s="1355">
        <f t="shared" si="5"/>
        <v>1</v>
      </c>
    </row>
    <row r="44" spans="1:29" s="40" customFormat="1" ht="14.25" hidden="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7">
        <f t="shared" si="11"/>
        <v>0</v>
      </c>
      <c r="R44" s="1342" t="s">
        <v>62</v>
      </c>
      <c r="S44" s="1343">
        <f t="shared" si="12"/>
        <v>100</v>
      </c>
      <c r="T44" s="1342" t="s">
        <v>62</v>
      </c>
      <c r="U44" s="1343">
        <f t="shared" si="13"/>
        <v>100</v>
      </c>
      <c r="V44" s="1342" t="s">
        <v>62</v>
      </c>
      <c r="W44" s="1343">
        <f t="shared" si="14"/>
        <v>100</v>
      </c>
      <c r="X44" s="287"/>
      <c r="Y44" s="3649"/>
      <c r="Z44" s="288">
        <f t="shared" si="15"/>
        <v>0</v>
      </c>
      <c r="AA44" s="1344">
        <f t="shared" si="3"/>
        <v>1</v>
      </c>
      <c r="AB44" s="1344">
        <f t="shared" si="4"/>
        <v>1</v>
      </c>
      <c r="AC44" s="1344">
        <f t="shared" si="5"/>
        <v>1</v>
      </c>
    </row>
    <row r="45" spans="1:29" ht="14.25" hidden="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1351">
        <f t="shared" si="11"/>
        <v>0</v>
      </c>
      <c r="R45" s="1352" t="s">
        <v>62</v>
      </c>
      <c r="S45" s="1353">
        <f t="shared" si="12"/>
        <v>100</v>
      </c>
      <c r="T45" s="1352" t="s">
        <v>62</v>
      </c>
      <c r="U45" s="1353">
        <f t="shared" si="13"/>
        <v>100</v>
      </c>
      <c r="V45" s="1352" t="s">
        <v>62</v>
      </c>
      <c r="W45" s="1353">
        <f t="shared" si="14"/>
        <v>100</v>
      </c>
      <c r="X45" s="1340"/>
      <c r="Y45" s="3649"/>
      <c r="Z45" s="1354">
        <f t="shared" si="15"/>
        <v>0</v>
      </c>
      <c r="AA45" s="1355">
        <f t="shared" si="3"/>
        <v>1</v>
      </c>
      <c r="AB45" s="1355">
        <f t="shared" si="4"/>
        <v>1</v>
      </c>
      <c r="AC45" s="1355">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1351">
        <f t="shared" si="11"/>
        <v>0</v>
      </c>
      <c r="R46" s="1352" t="s">
        <v>62</v>
      </c>
      <c r="S46" s="1353">
        <f t="shared" si="12"/>
        <v>100</v>
      </c>
      <c r="T46" s="1352" t="s">
        <v>62</v>
      </c>
      <c r="U46" s="1353">
        <f t="shared" si="13"/>
        <v>100</v>
      </c>
      <c r="V46" s="1352" t="s">
        <v>62</v>
      </c>
      <c r="W46" s="1353">
        <f t="shared" si="14"/>
        <v>100</v>
      </c>
      <c r="X46" s="1340"/>
      <c r="Y46" s="3650"/>
      <c r="Z46" s="1354">
        <f t="shared" si="15"/>
        <v>0</v>
      </c>
      <c r="AA46" s="1355">
        <f t="shared" si="3"/>
        <v>1</v>
      </c>
      <c r="AB46" s="1355">
        <f t="shared" si="4"/>
        <v>1</v>
      </c>
      <c r="AC46" s="1355">
        <f t="shared" si="5"/>
        <v>1</v>
      </c>
    </row>
    <row r="47" spans="1:29" ht="15">
      <c r="A47" s="163" t="s">
        <v>1030</v>
      </c>
      <c r="B47" s="164"/>
      <c r="C47" s="2833" t="s">
        <v>23</v>
      </c>
      <c r="D47" s="2834"/>
      <c r="E47" s="2835">
        <f>ROUND(23000*L47,0)</f>
        <v>21850</v>
      </c>
      <c r="F47" s="2836"/>
      <c r="G47" s="2835">
        <f>ROUND(28000*L47,0)</f>
        <v>26600</v>
      </c>
      <c r="H47" s="2838"/>
      <c r="I47" s="2835">
        <f>ROUND(26000*L47,0)</f>
        <v>24700</v>
      </c>
      <c r="J47" s="2838"/>
      <c r="K47" s="1393"/>
      <c r="L47" s="2303">
        <v>0.95</v>
      </c>
      <c r="M47" s="2304"/>
      <c r="N47" s="2296"/>
      <c r="O47" s="2304"/>
      <c r="P47" s="3642" t="str">
        <f>A47</f>
        <v>成交单价（元/平方米）</v>
      </c>
      <c r="Q47" s="3642"/>
      <c r="R47" s="3637">
        <f>E47</f>
        <v>21850</v>
      </c>
      <c r="S47" s="3637"/>
      <c r="T47" s="3637">
        <f>G47</f>
        <v>26600</v>
      </c>
      <c r="U47" s="3637"/>
      <c r="V47" s="3637">
        <f>I47</f>
        <v>24700</v>
      </c>
      <c r="W47" s="3637"/>
      <c r="X47" s="1365"/>
      <c r="Y47" s="1366"/>
      <c r="Z47" s="1365"/>
      <c r="AA47" s="1365"/>
      <c r="AB47" s="1365"/>
      <c r="AC47" s="1365"/>
    </row>
    <row r="48" spans="1:29" ht="15.75" thickBot="1">
      <c r="A48" s="165" t="s">
        <v>1031</v>
      </c>
      <c r="B48" s="166"/>
      <c r="C48" s="2839">
        <f>R49</f>
        <v>19229</v>
      </c>
      <c r="D48" s="2840"/>
      <c r="E48" s="2841">
        <f>R48</f>
        <v>17567</v>
      </c>
      <c r="F48" s="2841"/>
      <c r="G48" s="2839">
        <f>T48</f>
        <v>20731</v>
      </c>
      <c r="H48" s="2840"/>
      <c r="I48" s="2841">
        <f>V48</f>
        <v>19390</v>
      </c>
      <c r="J48" s="2840"/>
      <c r="K48" s="1394"/>
      <c r="L48" s="2303"/>
      <c r="M48" s="2304"/>
      <c r="N48" s="2296"/>
      <c r="O48" s="2304"/>
      <c r="P48" s="3642" t="str">
        <f>A48</f>
        <v>比较价值（元/平方米）</v>
      </c>
      <c r="Q48" s="3642"/>
      <c r="R48" s="3643">
        <f>IF(F1="售价",ROUND(PRODUCT(R47,AA7:AA46),0),ROUND(PRODUCT(R47,AA7:AA46),1))</f>
        <v>17567</v>
      </c>
      <c r="S48" s="3643"/>
      <c r="T48" s="3643">
        <f>IF(F1="售价",ROUND(PRODUCT(T47,AB7:AB46),0),ROUND(PRODUCT(T47,AB7:AB46),1))</f>
        <v>20731</v>
      </c>
      <c r="U48" s="3643"/>
      <c r="V48" s="3643">
        <f>IF(F1="售价",ROUND(PRODUCT(V47,AC7:AC46),0),ROUND(PRODUCT(V47,AC7:AC46),1))</f>
        <v>19390</v>
      </c>
      <c r="W48" s="3643"/>
      <c r="X48" s="1365"/>
      <c r="Y48" s="1365"/>
      <c r="Z48" s="1365"/>
      <c r="AA48" s="1365"/>
      <c r="AB48" s="1365"/>
      <c r="AC48" s="1365"/>
    </row>
    <row r="49" spans="1:29" ht="15.75" thickBot="1">
      <c r="A49" s="115" t="s">
        <v>3004</v>
      </c>
      <c r="B49" s="116"/>
      <c r="C49" s="2843">
        <f>R49</f>
        <v>19229</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19229</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1000</v>
      </c>
      <c r="D52" s="841"/>
      <c r="E52" s="842">
        <f>IF(E47&lt;E48,E48/E47-1,E47/E48-1)</f>
        <v>0.24380941538111234</v>
      </c>
      <c r="F52" s="843" t="str">
        <f>IF(OR(E52&gt;=0.3,E52&lt;=-0.3),"超过30%","")</f>
        <v/>
      </c>
      <c r="G52" s="842">
        <f>IF(G47&lt;G48,G48/G47-1,G47/G48-1)</f>
        <v>0.28310259997105791</v>
      </c>
      <c r="H52" s="843" t="str">
        <f>IF(OR(G52&gt;=0.3,G52&lt;=-0.3),"超过30%","")</f>
        <v/>
      </c>
      <c r="I52" s="842">
        <f>IF(I47&lt;I48,I48/I47-1,I47/I48-1)</f>
        <v>0.27385250128932448</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1001</v>
      </c>
      <c r="D53" s="844"/>
      <c r="E53" s="842">
        <f>IF(E48&lt;G48,G48/E48-1,E48/G48-1)</f>
        <v>0.18011043433710938</v>
      </c>
      <c r="F53" s="843" t="str">
        <f>IF(OR(E53&gt;=0.2,E53&lt;=-0.2),"超过20%","")</f>
        <v/>
      </c>
      <c r="G53" s="842">
        <f>IF(G48&lt;I48,I48/G48-1,G48/I48-1)</f>
        <v>6.915936049510063E-2</v>
      </c>
      <c r="H53" s="843" t="str">
        <f>IF(OR(G53&gt;=0.2,G53&lt;=-0.2),"超过20%","")</f>
        <v/>
      </c>
      <c r="I53" s="842">
        <f>IF(I48&lt;E48,E48/I48-1,I48/E48-1)</f>
        <v>0.10377412193317004</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1002</v>
      </c>
      <c r="D54" s="844"/>
      <c r="E54" s="842">
        <f>IF(E47&lt;G47,G47/E47-1,E47/G47-1)</f>
        <v>0.21739130434782616</v>
      </c>
      <c r="F54" s="843" t="str">
        <f>IF(OR(E54&gt;=0.3,E54&lt;=-0.3),"超过30%","")</f>
        <v/>
      </c>
      <c r="G54" s="842">
        <f>IF(G47&lt;I47,I47/G47-1,G47/I47-1)</f>
        <v>7.6923076923076872E-2</v>
      </c>
      <c r="H54" s="843" t="str">
        <f>IF(OR(G54&gt;=0.3,G54&lt;=-0.3),"超过30%","")</f>
        <v/>
      </c>
      <c r="I54" s="842">
        <f>IF(I47&lt;E47,E47/I47-1,I47/E47-1)</f>
        <v>0.13043478260869557</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1032</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2781</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1033</v>
      </c>
      <c r="B60" s="1048"/>
      <c r="C60" s="860"/>
      <c r="D60" s="861"/>
      <c r="E60" s="861"/>
      <c r="F60" s="861"/>
      <c r="G60" s="861"/>
      <c r="H60" s="861"/>
      <c r="I60" s="861"/>
      <c r="J60" s="861"/>
      <c r="K60" s="861"/>
      <c r="L60" s="861"/>
      <c r="M60" s="862"/>
      <c r="N60" s="861"/>
      <c r="O60" s="862"/>
      <c r="P60" s="1377"/>
      <c r="Q60" s="121"/>
    </row>
    <row r="61" spans="1:29" s="40" customFormat="1">
      <c r="A61" s="1049" t="s">
        <v>1034</v>
      </c>
      <c r="B61" s="1046"/>
      <c r="C61" s="1050" t="s">
        <v>1035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1036</v>
      </c>
      <c r="B63" s="286" t="s">
        <v>1037</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2644</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1050</v>
      </c>
      <c r="B100" s="286" t="s">
        <v>1051</v>
      </c>
      <c r="C100" s="122" t="s">
        <v>3166</v>
      </c>
      <c r="D100" s="122" t="s">
        <v>3163</v>
      </c>
      <c r="E100" s="122" t="s">
        <v>3165</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1054</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1059</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1060</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1062</v>
      </c>
      <c r="B1" s="3118" t="s">
        <v>1063</v>
      </c>
      <c r="C1" s="3112" t="s">
        <v>1064</v>
      </c>
      <c r="D1" s="3103"/>
      <c r="E1" s="3108"/>
      <c r="F1" s="3105"/>
      <c r="G1" s="3107" t="s">
        <v>1065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1066</v>
      </c>
      <c r="B2" s="2844" t="e">
        <f ca="1">IF(C2="——",ROUND(C50*D3/10000,0),ROUND(C50*D3/10000,0)-D2)</f>
        <v>#DIV/0!</v>
      </c>
      <c r="C2" s="3097"/>
      <c r="D2" s="2724"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1067</v>
      </c>
      <c r="B3" s="952" t="e">
        <f ca="1">IF(C2="——",C50,ROUND(B2*10000/D3,0))</f>
        <v>#DIV/0!</v>
      </c>
      <c r="C3" s="142" t="s">
        <v>1068</v>
      </c>
      <c r="D3" s="742">
        <f>IF(D1="",'数据-汇总表'!E3,SUMIF('数据-汇总表'!$C19:$C33,D1,'数据-汇总表'!$E19:$E33))</f>
        <v>37870.639999999999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1069</v>
      </c>
      <c r="B4" s="144"/>
      <c r="C4" s="3625" t="s">
        <v>1070</v>
      </c>
      <c r="D4" s="3626"/>
      <c r="E4" s="3627" t="s">
        <v>1071</v>
      </c>
      <c r="F4" s="3628"/>
      <c r="G4" s="3625" t="s">
        <v>1072</v>
      </c>
      <c r="H4" s="3626"/>
      <c r="I4" s="3625" t="s">
        <v>1073</v>
      </c>
      <c r="J4" s="3626"/>
      <c r="K4" s="187" t="s">
        <v>1074</v>
      </c>
      <c r="L4" s="2295"/>
      <c r="M4" s="2296"/>
      <c r="N4" s="2296"/>
      <c r="O4" s="2296"/>
      <c r="P4" s="3659" t="s">
        <v>1069</v>
      </c>
      <c r="Q4" s="3660"/>
      <c r="R4" s="3654" t="s">
        <v>1071</v>
      </c>
      <c r="S4" s="3655"/>
      <c r="T4" s="3654" t="s">
        <v>1072</v>
      </c>
      <c r="U4" s="3655"/>
      <c r="V4" s="3663" t="s">
        <v>1073</v>
      </c>
      <c r="W4" s="3663"/>
      <c r="X4" s="2335"/>
      <c r="Y4" s="3654" t="s">
        <v>1069</v>
      </c>
      <c r="Z4" s="3655"/>
      <c r="AA4" s="3653" t="s">
        <v>1071</v>
      </c>
      <c r="AB4" s="3653" t="s">
        <v>1072</v>
      </c>
      <c r="AC4" s="3656" t="s">
        <v>1073</v>
      </c>
    </row>
    <row r="5" spans="1:29">
      <c r="A5" s="146"/>
      <c r="B5" s="147"/>
      <c r="C5" s="3618" t="s">
        <v>1075</v>
      </c>
      <c r="D5" s="3619"/>
      <c r="E5" s="3616" t="s">
        <v>1076</v>
      </c>
      <c r="F5" s="3617"/>
      <c r="G5" s="3618" t="s">
        <v>1077</v>
      </c>
      <c r="H5" s="3619"/>
      <c r="I5" s="3618" t="s">
        <v>1078</v>
      </c>
      <c r="J5" s="3619"/>
      <c r="K5" s="187"/>
      <c r="L5" s="2295"/>
      <c r="M5" s="2296"/>
      <c r="N5" s="2296"/>
      <c r="O5" s="2296"/>
      <c r="P5" s="3661"/>
      <c r="Q5" s="3632"/>
      <c r="R5" s="3614"/>
      <c r="S5" s="3615"/>
      <c r="T5" s="3614"/>
      <c r="U5" s="3615"/>
      <c r="V5" s="3637"/>
      <c r="W5" s="3637"/>
      <c r="X5" s="2221"/>
      <c r="Y5" s="3614"/>
      <c r="Z5" s="3615"/>
      <c r="AA5" s="3608"/>
      <c r="AB5" s="3608"/>
      <c r="AC5" s="3657"/>
    </row>
    <row r="6" spans="1:29" ht="14.25" thickBot="1">
      <c r="A6" s="148"/>
      <c r="B6" s="149"/>
      <c r="C6" s="3620" t="s">
        <v>1079</v>
      </c>
      <c r="D6" s="3621"/>
      <c r="E6" s="3622" t="s">
        <v>1079</v>
      </c>
      <c r="F6" s="3623"/>
      <c r="G6" s="3620" t="s">
        <v>1079</v>
      </c>
      <c r="H6" s="3621"/>
      <c r="I6" s="3620" t="s">
        <v>1079</v>
      </c>
      <c r="J6" s="3621"/>
      <c r="K6" s="187" t="s">
        <v>1080</v>
      </c>
      <c r="L6" s="2295"/>
      <c r="M6" s="2296"/>
      <c r="N6" s="2296"/>
      <c r="O6" s="2296"/>
      <c r="P6" s="3662"/>
      <c r="Q6" s="3634"/>
      <c r="R6" s="3614"/>
      <c r="S6" s="3615"/>
      <c r="T6" s="3635"/>
      <c r="U6" s="3636"/>
      <c r="V6" s="3637"/>
      <c r="W6" s="3637"/>
      <c r="X6" s="2221"/>
      <c r="Y6" s="3635"/>
      <c r="Z6" s="3636"/>
      <c r="AA6" s="3609"/>
      <c r="AB6" s="3609"/>
      <c r="AC6" s="3658"/>
    </row>
    <row r="7" spans="1:29" s="40" customFormat="1" ht="15" thickBot="1">
      <c r="A7" s="1014" t="s">
        <v>1081</v>
      </c>
      <c r="B7" s="1015"/>
      <c r="C7" s="753">
        <f>'数据-取费表'!B2</f>
        <v>43026</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4" t="s">
        <v>1081</v>
      </c>
      <c r="Q7" s="3638"/>
      <c r="R7" s="1342" t="s">
        <v>62</v>
      </c>
      <c r="S7" s="1343">
        <f t="shared" ref="S7:S15" si="0">F7</f>
        <v>0</v>
      </c>
      <c r="T7" s="1342" t="s">
        <v>62</v>
      </c>
      <c r="U7" s="1343">
        <f t="shared" ref="U7:U15" si="1">H7</f>
        <v>0</v>
      </c>
      <c r="V7" s="1342" t="s">
        <v>62</v>
      </c>
      <c r="W7" s="1343">
        <f t="shared" ref="W7:W15" si="2">J7</f>
        <v>0</v>
      </c>
      <c r="X7" s="287"/>
      <c r="Y7" s="3610" t="s">
        <v>1081</v>
      </c>
      <c r="Z7" s="3611"/>
      <c r="AA7" s="1344" t="e">
        <f>D7/F7</f>
        <v>#DIV/0!</v>
      </c>
      <c r="AB7" s="1344" t="e">
        <f>D7/H7</f>
        <v>#DIV/0!</v>
      </c>
      <c r="AC7" s="2336" t="e">
        <f>D7/J7</f>
        <v>#DIV/0!</v>
      </c>
    </row>
    <row r="8" spans="1:29" s="40" customFormat="1" ht="15" thickBot="1">
      <c r="A8" s="1014" t="s">
        <v>1082</v>
      </c>
      <c r="B8" s="1015"/>
      <c r="C8" s="1020" t="s">
        <v>1083</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4" t="s">
        <v>1015</v>
      </c>
      <c r="Q8" s="3611"/>
      <c r="R8" s="1342" t="s">
        <v>62</v>
      </c>
      <c r="S8" s="1343">
        <f t="shared" si="0"/>
        <v>0</v>
      </c>
      <c r="T8" s="1342" t="s">
        <v>62</v>
      </c>
      <c r="U8" s="1343">
        <f t="shared" si="1"/>
        <v>0</v>
      </c>
      <c r="V8" s="1342" t="s">
        <v>62</v>
      </c>
      <c r="W8" s="1343">
        <f t="shared" si="2"/>
        <v>0</v>
      </c>
      <c r="X8" s="287"/>
      <c r="Y8" s="3610" t="s">
        <v>1015</v>
      </c>
      <c r="Z8" s="3611"/>
      <c r="AA8" s="1344" t="e">
        <f t="shared" ref="AA8:AA47" si="3">D8/F8</f>
        <v>#DIV/0!</v>
      </c>
      <c r="AB8" s="1344" t="e">
        <f t="shared" ref="AB8:AB47" si="4">D8/H8</f>
        <v>#DIV/0!</v>
      </c>
      <c r="AC8" s="2336" t="e">
        <f t="shared" ref="AC8:AC47" si="5">D8/J8</f>
        <v>#DIV/0!</v>
      </c>
    </row>
    <row r="9" spans="1:29" s="40" customFormat="1" ht="14.25">
      <c r="A9" s="1021" t="s">
        <v>1016</v>
      </c>
      <c r="B9" s="62" t="s">
        <v>1017</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4" t="s">
        <v>64</v>
      </c>
      <c r="Q9" s="2212" t="str">
        <f t="shared" ref="Q9:Q15" si="6">B9</f>
        <v>用途</v>
      </c>
      <c r="R9" s="1342" t="s">
        <v>62</v>
      </c>
      <c r="S9" s="1343">
        <f t="shared" si="0"/>
        <v>100</v>
      </c>
      <c r="T9" s="1342" t="s">
        <v>62</v>
      </c>
      <c r="U9" s="1343">
        <f t="shared" si="1"/>
        <v>100</v>
      </c>
      <c r="V9" s="1342" t="s">
        <v>62</v>
      </c>
      <c r="W9" s="1343">
        <f t="shared" si="2"/>
        <v>100</v>
      </c>
      <c r="X9" s="287"/>
      <c r="Y9" s="3448" t="s">
        <v>64</v>
      </c>
      <c r="Z9" s="2211" t="str">
        <f t="shared" ref="Z9:Z15" si="7">Q9</f>
        <v>用途</v>
      </c>
      <c r="AA9" s="1344">
        <f t="shared" si="3"/>
        <v>1</v>
      </c>
      <c r="AB9" s="1344">
        <f t="shared" si="4"/>
        <v>1</v>
      </c>
      <c r="AC9" s="2336">
        <f t="shared" si="5"/>
        <v>1</v>
      </c>
    </row>
    <row r="10" spans="1:29" s="92" customFormat="1" ht="27">
      <c r="A10" s="150"/>
      <c r="B10" s="12" t="s">
        <v>103</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4"/>
      <c r="Q10" s="2212" t="str">
        <f t="shared" si="6"/>
        <v>土地使用年限（年）</v>
      </c>
      <c r="R10" s="1342" t="s">
        <v>62</v>
      </c>
      <c r="S10" s="1343">
        <f t="shared" si="0"/>
        <v>100</v>
      </c>
      <c r="T10" s="1342" t="s">
        <v>62</v>
      </c>
      <c r="U10" s="1343">
        <f t="shared" si="1"/>
        <v>100</v>
      </c>
      <c r="V10" s="1342" t="s">
        <v>62</v>
      </c>
      <c r="W10" s="1343">
        <f t="shared" si="2"/>
        <v>100</v>
      </c>
      <c r="X10" s="287"/>
      <c r="Y10" s="3448"/>
      <c r="Z10" s="2211" t="str">
        <f t="shared" si="7"/>
        <v>土地使用年限（年）</v>
      </c>
      <c r="AA10" s="1344">
        <f t="shared" si="3"/>
        <v>1</v>
      </c>
      <c r="AB10" s="1344">
        <f t="shared" si="4"/>
        <v>1</v>
      </c>
      <c r="AC10" s="2336">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4"/>
      <c r="Q11" s="2212" t="str">
        <f t="shared" si="6"/>
        <v>容积率</v>
      </c>
      <c r="R11" s="1342" t="s">
        <v>62</v>
      </c>
      <c r="S11" s="1343" t="e">
        <f t="shared" si="0"/>
        <v>#N/A</v>
      </c>
      <c r="T11" s="1342" t="s">
        <v>62</v>
      </c>
      <c r="U11" s="1343" t="e">
        <f t="shared" si="1"/>
        <v>#N/A</v>
      </c>
      <c r="V11" s="1342" t="s">
        <v>62</v>
      </c>
      <c r="W11" s="1343" t="e">
        <f t="shared" si="2"/>
        <v>#N/A</v>
      </c>
      <c r="X11" s="287"/>
      <c r="Y11" s="3448"/>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4"/>
      <c r="Q12" s="2212">
        <f t="shared" si="6"/>
        <v>111</v>
      </c>
      <c r="R12" s="1342" t="s">
        <v>62</v>
      </c>
      <c r="S12" s="1343">
        <f t="shared" si="0"/>
        <v>100</v>
      </c>
      <c r="T12" s="1342" t="s">
        <v>62</v>
      </c>
      <c r="U12" s="1343">
        <f t="shared" si="1"/>
        <v>100</v>
      </c>
      <c r="V12" s="1342" t="s">
        <v>62</v>
      </c>
      <c r="W12" s="1343">
        <f t="shared" si="2"/>
        <v>100</v>
      </c>
      <c r="X12" s="287"/>
      <c r="Y12" s="3448"/>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4"/>
      <c r="Q13" s="2212">
        <f t="shared" si="6"/>
        <v>111</v>
      </c>
      <c r="R13" s="1342" t="s">
        <v>62</v>
      </c>
      <c r="S13" s="1343">
        <f t="shared" si="0"/>
        <v>100</v>
      </c>
      <c r="T13" s="1342" t="s">
        <v>62</v>
      </c>
      <c r="U13" s="1343">
        <f t="shared" si="1"/>
        <v>100</v>
      </c>
      <c r="V13" s="1342" t="s">
        <v>62</v>
      </c>
      <c r="W13" s="1343">
        <f t="shared" si="2"/>
        <v>100</v>
      </c>
      <c r="X13" s="287"/>
      <c r="Y13" s="3448"/>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4"/>
      <c r="Q14" s="2212">
        <f t="shared" si="6"/>
        <v>111</v>
      </c>
      <c r="R14" s="1342" t="s">
        <v>62</v>
      </c>
      <c r="S14" s="1343">
        <f t="shared" si="0"/>
        <v>100</v>
      </c>
      <c r="T14" s="1342" t="s">
        <v>62</v>
      </c>
      <c r="U14" s="1343">
        <f t="shared" si="1"/>
        <v>100</v>
      </c>
      <c r="V14" s="1342" t="s">
        <v>62</v>
      </c>
      <c r="W14" s="1343">
        <f t="shared" si="2"/>
        <v>100</v>
      </c>
      <c r="X14" s="287"/>
      <c r="Y14" s="3448"/>
      <c r="Z14" s="2211">
        <f t="shared" si="7"/>
        <v>111</v>
      </c>
      <c r="AA14" s="1344">
        <f t="shared" si="3"/>
        <v>1</v>
      </c>
      <c r="AB14" s="1344">
        <f t="shared" si="4"/>
        <v>1</v>
      </c>
      <c r="AC14" s="2336">
        <f t="shared" si="5"/>
        <v>1</v>
      </c>
    </row>
    <row r="15" spans="1:29" ht="67.5">
      <c r="A15" s="155" t="s">
        <v>66</v>
      </c>
      <c r="B15" s="1033" t="s">
        <v>139</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51" t="s">
        <v>66</v>
      </c>
      <c r="Q15" s="2219" t="str">
        <f t="shared" si="6"/>
        <v>办公集聚程度</v>
      </c>
      <c r="R15" s="1352" t="s">
        <v>62</v>
      </c>
      <c r="S15" s="1353">
        <f t="shared" si="0"/>
        <v>100</v>
      </c>
      <c r="T15" s="1352" t="s">
        <v>62</v>
      </c>
      <c r="U15" s="1353">
        <f t="shared" si="1"/>
        <v>100</v>
      </c>
      <c r="V15" s="1352" t="s">
        <v>62</v>
      </c>
      <c r="W15" s="1353">
        <f t="shared" si="2"/>
        <v>100</v>
      </c>
      <c r="X15" s="2221"/>
      <c r="Y15" s="3644" t="s">
        <v>66</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52"/>
      <c r="Q16" s="2219"/>
      <c r="R16" s="1352"/>
      <c r="S16" s="1353"/>
      <c r="T16" s="1352"/>
      <c r="U16" s="1353"/>
      <c r="V16" s="1352"/>
      <c r="W16" s="1353"/>
      <c r="X16" s="2221"/>
      <c r="Y16" s="3645"/>
      <c r="Z16" s="2220"/>
      <c r="AA16" s="1355">
        <v>1</v>
      </c>
      <c r="AB16" s="1355">
        <v>1</v>
      </c>
      <c r="AC16" s="2337">
        <v>1</v>
      </c>
    </row>
    <row r="17" spans="1:29" ht="108">
      <c r="A17" s="151"/>
      <c r="B17" s="1034" t="s">
        <v>69</v>
      </c>
      <c r="C17" s="210" t="str">
        <f>估价对象房地状况!C6</f>
        <v>估价对象周边有559路、575路等多条公交线路，临近轻轨园博园站，停车便捷程度较好，综合评价交通便捷度较好。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52"/>
      <c r="Q17" s="2219" t="str">
        <f>B17</f>
        <v>交通便捷度</v>
      </c>
      <c r="R17" s="1352" t="s">
        <v>62</v>
      </c>
      <c r="S17" s="1353">
        <f>F17</f>
        <v>100</v>
      </c>
      <c r="T17" s="1352" t="s">
        <v>62</v>
      </c>
      <c r="U17" s="1353">
        <f>H17</f>
        <v>100</v>
      </c>
      <c r="V17" s="1352" t="s">
        <v>62</v>
      </c>
      <c r="W17" s="1353">
        <f>J17</f>
        <v>100</v>
      </c>
      <c r="X17" s="2221"/>
      <c r="Y17" s="3645"/>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52"/>
      <c r="Q18" s="2219"/>
      <c r="R18" s="1352"/>
      <c r="S18" s="1353"/>
      <c r="T18" s="1352"/>
      <c r="U18" s="1353"/>
      <c r="V18" s="1352"/>
      <c r="W18" s="1353"/>
      <c r="X18" s="2221"/>
      <c r="Y18" s="3645"/>
      <c r="Z18" s="2220"/>
      <c r="AA18" s="1355">
        <v>1</v>
      </c>
      <c r="AB18" s="1355">
        <v>1</v>
      </c>
      <c r="AC18" s="2337">
        <v>1</v>
      </c>
    </row>
    <row r="19" spans="1:29" ht="40.5">
      <c r="A19" s="151"/>
      <c r="B19" s="1034" t="s">
        <v>2650</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52"/>
      <c r="Q19" s="2219" t="str">
        <f>B19</f>
        <v>公共配套设施</v>
      </c>
      <c r="R19" s="1352" t="s">
        <v>62</v>
      </c>
      <c r="S19" s="1353">
        <f>F19</f>
        <v>100</v>
      </c>
      <c r="T19" s="1352" t="s">
        <v>62</v>
      </c>
      <c r="U19" s="1353">
        <f>H19</f>
        <v>100</v>
      </c>
      <c r="V19" s="1352" t="s">
        <v>62</v>
      </c>
      <c r="W19" s="1353">
        <f>J19</f>
        <v>100</v>
      </c>
      <c r="X19" s="2221"/>
      <c r="Y19" s="3645"/>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52"/>
      <c r="Q20" s="2219"/>
      <c r="R20" s="1352"/>
      <c r="S20" s="1353"/>
      <c r="T20" s="1352"/>
      <c r="U20" s="1353"/>
      <c r="V20" s="1352"/>
      <c r="W20" s="1353"/>
      <c r="X20" s="2221"/>
      <c r="Y20" s="3645"/>
      <c r="Z20" s="2220"/>
      <c r="AA20" s="1355">
        <v>1</v>
      </c>
      <c r="AB20" s="1355">
        <v>1</v>
      </c>
      <c r="AC20" s="2337">
        <v>1</v>
      </c>
    </row>
    <row r="21" spans="1:29" ht="40.5">
      <c r="A21" s="151"/>
      <c r="B21" s="1036" t="s">
        <v>2651</v>
      </c>
      <c r="C21" s="210" t="str">
        <f>估价对象房地状况!C8</f>
        <v>估价对象所在区域基础设施水平达“六通”。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52"/>
      <c r="Q22" s="2746"/>
      <c r="R22" s="1352"/>
      <c r="S22" s="1353"/>
      <c r="T22" s="1352"/>
      <c r="U22" s="1353"/>
      <c r="V22" s="1352"/>
      <c r="W22" s="1353"/>
      <c r="X22" s="2748"/>
      <c r="Y22" s="3645"/>
      <c r="Z22" s="2747"/>
      <c r="AA22" s="1355">
        <v>1</v>
      </c>
      <c r="AB22" s="1355">
        <v>1</v>
      </c>
      <c r="AC22" s="2337">
        <v>1</v>
      </c>
    </row>
    <row r="23" spans="1:29" ht="121.5">
      <c r="A23" s="151"/>
      <c r="B23" s="1034" t="s">
        <v>140</v>
      </c>
      <c r="C23" s="210" t="str">
        <f>估价对象房地状况!C9</f>
        <v>估价对象所在区域有重庆园博园，自然环境较好；所在区域有宝林博物馆、会仙阁艺术馆，人文环境较好；综合评价环境状况较好。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52"/>
      <c r="Q23" s="2219" t="str">
        <f>B23</f>
        <v>环境质量</v>
      </c>
      <c r="R23" s="1352" t="s">
        <v>62</v>
      </c>
      <c r="S23" s="1353">
        <f>F23</f>
        <v>100</v>
      </c>
      <c r="T23" s="1352" t="s">
        <v>62</v>
      </c>
      <c r="U23" s="1353">
        <f>H23</f>
        <v>100</v>
      </c>
      <c r="V23" s="1352" t="s">
        <v>62</v>
      </c>
      <c r="W23" s="1353">
        <f>J23</f>
        <v>100</v>
      </c>
      <c r="X23" s="2221"/>
      <c r="Y23" s="3645"/>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52"/>
      <c r="Q24" s="2219"/>
      <c r="R24" s="1352"/>
      <c r="S24" s="1353"/>
      <c r="T24" s="1352"/>
      <c r="U24" s="1353"/>
      <c r="V24" s="1352"/>
      <c r="W24" s="1353"/>
      <c r="X24" s="2221"/>
      <c r="Y24" s="3645"/>
      <c r="Z24" s="2220"/>
      <c r="AA24" s="1355">
        <v>1</v>
      </c>
      <c r="AB24" s="1355">
        <v>1</v>
      </c>
      <c r="AC24" s="2337">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52"/>
      <c r="Q25" s="2219" t="str">
        <f>B25</f>
        <v>毗邻道路的类型与等级</v>
      </c>
      <c r="R25" s="1352" t="s">
        <v>62</v>
      </c>
      <c r="S25" s="1353">
        <f>F25</f>
        <v>100</v>
      </c>
      <c r="T25" s="1352" t="s">
        <v>62</v>
      </c>
      <c r="U25" s="1353">
        <f>H25</f>
        <v>100</v>
      </c>
      <c r="V25" s="1352" t="s">
        <v>62</v>
      </c>
      <c r="W25" s="1353">
        <f>J25</f>
        <v>100</v>
      </c>
      <c r="X25" s="2221"/>
      <c r="Y25" s="3645"/>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52"/>
      <c r="Q26" s="2219"/>
      <c r="R26" s="1352"/>
      <c r="S26" s="1353"/>
      <c r="T26" s="1352"/>
      <c r="U26" s="1353"/>
      <c r="V26" s="1352"/>
      <c r="W26" s="1353"/>
      <c r="X26" s="2221"/>
      <c r="Y26" s="3645"/>
      <c r="Z26" s="2220"/>
      <c r="AA26" s="1355">
        <v>1</v>
      </c>
      <c r="AB26" s="1355">
        <v>1</v>
      </c>
      <c r="AC26" s="2337">
        <v>1</v>
      </c>
    </row>
    <row r="27" spans="1:29" ht="15">
      <c r="A27" s="151"/>
      <c r="B27" s="1035" t="s">
        <v>1084</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52"/>
      <c r="Q27" s="2219" t="str">
        <f t="shared" ref="Q27:Q47" si="11">B27</f>
        <v>楼层</v>
      </c>
      <c r="R27" s="1352" t="s">
        <v>62</v>
      </c>
      <c r="S27" s="1353">
        <f>F27</f>
        <v>100</v>
      </c>
      <c r="T27" s="1352" t="s">
        <v>62</v>
      </c>
      <c r="U27" s="1353">
        <f>H27</f>
        <v>100</v>
      </c>
      <c r="V27" s="1352" t="s">
        <v>62</v>
      </c>
      <c r="W27" s="1353">
        <f>J27</f>
        <v>100</v>
      </c>
      <c r="X27" s="2221"/>
      <c r="Y27" s="3645"/>
      <c r="Z27" s="2220" t="str">
        <f>Q27</f>
        <v>楼层</v>
      </c>
      <c r="AA27" s="1355">
        <f t="shared" si="3"/>
        <v>1</v>
      </c>
      <c r="AB27" s="1355">
        <f t="shared" si="4"/>
        <v>1</v>
      </c>
      <c r="AC27" s="2337">
        <f t="shared" si="5"/>
        <v>1</v>
      </c>
    </row>
    <row r="28" spans="1:29" s="40" customFormat="1" ht="15">
      <c r="A28" s="1030"/>
      <c r="B28" s="1034" t="s">
        <v>142</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52"/>
      <c r="Q28" s="2212" t="str">
        <f t="shared" si="11"/>
        <v>朝向</v>
      </c>
      <c r="R28" s="1342" t="s">
        <v>62</v>
      </c>
      <c r="S28" s="1343">
        <f>F28</f>
        <v>100</v>
      </c>
      <c r="T28" s="1342" t="s">
        <v>62</v>
      </c>
      <c r="U28" s="1343">
        <f>H28</f>
        <v>100</v>
      </c>
      <c r="V28" s="1342" t="s">
        <v>62</v>
      </c>
      <c r="W28" s="1343">
        <f>J28</f>
        <v>100</v>
      </c>
      <c r="X28" s="287"/>
      <c r="Y28" s="3645"/>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52"/>
      <c r="Q29" s="2219">
        <f t="shared" si="11"/>
        <v>111</v>
      </c>
      <c r="R29" s="1352" t="s">
        <v>62</v>
      </c>
      <c r="S29" s="1353">
        <f t="shared" ref="S29:S47" si="12">F29</f>
        <v>100</v>
      </c>
      <c r="T29" s="1352" t="s">
        <v>62</v>
      </c>
      <c r="U29" s="1353">
        <f t="shared" ref="U29:U47" si="13">H29</f>
        <v>100</v>
      </c>
      <c r="V29" s="1352" t="s">
        <v>62</v>
      </c>
      <c r="W29" s="1353">
        <f t="shared" ref="W29:W47" si="14">J29</f>
        <v>100</v>
      </c>
      <c r="X29" s="2221"/>
      <c r="Y29" s="3645"/>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52"/>
      <c r="Q30" s="2219">
        <f t="shared" si="11"/>
        <v>111</v>
      </c>
      <c r="R30" s="1352" t="s">
        <v>62</v>
      </c>
      <c r="S30" s="1353">
        <f t="shared" si="12"/>
        <v>100</v>
      </c>
      <c r="T30" s="1352" t="s">
        <v>62</v>
      </c>
      <c r="U30" s="1353">
        <f t="shared" si="13"/>
        <v>100</v>
      </c>
      <c r="V30" s="1352" t="s">
        <v>62</v>
      </c>
      <c r="W30" s="1353">
        <f t="shared" si="14"/>
        <v>100</v>
      </c>
      <c r="X30" s="2221"/>
      <c r="Y30" s="3645"/>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52"/>
      <c r="Q31" s="2219">
        <f t="shared" si="11"/>
        <v>111</v>
      </c>
      <c r="R31" s="1352" t="s">
        <v>62</v>
      </c>
      <c r="S31" s="1353">
        <f t="shared" si="12"/>
        <v>100</v>
      </c>
      <c r="T31" s="1352" t="s">
        <v>62</v>
      </c>
      <c r="U31" s="1353">
        <f t="shared" si="13"/>
        <v>100</v>
      </c>
      <c r="V31" s="1352" t="s">
        <v>62</v>
      </c>
      <c r="W31" s="1353">
        <f t="shared" si="14"/>
        <v>100</v>
      </c>
      <c r="X31" s="2221"/>
      <c r="Y31" s="3645"/>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52"/>
      <c r="Q32" s="2219">
        <f t="shared" si="11"/>
        <v>111</v>
      </c>
      <c r="R32" s="1352" t="s">
        <v>62</v>
      </c>
      <c r="S32" s="1353">
        <f t="shared" si="12"/>
        <v>100</v>
      </c>
      <c r="T32" s="1352" t="s">
        <v>62</v>
      </c>
      <c r="U32" s="1353">
        <f t="shared" si="13"/>
        <v>100</v>
      </c>
      <c r="V32" s="1352" t="s">
        <v>62</v>
      </c>
      <c r="W32" s="1353">
        <f t="shared" si="14"/>
        <v>100</v>
      </c>
      <c r="X32" s="2221"/>
      <c r="Y32" s="3645"/>
      <c r="Z32" s="2220">
        <f t="shared" si="15"/>
        <v>111</v>
      </c>
      <c r="AA32" s="1355">
        <f t="shared" si="3"/>
        <v>1</v>
      </c>
      <c r="AB32" s="1355">
        <f t="shared" si="4"/>
        <v>1</v>
      </c>
      <c r="AC32" s="2337">
        <f t="shared" si="5"/>
        <v>1</v>
      </c>
    </row>
    <row r="33" spans="1:29" ht="15">
      <c r="A33" s="155" t="s">
        <v>1085</v>
      </c>
      <c r="B33" s="62" t="s">
        <v>1086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46" t="s">
        <v>1087</v>
      </c>
      <c r="Q33" s="2219" t="str">
        <f t="shared" si="11"/>
        <v>建筑类型</v>
      </c>
      <c r="R33" s="1352" t="s">
        <v>62</v>
      </c>
      <c r="S33" s="1353">
        <f t="shared" si="12"/>
        <v>100</v>
      </c>
      <c r="T33" s="1352" t="s">
        <v>62</v>
      </c>
      <c r="U33" s="1353">
        <f t="shared" si="13"/>
        <v>100</v>
      </c>
      <c r="V33" s="1352" t="s">
        <v>62</v>
      </c>
      <c r="W33" s="1353">
        <f t="shared" si="14"/>
        <v>100</v>
      </c>
      <c r="X33" s="2221"/>
      <c r="Y33" s="3649" t="s">
        <v>1087</v>
      </c>
      <c r="Z33" s="2220" t="str">
        <f t="shared" si="15"/>
        <v>建筑类型</v>
      </c>
      <c r="AA33" s="1355">
        <f t="shared" si="3"/>
        <v>1</v>
      </c>
      <c r="AB33" s="1355">
        <f t="shared" si="4"/>
        <v>1</v>
      </c>
      <c r="AC33" s="2337">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47"/>
      <c r="Q34" s="1359" t="str">
        <f t="shared" si="11"/>
        <v>项目建筑规模</v>
      </c>
      <c r="R34" s="1360" t="s">
        <v>62</v>
      </c>
      <c r="S34" s="1361" t="e">
        <f t="shared" si="12"/>
        <v>#N/A</v>
      </c>
      <c r="T34" s="1360" t="s">
        <v>62</v>
      </c>
      <c r="U34" s="1361" t="e">
        <f t="shared" si="13"/>
        <v>#N/A</v>
      </c>
      <c r="V34" s="1360" t="s">
        <v>62</v>
      </c>
      <c r="W34" s="1361" t="e">
        <f t="shared" si="14"/>
        <v>#N/A</v>
      </c>
      <c r="X34" s="1362"/>
      <c r="Y34" s="3649"/>
      <c r="Z34" s="1363" t="str">
        <f t="shared" si="15"/>
        <v>项目建筑规模</v>
      </c>
      <c r="AA34" s="1355" t="e">
        <f t="shared" si="3"/>
        <v>#N/A</v>
      </c>
      <c r="AB34" s="1355" t="e">
        <f t="shared" si="4"/>
        <v>#N/A</v>
      </c>
      <c r="AC34" s="2337"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47"/>
      <c r="Q35" s="2219" t="str">
        <f t="shared" si="11"/>
        <v>建筑结构</v>
      </c>
      <c r="R35" s="1352" t="s">
        <v>62</v>
      </c>
      <c r="S35" s="1353">
        <f t="shared" si="12"/>
        <v>100</v>
      </c>
      <c r="T35" s="1352" t="s">
        <v>62</v>
      </c>
      <c r="U35" s="1353">
        <f t="shared" si="13"/>
        <v>100</v>
      </c>
      <c r="V35" s="1352" t="s">
        <v>62</v>
      </c>
      <c r="W35" s="1353">
        <f t="shared" si="14"/>
        <v>100</v>
      </c>
      <c r="X35" s="2221"/>
      <c r="Y35" s="3649"/>
      <c r="Z35" s="2220" t="str">
        <f t="shared" si="15"/>
        <v>建筑结构</v>
      </c>
      <c r="AA35" s="1355">
        <f t="shared" si="3"/>
        <v>1</v>
      </c>
      <c r="AB35" s="1355">
        <f t="shared" si="4"/>
        <v>1</v>
      </c>
      <c r="AC35" s="2337">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47"/>
      <c r="Q36" s="2219" t="str">
        <f t="shared" si="11"/>
        <v>公共部分装修</v>
      </c>
      <c r="R36" s="1352" t="s">
        <v>62</v>
      </c>
      <c r="S36" s="1353">
        <f t="shared" si="12"/>
        <v>100</v>
      </c>
      <c r="T36" s="1352" t="s">
        <v>62</v>
      </c>
      <c r="U36" s="1353">
        <f t="shared" si="13"/>
        <v>100</v>
      </c>
      <c r="V36" s="1352" t="s">
        <v>62</v>
      </c>
      <c r="W36" s="1353">
        <f t="shared" si="14"/>
        <v>100</v>
      </c>
      <c r="X36" s="2221"/>
      <c r="Y36" s="3649"/>
      <c r="Z36" s="2220" t="str">
        <f t="shared" si="15"/>
        <v>公共部分装修</v>
      </c>
      <c r="AA36" s="1355">
        <f t="shared" si="3"/>
        <v>1</v>
      </c>
      <c r="AB36" s="1355">
        <f t="shared" si="4"/>
        <v>1</v>
      </c>
      <c r="AC36" s="2337">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47"/>
      <c r="Q37" s="2219" t="str">
        <f t="shared" si="11"/>
        <v>成新度</v>
      </c>
      <c r="R37" s="1352" t="s">
        <v>62</v>
      </c>
      <c r="S37" s="1353" t="e">
        <f t="shared" si="12"/>
        <v>#N/A</v>
      </c>
      <c r="T37" s="1352" t="s">
        <v>62</v>
      </c>
      <c r="U37" s="1353" t="e">
        <f t="shared" si="13"/>
        <v>#N/A</v>
      </c>
      <c r="V37" s="1352" t="s">
        <v>62</v>
      </c>
      <c r="W37" s="1353" t="e">
        <f t="shared" si="14"/>
        <v>#N/A</v>
      </c>
      <c r="X37" s="2221"/>
      <c r="Y37" s="3649"/>
      <c r="Z37" s="2220" t="str">
        <f t="shared" si="15"/>
        <v>成新度</v>
      </c>
      <c r="AA37" s="1355" t="e">
        <f t="shared" si="3"/>
        <v>#N/A</v>
      </c>
      <c r="AB37" s="1355" t="e">
        <f t="shared" si="4"/>
        <v>#N/A</v>
      </c>
      <c r="AC37" s="2337"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47"/>
      <c r="Q38" s="2212" t="str">
        <f t="shared" si="11"/>
        <v>写字楼等级</v>
      </c>
      <c r="R38" s="1342" t="s">
        <v>62</v>
      </c>
      <c r="S38" s="1343">
        <f t="shared" si="12"/>
        <v>100</v>
      </c>
      <c r="T38" s="1342" t="s">
        <v>62</v>
      </c>
      <c r="U38" s="1343">
        <f t="shared" si="13"/>
        <v>100</v>
      </c>
      <c r="V38" s="1342" t="s">
        <v>62</v>
      </c>
      <c r="W38" s="1343">
        <f t="shared" si="14"/>
        <v>100</v>
      </c>
      <c r="X38" s="287"/>
      <c r="Y38" s="3649"/>
      <c r="Z38" s="2211" t="str">
        <f t="shared" si="15"/>
        <v>写字楼等级</v>
      </c>
      <c r="AA38" s="1344">
        <f t="shared" si="3"/>
        <v>1</v>
      </c>
      <c r="AB38" s="1344">
        <f t="shared" si="4"/>
        <v>1</v>
      </c>
      <c r="AC38" s="2336">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47" t="s">
        <v>67</v>
      </c>
      <c r="Q39" s="2219" t="str">
        <f t="shared" si="11"/>
        <v>物业管理</v>
      </c>
      <c r="R39" s="1352" t="s">
        <v>62</v>
      </c>
      <c r="S39" s="1353">
        <f t="shared" si="12"/>
        <v>100</v>
      </c>
      <c r="T39" s="1352" t="s">
        <v>62</v>
      </c>
      <c r="U39" s="1353">
        <f t="shared" si="13"/>
        <v>100</v>
      </c>
      <c r="V39" s="1352" t="s">
        <v>62</v>
      </c>
      <c r="W39" s="1353">
        <f t="shared" si="14"/>
        <v>100</v>
      </c>
      <c r="X39" s="2221"/>
      <c r="Y39" s="3649" t="s">
        <v>67</v>
      </c>
      <c r="Z39" s="2220" t="str">
        <f t="shared" si="15"/>
        <v>物业管理</v>
      </c>
      <c r="AA39" s="1355">
        <f t="shared" si="3"/>
        <v>1</v>
      </c>
      <c r="AB39" s="1355">
        <f t="shared" si="4"/>
        <v>1</v>
      </c>
      <c r="AC39" s="2337">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47"/>
      <c r="Q40" s="2219" t="str">
        <f t="shared" si="11"/>
        <v>市政基础设施</v>
      </c>
      <c r="R40" s="1352" t="s">
        <v>62</v>
      </c>
      <c r="S40" s="1353">
        <f t="shared" si="12"/>
        <v>100</v>
      </c>
      <c r="T40" s="1352" t="s">
        <v>62</v>
      </c>
      <c r="U40" s="1353">
        <f t="shared" si="13"/>
        <v>100</v>
      </c>
      <c r="V40" s="1352" t="s">
        <v>62</v>
      </c>
      <c r="W40" s="1353">
        <f t="shared" si="14"/>
        <v>100</v>
      </c>
      <c r="X40" s="2221"/>
      <c r="Y40" s="3649"/>
      <c r="Z40" s="2220" t="str">
        <f t="shared" si="15"/>
        <v>市政基础设施</v>
      </c>
      <c r="AA40" s="1355">
        <f t="shared" si="3"/>
        <v>1</v>
      </c>
      <c r="AB40" s="1355">
        <f t="shared" si="4"/>
        <v>1</v>
      </c>
      <c r="AC40" s="2337">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47"/>
      <c r="Q41" s="2219" t="str">
        <f t="shared" si="11"/>
        <v>层高</v>
      </c>
      <c r="R41" s="1352" t="s">
        <v>62</v>
      </c>
      <c r="S41" s="1353">
        <f t="shared" si="12"/>
        <v>100</v>
      </c>
      <c r="T41" s="1352" t="s">
        <v>62</v>
      </c>
      <c r="U41" s="1353">
        <f t="shared" si="13"/>
        <v>100</v>
      </c>
      <c r="V41" s="1352" t="s">
        <v>62</v>
      </c>
      <c r="W41" s="1353">
        <f t="shared" si="14"/>
        <v>100</v>
      </c>
      <c r="X41" s="2221"/>
      <c r="Y41" s="3649"/>
      <c r="Z41" s="2220" t="str">
        <f t="shared" si="15"/>
        <v>层高</v>
      </c>
      <c r="AA41" s="1355">
        <f t="shared" si="3"/>
        <v>1</v>
      </c>
      <c r="AB41" s="1355">
        <f t="shared" si="4"/>
        <v>1</v>
      </c>
      <c r="AC41" s="2337">
        <f t="shared" si="5"/>
        <v>1</v>
      </c>
    </row>
    <row r="42" spans="1:29" s="1039" customFormat="1" ht="14.25">
      <c r="A42" s="1043"/>
      <c r="B42" s="191" t="s">
        <v>1088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47"/>
      <c r="Q42" s="1359" t="str">
        <f t="shared" si="11"/>
        <v>单套建筑面积</v>
      </c>
      <c r="R42" s="1360" t="s">
        <v>62</v>
      </c>
      <c r="S42" s="1361">
        <f t="shared" si="12"/>
        <v>100</v>
      </c>
      <c r="T42" s="1360" t="s">
        <v>62</v>
      </c>
      <c r="U42" s="1361">
        <f t="shared" si="13"/>
        <v>100</v>
      </c>
      <c r="V42" s="1360" t="s">
        <v>62</v>
      </c>
      <c r="W42" s="1361">
        <f t="shared" si="14"/>
        <v>100</v>
      </c>
      <c r="X42" s="1362"/>
      <c r="Y42" s="3649"/>
      <c r="Z42" s="1363" t="str">
        <f t="shared" si="15"/>
        <v>单套建筑面积</v>
      </c>
      <c r="AA42" s="1355">
        <f t="shared" si="3"/>
        <v>1</v>
      </c>
      <c r="AB42" s="1355">
        <f t="shared" si="4"/>
        <v>1</v>
      </c>
      <c r="AC42" s="2337">
        <f t="shared" si="5"/>
        <v>1</v>
      </c>
    </row>
    <row r="43" spans="1:29" ht="15">
      <c r="A43" s="161"/>
      <c r="B43" s="12" t="s">
        <v>1089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47"/>
      <c r="Q43" s="2219" t="str">
        <f t="shared" si="11"/>
        <v>内部装修</v>
      </c>
      <c r="R43" s="1352" t="s">
        <v>62</v>
      </c>
      <c r="S43" s="1353">
        <f t="shared" si="12"/>
        <v>100</v>
      </c>
      <c r="T43" s="1352" t="s">
        <v>62</v>
      </c>
      <c r="U43" s="1353">
        <f t="shared" si="13"/>
        <v>100</v>
      </c>
      <c r="V43" s="1352" t="s">
        <v>62</v>
      </c>
      <c r="W43" s="1353">
        <f t="shared" si="14"/>
        <v>100</v>
      </c>
      <c r="X43" s="2221"/>
      <c r="Y43" s="3649"/>
      <c r="Z43" s="2220" t="str">
        <f t="shared" si="15"/>
        <v>内部装修</v>
      </c>
      <c r="AA43" s="1355">
        <f t="shared" si="3"/>
        <v>1</v>
      </c>
      <c r="AB43" s="1355">
        <f t="shared" si="4"/>
        <v>1</v>
      </c>
      <c r="AC43" s="2337">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47"/>
      <c r="Q44" s="2219" t="str">
        <f t="shared" si="11"/>
        <v>内部装修维护情况</v>
      </c>
      <c r="R44" s="1352" t="s">
        <v>62</v>
      </c>
      <c r="S44" s="1353">
        <f t="shared" si="12"/>
        <v>100</v>
      </c>
      <c r="T44" s="1352" t="s">
        <v>62</v>
      </c>
      <c r="U44" s="1353">
        <f t="shared" si="13"/>
        <v>100</v>
      </c>
      <c r="V44" s="1352" t="s">
        <v>62</v>
      </c>
      <c r="W44" s="1353">
        <f t="shared" si="14"/>
        <v>100</v>
      </c>
      <c r="X44" s="2221"/>
      <c r="Y44" s="3649"/>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47"/>
      <c r="Q45" s="2212">
        <f t="shared" si="11"/>
        <v>111</v>
      </c>
      <c r="R45" s="1342" t="s">
        <v>62</v>
      </c>
      <c r="S45" s="1343">
        <f t="shared" si="12"/>
        <v>100</v>
      </c>
      <c r="T45" s="1342" t="s">
        <v>62</v>
      </c>
      <c r="U45" s="1343">
        <f t="shared" si="13"/>
        <v>100</v>
      </c>
      <c r="V45" s="1342" t="s">
        <v>62</v>
      </c>
      <c r="W45" s="1343">
        <f t="shared" si="14"/>
        <v>100</v>
      </c>
      <c r="X45" s="287"/>
      <c r="Y45" s="3649"/>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47"/>
      <c r="Q46" s="2219">
        <f t="shared" si="11"/>
        <v>111</v>
      </c>
      <c r="R46" s="1352" t="s">
        <v>62</v>
      </c>
      <c r="S46" s="1353">
        <f t="shared" si="12"/>
        <v>100</v>
      </c>
      <c r="T46" s="1352" t="s">
        <v>62</v>
      </c>
      <c r="U46" s="1353">
        <f t="shared" si="13"/>
        <v>100</v>
      </c>
      <c r="V46" s="1352" t="s">
        <v>62</v>
      </c>
      <c r="W46" s="1353">
        <f t="shared" si="14"/>
        <v>100</v>
      </c>
      <c r="X46" s="2221"/>
      <c r="Y46" s="3649"/>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48"/>
      <c r="Q47" s="2219">
        <f t="shared" si="11"/>
        <v>111</v>
      </c>
      <c r="R47" s="1352" t="s">
        <v>62</v>
      </c>
      <c r="S47" s="1353">
        <f t="shared" si="12"/>
        <v>100</v>
      </c>
      <c r="T47" s="1352" t="s">
        <v>62</v>
      </c>
      <c r="U47" s="1353">
        <f t="shared" si="13"/>
        <v>100</v>
      </c>
      <c r="V47" s="1352" t="s">
        <v>62</v>
      </c>
      <c r="W47" s="1353">
        <f t="shared" si="14"/>
        <v>100</v>
      </c>
      <c r="X47" s="2221"/>
      <c r="Y47" s="3650"/>
      <c r="Z47" s="2220">
        <f t="shared" si="15"/>
        <v>111</v>
      </c>
      <c r="AA47" s="1355">
        <f t="shared" si="3"/>
        <v>1</v>
      </c>
      <c r="AB47" s="1355">
        <f t="shared" si="4"/>
        <v>1</v>
      </c>
      <c r="AC47" s="2337">
        <f t="shared" si="5"/>
        <v>1</v>
      </c>
    </row>
    <row r="48" spans="1:29" ht="15">
      <c r="A48" s="163" t="s">
        <v>1030</v>
      </c>
      <c r="B48" s="164"/>
      <c r="C48" s="2833" t="s">
        <v>23</v>
      </c>
      <c r="D48" s="2834"/>
      <c r="E48" s="2835"/>
      <c r="F48" s="2836"/>
      <c r="G48" s="2837"/>
      <c r="H48" s="2838"/>
      <c r="I48" s="2835"/>
      <c r="J48" s="828"/>
      <c r="K48" s="1393"/>
      <c r="L48" s="2303"/>
      <c r="M48" s="2296"/>
      <c r="N48" s="2296"/>
      <c r="O48" s="2296"/>
      <c r="P48" s="3624" t="str">
        <f>A48</f>
        <v>成交单价（元/平方米）</v>
      </c>
      <c r="Q48" s="3642"/>
      <c r="R48" s="3643">
        <f>E48</f>
        <v>0</v>
      </c>
      <c r="S48" s="3643"/>
      <c r="T48" s="3643">
        <f>G48</f>
        <v>0</v>
      </c>
      <c r="U48" s="3643"/>
      <c r="V48" s="3643">
        <f>I48</f>
        <v>0</v>
      </c>
      <c r="W48" s="3643"/>
      <c r="X48" s="156"/>
      <c r="Y48" s="1366"/>
      <c r="Z48" s="156"/>
      <c r="AA48" s="156"/>
      <c r="AB48" s="156"/>
      <c r="AC48" s="209"/>
    </row>
    <row r="49" spans="1:29" ht="15.75" thickBot="1">
      <c r="A49" s="165" t="s">
        <v>1031</v>
      </c>
      <c r="B49" s="166"/>
      <c r="C49" s="2839" t="e">
        <f>R50</f>
        <v>#DIV/0!</v>
      </c>
      <c r="D49" s="2840"/>
      <c r="E49" s="2841" t="e">
        <f>R49</f>
        <v>#DIV/0!</v>
      </c>
      <c r="F49" s="2841"/>
      <c r="G49" s="2839" t="e">
        <f>T49</f>
        <v>#DIV/0!</v>
      </c>
      <c r="H49" s="2840"/>
      <c r="I49" s="2841" t="e">
        <f>V49</f>
        <v>#DIV/0!</v>
      </c>
      <c r="J49" s="832"/>
      <c r="K49" s="1394"/>
      <c r="L49" s="2303"/>
      <c r="M49" s="2296"/>
      <c r="N49" s="2296"/>
      <c r="O49" s="2296"/>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6"/>
      <c r="Y49" s="156"/>
      <c r="Z49" s="156"/>
      <c r="AA49" s="156"/>
      <c r="AB49" s="156"/>
      <c r="AC49" s="209"/>
    </row>
    <row r="50" spans="1:29" ht="15.75" thickBot="1">
      <c r="A50" s="115" t="s">
        <v>3004</v>
      </c>
      <c r="B50" s="116"/>
      <c r="C50" s="2843" t="e">
        <f>R50</f>
        <v>#DIV/0!</v>
      </c>
      <c r="D50" s="2843"/>
      <c r="E50" s="2843"/>
      <c r="F50" s="2843"/>
      <c r="G50" s="2843"/>
      <c r="H50" s="2843"/>
      <c r="I50" s="2843"/>
      <c r="J50" s="837"/>
      <c r="K50" s="1395"/>
      <c r="L50" s="2303"/>
      <c r="M50" s="2296"/>
      <c r="N50" s="2296"/>
      <c r="O50" s="2296"/>
      <c r="P50" s="3665" t="str">
        <f>A50</f>
        <v>估价对象XX用房的比较价值（楼面单价，元/平方米）</v>
      </c>
      <c r="Q50" s="3666"/>
      <c r="R50" s="3667" t="e">
        <f>IF(F1="售价",ROUND(AVERAGE(R49:V49),0),ROUND(AVERAGE(R49:V49),1))</f>
        <v>#DIV/0!</v>
      </c>
      <c r="S50" s="3667"/>
      <c r="T50" s="3667"/>
      <c r="U50" s="3667"/>
      <c r="V50" s="3667"/>
      <c r="W50" s="3667"/>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1032</v>
      </c>
      <c r="B58" s="1365"/>
      <c r="C58" s="1373"/>
      <c r="D58" s="1373"/>
      <c r="E58" s="1373"/>
      <c r="F58" s="1374"/>
      <c r="G58" s="1374"/>
      <c r="H58" s="1373"/>
      <c r="I58" s="1373"/>
      <c r="J58" s="1373"/>
      <c r="K58" s="1375"/>
      <c r="L58" s="2311"/>
      <c r="M58" s="2312"/>
      <c r="N58" s="2312"/>
      <c r="O58" s="2312"/>
      <c r="P58" s="2326"/>
      <c r="Q58" s="121"/>
    </row>
    <row r="59" spans="1:29" s="851" customFormat="1" ht="15">
      <c r="A59" s="848" t="s">
        <v>2782</v>
      </c>
      <c r="B59" s="849"/>
      <c r="C59" s="3041" t="str">
        <f>YEAR(C7)&amp;"-"&amp;MONTH(C7)</f>
        <v>2017-10</v>
      </c>
      <c r="D59" s="3042">
        <f>EDATE(C59,-1)</f>
        <v>42979</v>
      </c>
      <c r="E59" s="3042">
        <f>EDATE(D59,-1)</f>
        <v>42948</v>
      </c>
      <c r="F59" s="3042">
        <f t="shared" ref="F59:O59" si="16">EDATE(E59,-1)</f>
        <v>42917</v>
      </c>
      <c r="G59" s="3042">
        <f t="shared" si="16"/>
        <v>42887</v>
      </c>
      <c r="H59" s="3042">
        <f t="shared" si="16"/>
        <v>42856</v>
      </c>
      <c r="I59" s="3042">
        <f t="shared" si="16"/>
        <v>42826</v>
      </c>
      <c r="J59" s="3042">
        <f t="shared" si="16"/>
        <v>42795</v>
      </c>
      <c r="K59" s="3042">
        <f t="shared" si="16"/>
        <v>42767</v>
      </c>
      <c r="L59" s="3042">
        <f t="shared" si="16"/>
        <v>42736</v>
      </c>
      <c r="M59" s="3042">
        <f t="shared" si="16"/>
        <v>42705</v>
      </c>
      <c r="N59" s="3042">
        <f t="shared" si="16"/>
        <v>42675</v>
      </c>
      <c r="O59" s="3042">
        <f t="shared" si="16"/>
        <v>42644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1033</v>
      </c>
      <c r="B61" s="1048"/>
      <c r="C61" s="860"/>
      <c r="D61" s="861"/>
      <c r="E61" s="861"/>
      <c r="F61" s="861"/>
      <c r="G61" s="861"/>
      <c r="H61" s="861"/>
      <c r="I61" s="861"/>
      <c r="J61" s="861"/>
      <c r="K61" s="861"/>
      <c r="L61" s="861"/>
      <c r="M61" s="862"/>
      <c r="N61" s="861"/>
      <c r="O61" s="862"/>
      <c r="P61" s="2327"/>
      <c r="Q61" s="121"/>
    </row>
    <row r="62" spans="1:29" s="40" customFormat="1">
      <c r="A62" s="1049" t="s">
        <v>1034</v>
      </c>
      <c r="B62" s="1046"/>
      <c r="C62" s="1050" t="s">
        <v>1035</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1036</v>
      </c>
      <c r="B64" s="286" t="s">
        <v>1037</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1038</v>
      </c>
      <c r="C66" s="882" t="s">
        <v>1003</v>
      </c>
      <c r="D66" s="882" t="s">
        <v>1004</v>
      </c>
      <c r="E66" s="882" t="s">
        <v>1005</v>
      </c>
      <c r="F66" s="882" t="s">
        <v>1006</v>
      </c>
      <c r="G66" s="882" t="s">
        <v>1007</v>
      </c>
      <c r="H66" s="882" t="s">
        <v>1008</v>
      </c>
      <c r="I66" s="882" t="s">
        <v>1009</v>
      </c>
      <c r="J66" s="882"/>
      <c r="K66" s="883"/>
      <c r="L66" s="884"/>
      <c r="M66" s="885"/>
      <c r="N66" s="1389"/>
      <c r="O66" s="1389"/>
      <c r="P66" s="2329"/>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1039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1040</v>
      </c>
      <c r="B77" s="286" t="s">
        <v>1090</v>
      </c>
      <c r="C77" s="916" t="s">
        <v>1010</v>
      </c>
      <c r="D77" s="916" t="s">
        <v>1011</v>
      </c>
      <c r="E77" s="916" t="s">
        <v>1012</v>
      </c>
      <c r="F77" s="916" t="s">
        <v>1013</v>
      </c>
      <c r="G77" s="916" t="s">
        <v>1014</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1047</v>
      </c>
      <c r="C79" s="921" t="s">
        <v>1010</v>
      </c>
      <c r="D79" s="921" t="s">
        <v>1011</v>
      </c>
      <c r="E79" s="921" t="s">
        <v>1012</v>
      </c>
      <c r="F79" s="921" t="s">
        <v>1099</v>
      </c>
      <c r="G79" s="921" t="s">
        <v>1014</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1010</v>
      </c>
      <c r="D81" s="921" t="s">
        <v>1011</v>
      </c>
      <c r="E81" s="921" t="s">
        <v>1012</v>
      </c>
      <c r="F81" s="921" t="s">
        <v>1013</v>
      </c>
      <c r="G81" s="921" t="s">
        <v>1014</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2652</v>
      </c>
      <c r="C83" s="213" t="s">
        <v>2645</v>
      </c>
      <c r="D83" s="213" t="s">
        <v>2646</v>
      </c>
      <c r="E83" s="213" t="s">
        <v>2647</v>
      </c>
      <c r="F83" s="213" t="s">
        <v>2648</v>
      </c>
      <c r="G83" s="213" t="s">
        <v>2649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1010</v>
      </c>
      <c r="D85" s="921" t="s">
        <v>1011</v>
      </c>
      <c r="E85" s="921" t="s">
        <v>1012</v>
      </c>
      <c r="F85" s="921" t="s">
        <v>1013</v>
      </c>
      <c r="G85" s="921" t="s">
        <v>1014</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1050</v>
      </c>
      <c r="B101" s="286" t="s">
        <v>1093</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1053</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1054</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1094</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1095</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1057</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1058</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1060</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1061</v>
      </c>
      <c r="C125" s="921" t="s">
        <v>1010</v>
      </c>
      <c r="D125" s="921" t="s">
        <v>1011</v>
      </c>
      <c r="E125" s="921" t="s">
        <v>1012</v>
      </c>
      <c r="F125" s="921" t="s">
        <v>1013</v>
      </c>
      <c r="G125" s="921" t="s">
        <v>1014</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1100</v>
      </c>
      <c r="B1" s="3118" t="s">
        <v>1101</v>
      </c>
      <c r="C1" s="3112" t="s">
        <v>1102</v>
      </c>
      <c r="D1" s="3103"/>
      <c r="E1" s="3108"/>
      <c r="F1" s="3105"/>
      <c r="G1" s="3107" t="s">
        <v>1103</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1104</v>
      </c>
      <c r="B2" s="2844" t="e">
        <f ca="1">IF(C2="——",ROUND(C43*D3/10000,0),ROUND(C43*D3/10000,0)-D2)</f>
        <v>#DIV/0!</v>
      </c>
      <c r="C2" s="3097"/>
      <c r="D2" s="2342"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37870.639999999999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625" t="s">
        <v>1108</v>
      </c>
      <c r="D4" s="3626"/>
      <c r="E4" s="3627" t="s">
        <v>1109</v>
      </c>
      <c r="F4" s="3628"/>
      <c r="G4" s="3625" t="s">
        <v>1110</v>
      </c>
      <c r="H4" s="3626"/>
      <c r="I4" s="3625" t="s">
        <v>1111</v>
      </c>
      <c r="J4" s="3626"/>
      <c r="K4" s="187" t="s">
        <v>1112</v>
      </c>
      <c r="L4" s="2295"/>
      <c r="M4" s="2296"/>
      <c r="N4" s="2296"/>
      <c r="O4" s="2296"/>
      <c r="P4" s="3629" t="s">
        <v>1107</v>
      </c>
      <c r="Q4" s="3630"/>
      <c r="R4" s="3612" t="s">
        <v>1109</v>
      </c>
      <c r="S4" s="3613"/>
      <c r="T4" s="3612" t="s">
        <v>1110</v>
      </c>
      <c r="U4" s="3613"/>
      <c r="V4" s="3637" t="s">
        <v>1111</v>
      </c>
      <c r="W4" s="3637"/>
      <c r="X4" s="1340"/>
      <c r="Y4" s="3612" t="s">
        <v>1107</v>
      </c>
      <c r="Z4" s="3613"/>
      <c r="AA4" s="3607" t="s">
        <v>1109</v>
      </c>
      <c r="AB4" s="3608" t="s">
        <v>1110</v>
      </c>
      <c r="AC4" s="3607" t="s">
        <v>1111</v>
      </c>
    </row>
    <row r="5" spans="1:29">
      <c r="A5" s="146"/>
      <c r="B5" s="147"/>
      <c r="C5" s="3618" t="s">
        <v>1113</v>
      </c>
      <c r="D5" s="3619"/>
      <c r="E5" s="3616" t="s">
        <v>1114</v>
      </c>
      <c r="F5" s="3617"/>
      <c r="G5" s="3618" t="s">
        <v>1115</v>
      </c>
      <c r="H5" s="3619"/>
      <c r="I5" s="3618" t="s">
        <v>1116</v>
      </c>
      <c r="J5" s="3619"/>
      <c r="K5" s="187"/>
      <c r="L5" s="2295"/>
      <c r="M5" s="2296"/>
      <c r="N5" s="2296"/>
      <c r="O5" s="2296"/>
      <c r="P5" s="3631"/>
      <c r="Q5" s="3632"/>
      <c r="R5" s="3614"/>
      <c r="S5" s="3615"/>
      <c r="T5" s="3614"/>
      <c r="U5" s="3615"/>
      <c r="V5" s="3637"/>
      <c r="W5" s="3637"/>
      <c r="X5" s="1340"/>
      <c r="Y5" s="3614"/>
      <c r="Z5" s="3615"/>
      <c r="AA5" s="3608"/>
      <c r="AB5" s="3608"/>
      <c r="AC5" s="3608"/>
    </row>
    <row r="6" spans="1:29" ht="14.25" thickBot="1">
      <c r="A6" s="148"/>
      <c r="B6" s="149"/>
      <c r="C6" s="3620" t="s">
        <v>1117</v>
      </c>
      <c r="D6" s="3621"/>
      <c r="E6" s="3622" t="s">
        <v>1117</v>
      </c>
      <c r="F6" s="3623"/>
      <c r="G6" s="3620" t="s">
        <v>1117</v>
      </c>
      <c r="H6" s="3621"/>
      <c r="I6" s="3620" t="s">
        <v>1117</v>
      </c>
      <c r="J6" s="3621"/>
      <c r="K6" s="187" t="s">
        <v>1118</v>
      </c>
      <c r="L6" s="2295"/>
      <c r="M6" s="2296"/>
      <c r="N6" s="2296"/>
      <c r="O6" s="2296"/>
      <c r="P6" s="3633"/>
      <c r="Q6" s="3634"/>
      <c r="R6" s="3614"/>
      <c r="S6" s="3615"/>
      <c r="T6" s="3635"/>
      <c r="U6" s="3636"/>
      <c r="V6" s="3637"/>
      <c r="W6" s="3637"/>
      <c r="X6" s="1340"/>
      <c r="Y6" s="3635"/>
      <c r="Z6" s="3636"/>
      <c r="AA6" s="3609"/>
      <c r="AB6" s="3609"/>
      <c r="AC6" s="3609"/>
    </row>
    <row r="7" spans="1:29" s="40" customFormat="1" ht="15" thickBot="1">
      <c r="A7" s="1014" t="s">
        <v>1119</v>
      </c>
      <c r="B7" s="1015"/>
      <c r="C7" s="753">
        <f>'数据-取费表'!B2</f>
        <v>43026</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10" t="s">
        <v>1119</v>
      </c>
      <c r="Q7" s="3638"/>
      <c r="R7" s="1342" t="s">
        <v>62</v>
      </c>
      <c r="S7" s="1343">
        <f t="shared" ref="S7:S15" si="0">F7</f>
        <v>0</v>
      </c>
      <c r="T7" s="1342" t="s">
        <v>62</v>
      </c>
      <c r="U7" s="1343">
        <f t="shared" ref="U7:U15" si="1">H7</f>
        <v>0</v>
      </c>
      <c r="V7" s="1342" t="s">
        <v>62</v>
      </c>
      <c r="W7" s="1343">
        <f t="shared" ref="W7:W15" si="2">J7</f>
        <v>0</v>
      </c>
      <c r="X7" s="287"/>
      <c r="Y7" s="3610" t="s">
        <v>1119</v>
      </c>
      <c r="Z7" s="3611"/>
      <c r="AA7" s="1344" t="e">
        <f>D7/F7</f>
        <v>#DIV/0!</v>
      </c>
      <c r="AB7" s="1344" t="e">
        <f>D7/H7</f>
        <v>#DIV/0!</v>
      </c>
      <c r="AC7" s="1344" t="e">
        <f>D7/J7</f>
        <v>#DIV/0!</v>
      </c>
    </row>
    <row r="8" spans="1:29" s="40" customFormat="1" ht="15" thickBot="1">
      <c r="A8" s="1014" t="s">
        <v>1120</v>
      </c>
      <c r="B8" s="1015"/>
      <c r="C8" s="1020" t="s">
        <v>152</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10" t="s">
        <v>1015</v>
      </c>
      <c r="Q8" s="3611"/>
      <c r="R8" s="1342" t="s">
        <v>62</v>
      </c>
      <c r="S8" s="1343">
        <f t="shared" si="0"/>
        <v>0</v>
      </c>
      <c r="T8" s="1342" t="s">
        <v>62</v>
      </c>
      <c r="U8" s="1343">
        <f t="shared" si="1"/>
        <v>0</v>
      </c>
      <c r="V8" s="1342" t="s">
        <v>62</v>
      </c>
      <c r="W8" s="1343">
        <f t="shared" si="2"/>
        <v>0</v>
      </c>
      <c r="X8" s="287"/>
      <c r="Y8" s="3610" t="s">
        <v>1015</v>
      </c>
      <c r="Z8" s="3611"/>
      <c r="AA8" s="1344" t="e">
        <f t="shared" ref="AA8:AA40" si="3">D8/F8</f>
        <v>#DIV/0!</v>
      </c>
      <c r="AB8" s="1344" t="e">
        <f t="shared" ref="AB8:AB40" si="4">D8/H8</f>
        <v>#DIV/0!</v>
      </c>
      <c r="AC8" s="1344" t="e">
        <f t="shared" ref="AC8:AC40" si="5">D8/J8</f>
        <v>#DIV/0!</v>
      </c>
    </row>
    <row r="9" spans="1:29" s="40" customFormat="1" ht="14.25">
      <c r="A9" s="1021" t="s">
        <v>1016</v>
      </c>
      <c r="B9" s="62" t="s">
        <v>1017</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42"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42"/>
      <c r="Q10" s="7" t="str">
        <f t="shared" si="6"/>
        <v>土地使用年限（年）</v>
      </c>
      <c r="R10" s="1342" t="s">
        <v>62</v>
      </c>
      <c r="S10" s="1343">
        <f t="shared" si="0"/>
        <v>100</v>
      </c>
      <c r="T10" s="1342" t="s">
        <v>62</v>
      </c>
      <c r="U10" s="1343">
        <f t="shared" si="1"/>
        <v>100</v>
      </c>
      <c r="V10" s="1342" t="s">
        <v>62</v>
      </c>
      <c r="W10" s="1343">
        <f t="shared" si="2"/>
        <v>100</v>
      </c>
      <c r="X10" s="287"/>
      <c r="Y10" s="3448"/>
      <c r="Z10" s="288" t="str">
        <f t="shared" si="7"/>
        <v>土地使用年限（年）</v>
      </c>
      <c r="AA10" s="1344">
        <f t="shared" si="3"/>
        <v>1</v>
      </c>
      <c r="AB10" s="1344">
        <f t="shared" si="4"/>
        <v>1</v>
      </c>
      <c r="AC10" s="1344">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42"/>
      <c r="Q11" s="7" t="str">
        <f t="shared" si="6"/>
        <v>容积率</v>
      </c>
      <c r="R11" s="1342" t="s">
        <v>62</v>
      </c>
      <c r="S11" s="1343" t="e">
        <f t="shared" si="0"/>
        <v>#N/A</v>
      </c>
      <c r="T11" s="1342" t="s">
        <v>62</v>
      </c>
      <c r="U11" s="1343" t="e">
        <f t="shared" si="1"/>
        <v>#N/A</v>
      </c>
      <c r="V11" s="1342" t="s">
        <v>62</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42"/>
      <c r="Q12" s="7">
        <f t="shared" si="6"/>
        <v>111</v>
      </c>
      <c r="R12" s="1342" t="s">
        <v>62</v>
      </c>
      <c r="S12" s="1343">
        <f t="shared" si="0"/>
        <v>100</v>
      </c>
      <c r="T12" s="1342" t="s">
        <v>62</v>
      </c>
      <c r="U12" s="1343">
        <f t="shared" si="1"/>
        <v>100</v>
      </c>
      <c r="V12" s="1342" t="s">
        <v>62</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42"/>
      <c r="Q13" s="7">
        <f t="shared" si="6"/>
        <v>111</v>
      </c>
      <c r="R13" s="1342" t="s">
        <v>62</v>
      </c>
      <c r="S13" s="1343">
        <f t="shared" si="0"/>
        <v>100</v>
      </c>
      <c r="T13" s="1342" t="s">
        <v>62</v>
      </c>
      <c r="U13" s="1343">
        <f t="shared" si="1"/>
        <v>100</v>
      </c>
      <c r="V13" s="1342" t="s">
        <v>62</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42"/>
      <c r="Q14" s="7">
        <f t="shared" si="6"/>
        <v>111</v>
      </c>
      <c r="R14" s="1342" t="s">
        <v>62</v>
      </c>
      <c r="S14" s="1343">
        <f t="shared" si="0"/>
        <v>100</v>
      </c>
      <c r="T14" s="1342" t="s">
        <v>62</v>
      </c>
      <c r="U14" s="1343">
        <f t="shared" si="1"/>
        <v>100</v>
      </c>
      <c r="V14" s="1342" t="s">
        <v>62</v>
      </c>
      <c r="W14" s="1343">
        <f t="shared" si="2"/>
        <v>100</v>
      </c>
      <c r="X14" s="287"/>
      <c r="Y14" s="3448"/>
      <c r="Z14" s="288">
        <f t="shared" si="7"/>
        <v>111</v>
      </c>
      <c r="AA14" s="1344">
        <f t="shared" si="3"/>
        <v>1</v>
      </c>
      <c r="AB14" s="1344">
        <f t="shared" si="4"/>
        <v>1</v>
      </c>
      <c r="AC14" s="1344">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4" t="s">
        <v>66</v>
      </c>
      <c r="Q15" s="1351" t="str">
        <f t="shared" si="6"/>
        <v>产业集聚程度</v>
      </c>
      <c r="R15" s="1352" t="s">
        <v>62</v>
      </c>
      <c r="S15" s="1353">
        <f t="shared" si="0"/>
        <v>100</v>
      </c>
      <c r="T15" s="1352" t="s">
        <v>62</v>
      </c>
      <c r="U15" s="1353">
        <f t="shared" si="1"/>
        <v>100</v>
      </c>
      <c r="V15" s="1352" t="s">
        <v>62</v>
      </c>
      <c r="W15" s="1353">
        <f t="shared" si="2"/>
        <v>100</v>
      </c>
      <c r="X15" s="1340"/>
      <c r="Y15" s="3644" t="s">
        <v>66</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45"/>
      <c r="Q16" s="1351"/>
      <c r="R16" s="1352"/>
      <c r="S16" s="1353"/>
      <c r="T16" s="1352"/>
      <c r="U16" s="1353"/>
      <c r="V16" s="1352"/>
      <c r="W16" s="1353"/>
      <c r="X16" s="1340"/>
      <c r="Y16" s="3645"/>
      <c r="Z16" s="1354"/>
      <c r="AA16" s="1355">
        <v>1</v>
      </c>
      <c r="AB16" s="1355">
        <v>1</v>
      </c>
      <c r="AC16" s="1355">
        <v>1</v>
      </c>
    </row>
    <row r="17" spans="1:29" ht="94.5">
      <c r="A17" s="151"/>
      <c r="B17" s="1356"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5"/>
      <c r="Q17" s="1351" t="str">
        <f>B17</f>
        <v>交通便捷度</v>
      </c>
      <c r="R17" s="1352" t="s">
        <v>62</v>
      </c>
      <c r="S17" s="1353">
        <f>F17</f>
        <v>100</v>
      </c>
      <c r="T17" s="1352" t="s">
        <v>62</v>
      </c>
      <c r="U17" s="1353">
        <f>H17</f>
        <v>100</v>
      </c>
      <c r="V17" s="1352" t="s">
        <v>62</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45"/>
      <c r="Q18" s="1351"/>
      <c r="R18" s="1352"/>
      <c r="S18" s="1353"/>
      <c r="T18" s="1352"/>
      <c r="U18" s="1353"/>
      <c r="V18" s="1352"/>
      <c r="W18" s="1353"/>
      <c r="X18" s="1340"/>
      <c r="Y18" s="3645"/>
      <c r="Z18" s="1354"/>
      <c r="AA18" s="1355">
        <v>1</v>
      </c>
      <c r="AB18" s="1355">
        <v>1</v>
      </c>
      <c r="AC18" s="1355">
        <v>1</v>
      </c>
    </row>
    <row r="19" spans="1:29" ht="40.5">
      <c r="A19" s="151"/>
      <c r="B19" s="1356"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5"/>
      <c r="Q19" s="1351" t="str">
        <f>B19</f>
        <v>公共配套设施</v>
      </c>
      <c r="R19" s="1352" t="s">
        <v>62</v>
      </c>
      <c r="S19" s="1353">
        <f>F19</f>
        <v>100</v>
      </c>
      <c r="T19" s="1352" t="s">
        <v>62</v>
      </c>
      <c r="U19" s="1353">
        <f>H19</f>
        <v>100</v>
      </c>
      <c r="V19" s="1352" t="s">
        <v>62</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45"/>
      <c r="Q20" s="1351"/>
      <c r="R20" s="1352"/>
      <c r="S20" s="1353"/>
      <c r="T20" s="1352"/>
      <c r="U20" s="1353"/>
      <c r="V20" s="1352"/>
      <c r="W20" s="1353"/>
      <c r="X20" s="1340"/>
      <c r="Y20" s="3645"/>
      <c r="Z20" s="1354"/>
      <c r="AA20" s="1355">
        <v>1</v>
      </c>
      <c r="AB20" s="1355">
        <v>1</v>
      </c>
      <c r="AC20" s="1355">
        <v>1</v>
      </c>
    </row>
    <row r="21" spans="1:29" ht="40.5">
      <c r="A21" s="151"/>
      <c r="B21" s="1412"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5"/>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45"/>
      <c r="Q22" s="2746"/>
      <c r="R22" s="1352"/>
      <c r="S22" s="1353"/>
      <c r="T22" s="1352"/>
      <c r="U22" s="1353"/>
      <c r="V22" s="1352"/>
      <c r="W22" s="1353"/>
      <c r="X22" s="2748"/>
      <c r="Y22" s="3645"/>
      <c r="Z22" s="2747"/>
      <c r="AA22" s="1355">
        <v>1</v>
      </c>
      <c r="AB22" s="1355">
        <v>1</v>
      </c>
      <c r="AC22" s="1355">
        <v>1</v>
      </c>
    </row>
    <row r="23" spans="1:29" ht="81">
      <c r="A23" s="151"/>
      <c r="B23" s="1356"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5"/>
      <c r="Q23" s="1351" t="str">
        <f>B23</f>
        <v>环境质量</v>
      </c>
      <c r="R23" s="1352" t="s">
        <v>62</v>
      </c>
      <c r="S23" s="1353">
        <f>F23</f>
        <v>100</v>
      </c>
      <c r="T23" s="1352" t="s">
        <v>62</v>
      </c>
      <c r="U23" s="1353">
        <f>H23</f>
        <v>100</v>
      </c>
      <c r="V23" s="1352" t="s">
        <v>62</v>
      </c>
      <c r="W23" s="1353">
        <f>J23</f>
        <v>100</v>
      </c>
      <c r="X23" s="1340"/>
      <c r="Y23" s="364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45"/>
      <c r="Q24" s="1351"/>
      <c r="R24" s="1352"/>
      <c r="S24" s="1353"/>
      <c r="T24" s="1352"/>
      <c r="U24" s="1353"/>
      <c r="V24" s="1352"/>
      <c r="W24" s="1353"/>
      <c r="X24" s="1340"/>
      <c r="Y24" s="364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5"/>
      <c r="Q25" s="1351">
        <f>B25</f>
        <v>111</v>
      </c>
      <c r="R25" s="1352" t="s">
        <v>62</v>
      </c>
      <c r="S25" s="1353">
        <f>F25</f>
        <v>100</v>
      </c>
      <c r="T25" s="1352" t="s">
        <v>62</v>
      </c>
      <c r="U25" s="1353">
        <f>H25</f>
        <v>100</v>
      </c>
      <c r="V25" s="1352" t="s">
        <v>62</v>
      </c>
      <c r="W25" s="1353">
        <f>J25</f>
        <v>100</v>
      </c>
      <c r="X25" s="1340"/>
      <c r="Y25" s="364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5"/>
      <c r="Q26" s="1351">
        <f t="shared" ref="Q26:Q40" si="11">B26</f>
        <v>111</v>
      </c>
      <c r="R26" s="1352" t="s">
        <v>62</v>
      </c>
      <c r="S26" s="1353">
        <f>F26</f>
        <v>100</v>
      </c>
      <c r="T26" s="1352" t="s">
        <v>62</v>
      </c>
      <c r="U26" s="1353">
        <f>H26</f>
        <v>100</v>
      </c>
      <c r="V26" s="1352" t="s">
        <v>62</v>
      </c>
      <c r="W26" s="1353">
        <f>J26</f>
        <v>100</v>
      </c>
      <c r="X26" s="1340"/>
      <c r="Y26" s="364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5"/>
      <c r="Q27" s="7">
        <f t="shared" si="11"/>
        <v>111</v>
      </c>
      <c r="R27" s="1342" t="s">
        <v>62</v>
      </c>
      <c r="S27" s="1343">
        <f>F27</f>
        <v>100</v>
      </c>
      <c r="T27" s="1342" t="s">
        <v>62</v>
      </c>
      <c r="U27" s="1343">
        <f>H27</f>
        <v>100</v>
      </c>
      <c r="V27" s="1342" t="s">
        <v>62</v>
      </c>
      <c r="W27" s="1343">
        <f>J27</f>
        <v>100</v>
      </c>
      <c r="X27" s="287"/>
      <c r="Y27" s="364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5"/>
      <c r="Q28" s="1351">
        <f t="shared" si="11"/>
        <v>111</v>
      </c>
      <c r="R28" s="1352" t="s">
        <v>62</v>
      </c>
      <c r="S28" s="1353">
        <f t="shared" ref="S28:S40" si="12">F28</f>
        <v>100</v>
      </c>
      <c r="T28" s="1352" t="s">
        <v>62</v>
      </c>
      <c r="U28" s="1353">
        <f t="shared" ref="U28:U40" si="13">H28</f>
        <v>100</v>
      </c>
      <c r="V28" s="1352" t="s">
        <v>62</v>
      </c>
      <c r="W28" s="1353">
        <f t="shared" ref="W28:W40" si="14">J28</f>
        <v>100</v>
      </c>
      <c r="X28" s="1340"/>
      <c r="Y28" s="3645"/>
      <c r="Z28" s="1354">
        <f t="shared" ref="Z28:Z40" si="15">Q28</f>
        <v>111</v>
      </c>
      <c r="AA28" s="1355">
        <f t="shared" si="3"/>
        <v>1</v>
      </c>
      <c r="AB28" s="1355">
        <f t="shared" si="4"/>
        <v>1</v>
      </c>
      <c r="AC28" s="1355">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8" t="s">
        <v>1121</v>
      </c>
      <c r="Q29" s="1351" t="str">
        <f t="shared" si="11"/>
        <v>建筑类型</v>
      </c>
      <c r="R29" s="1352" t="s">
        <v>62</v>
      </c>
      <c r="S29" s="1353">
        <f t="shared" si="12"/>
        <v>100</v>
      </c>
      <c r="T29" s="1352" t="s">
        <v>62</v>
      </c>
      <c r="U29" s="1353">
        <f t="shared" si="13"/>
        <v>100</v>
      </c>
      <c r="V29" s="1352" t="s">
        <v>62</v>
      </c>
      <c r="W29" s="1353">
        <f t="shared" si="14"/>
        <v>100</v>
      </c>
      <c r="X29" s="1340"/>
      <c r="Y29" s="3649" t="s">
        <v>1121</v>
      </c>
      <c r="Z29" s="1354" t="str">
        <f t="shared" si="15"/>
        <v>建筑类型</v>
      </c>
      <c r="AA29" s="1355">
        <f t="shared" si="3"/>
        <v>1</v>
      </c>
      <c r="AB29" s="1355">
        <f t="shared" si="4"/>
        <v>1</v>
      </c>
      <c r="AC29" s="1355">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49"/>
      <c r="Q30" s="1359" t="str">
        <f t="shared" si="11"/>
        <v>项目建筑规模</v>
      </c>
      <c r="R30" s="1360" t="s">
        <v>62</v>
      </c>
      <c r="S30" s="1361" t="e">
        <f t="shared" si="12"/>
        <v>#N/A</v>
      </c>
      <c r="T30" s="1360" t="s">
        <v>62</v>
      </c>
      <c r="U30" s="1361" t="e">
        <f t="shared" si="13"/>
        <v>#N/A</v>
      </c>
      <c r="V30" s="1360" t="s">
        <v>62</v>
      </c>
      <c r="W30" s="1361" t="e">
        <f t="shared" si="14"/>
        <v>#N/A</v>
      </c>
      <c r="X30" s="1362"/>
      <c r="Y30" s="3649"/>
      <c r="Z30" s="1363" t="str">
        <f t="shared" si="15"/>
        <v>项目建筑规模</v>
      </c>
      <c r="AA30" s="1355" t="e">
        <f t="shared" si="3"/>
        <v>#N/A</v>
      </c>
      <c r="AB30" s="1355" t="e">
        <f t="shared" si="4"/>
        <v>#N/A</v>
      </c>
      <c r="AC30" s="1355"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49"/>
      <c r="Q31" s="1351" t="str">
        <f t="shared" si="11"/>
        <v>建筑结构</v>
      </c>
      <c r="R31" s="1352" t="s">
        <v>62</v>
      </c>
      <c r="S31" s="1353">
        <f t="shared" si="12"/>
        <v>100</v>
      </c>
      <c r="T31" s="1352" t="s">
        <v>62</v>
      </c>
      <c r="U31" s="1353">
        <f t="shared" si="13"/>
        <v>100</v>
      </c>
      <c r="V31" s="1352" t="s">
        <v>62</v>
      </c>
      <c r="W31" s="1353">
        <f t="shared" si="14"/>
        <v>100</v>
      </c>
      <c r="X31" s="1340"/>
      <c r="Y31" s="3649"/>
      <c r="Z31" s="1354" t="str">
        <f t="shared" si="15"/>
        <v>建筑结构</v>
      </c>
      <c r="AA31" s="1355">
        <f t="shared" si="3"/>
        <v>1</v>
      </c>
      <c r="AB31" s="1355">
        <f t="shared" si="4"/>
        <v>1</v>
      </c>
      <c r="AC31" s="1355">
        <f t="shared" si="5"/>
        <v>1</v>
      </c>
    </row>
    <row r="32" spans="1:29" ht="15">
      <c r="A32" s="161"/>
      <c r="B32" s="12" t="s">
        <v>1023</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49"/>
      <c r="Q32" s="1351" t="str">
        <f t="shared" si="11"/>
        <v>公共部分装修</v>
      </c>
      <c r="R32" s="1352" t="s">
        <v>62</v>
      </c>
      <c r="S32" s="1353">
        <f t="shared" si="12"/>
        <v>100</v>
      </c>
      <c r="T32" s="1352" t="s">
        <v>62</v>
      </c>
      <c r="U32" s="1353">
        <f t="shared" si="13"/>
        <v>100</v>
      </c>
      <c r="V32" s="1352" t="s">
        <v>62</v>
      </c>
      <c r="W32" s="1353">
        <f t="shared" si="14"/>
        <v>100</v>
      </c>
      <c r="X32" s="1340"/>
      <c r="Y32" s="3649"/>
      <c r="Z32" s="1354" t="str">
        <f t="shared" si="15"/>
        <v>公共部分装修</v>
      </c>
      <c r="AA32" s="1355">
        <f t="shared" si="3"/>
        <v>1</v>
      </c>
      <c r="AB32" s="1355">
        <f t="shared" si="4"/>
        <v>1</v>
      </c>
      <c r="AC32" s="1355">
        <f t="shared" si="5"/>
        <v>1</v>
      </c>
    </row>
    <row r="33" spans="1:29" ht="15">
      <c r="A33" s="161"/>
      <c r="B33" s="12" t="s">
        <v>1024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49"/>
      <c r="Q33" s="1351" t="str">
        <f t="shared" si="11"/>
        <v>成新度</v>
      </c>
      <c r="R33" s="1352" t="s">
        <v>62</v>
      </c>
      <c r="S33" s="1353" t="e">
        <f t="shared" si="12"/>
        <v>#N/A</v>
      </c>
      <c r="T33" s="1352" t="s">
        <v>62</v>
      </c>
      <c r="U33" s="1353" t="e">
        <f t="shared" si="13"/>
        <v>#N/A</v>
      </c>
      <c r="V33" s="1352" t="s">
        <v>62</v>
      </c>
      <c r="W33" s="1353" t="e">
        <f t="shared" si="14"/>
        <v>#N/A</v>
      </c>
      <c r="X33" s="1340"/>
      <c r="Y33" s="3649"/>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49"/>
      <c r="Q34" s="7" t="str">
        <f t="shared" si="11"/>
        <v>物业管理</v>
      </c>
      <c r="R34" s="1342" t="s">
        <v>62</v>
      </c>
      <c r="S34" s="1343">
        <f t="shared" si="12"/>
        <v>100</v>
      </c>
      <c r="T34" s="1342" t="s">
        <v>62</v>
      </c>
      <c r="U34" s="1343">
        <f t="shared" si="13"/>
        <v>100</v>
      </c>
      <c r="V34" s="1342" t="s">
        <v>62</v>
      </c>
      <c r="W34" s="1343">
        <f t="shared" si="14"/>
        <v>100</v>
      </c>
      <c r="X34" s="287"/>
      <c r="Y34" s="3649"/>
      <c r="Z34" s="288" t="str">
        <f t="shared" si="15"/>
        <v>物业管理</v>
      </c>
      <c r="AA34" s="1344">
        <f t="shared" si="3"/>
        <v>1</v>
      </c>
      <c r="AB34" s="1344">
        <f t="shared" si="4"/>
        <v>1</v>
      </c>
      <c r="AC34" s="1344">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49" t="s">
        <v>67</v>
      </c>
      <c r="Q35" s="1351" t="str">
        <f t="shared" si="11"/>
        <v>市政基础设施</v>
      </c>
      <c r="R35" s="1352" t="s">
        <v>62</v>
      </c>
      <c r="S35" s="1353">
        <f t="shared" si="12"/>
        <v>100</v>
      </c>
      <c r="T35" s="1352" t="s">
        <v>62</v>
      </c>
      <c r="U35" s="1353">
        <f t="shared" si="13"/>
        <v>100</v>
      </c>
      <c r="V35" s="1352" t="s">
        <v>62</v>
      </c>
      <c r="W35" s="1353">
        <f t="shared" si="14"/>
        <v>100</v>
      </c>
      <c r="X35" s="1340"/>
      <c r="Y35" s="3649" t="s">
        <v>67</v>
      </c>
      <c r="Z35" s="1354" t="str">
        <f t="shared" si="15"/>
        <v>市政基础设施</v>
      </c>
      <c r="AA35" s="1355">
        <f t="shared" si="3"/>
        <v>1</v>
      </c>
      <c r="AB35" s="1355">
        <f t="shared" si="4"/>
        <v>1</v>
      </c>
      <c r="AC35" s="1355">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49"/>
      <c r="Q36" s="1351" t="str">
        <f t="shared" si="11"/>
        <v>内部装修</v>
      </c>
      <c r="R36" s="1352" t="s">
        <v>62</v>
      </c>
      <c r="S36" s="1353">
        <f t="shared" si="12"/>
        <v>100</v>
      </c>
      <c r="T36" s="1352" t="s">
        <v>62</v>
      </c>
      <c r="U36" s="1353">
        <f t="shared" si="13"/>
        <v>100</v>
      </c>
      <c r="V36" s="1352" t="s">
        <v>62</v>
      </c>
      <c r="W36" s="1353">
        <f t="shared" si="14"/>
        <v>100</v>
      </c>
      <c r="X36" s="1340"/>
      <c r="Y36" s="3649"/>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49"/>
      <c r="Q37" s="1351" t="str">
        <f t="shared" si="11"/>
        <v>内部装修状况</v>
      </c>
      <c r="R37" s="1352" t="s">
        <v>62</v>
      </c>
      <c r="S37" s="1353">
        <f t="shared" si="12"/>
        <v>100</v>
      </c>
      <c r="T37" s="1352" t="s">
        <v>62</v>
      </c>
      <c r="U37" s="1353">
        <f t="shared" si="13"/>
        <v>100</v>
      </c>
      <c r="V37" s="1352" t="s">
        <v>62</v>
      </c>
      <c r="W37" s="1353">
        <f t="shared" si="14"/>
        <v>100</v>
      </c>
      <c r="X37" s="1340"/>
      <c r="Y37" s="364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49"/>
      <c r="Q38" s="1359">
        <f t="shared" si="11"/>
        <v>111</v>
      </c>
      <c r="R38" s="1360" t="s">
        <v>62</v>
      </c>
      <c r="S38" s="1361">
        <f t="shared" si="12"/>
        <v>100</v>
      </c>
      <c r="T38" s="1360" t="s">
        <v>62</v>
      </c>
      <c r="U38" s="1361">
        <f t="shared" si="13"/>
        <v>100</v>
      </c>
      <c r="V38" s="1360" t="s">
        <v>62</v>
      </c>
      <c r="W38" s="1361">
        <f t="shared" si="14"/>
        <v>100</v>
      </c>
      <c r="X38" s="1362"/>
      <c r="Y38" s="364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49"/>
      <c r="Q39" s="1351">
        <f t="shared" si="11"/>
        <v>111</v>
      </c>
      <c r="R39" s="1352" t="s">
        <v>62</v>
      </c>
      <c r="S39" s="1353">
        <f t="shared" si="12"/>
        <v>100</v>
      </c>
      <c r="T39" s="1352" t="s">
        <v>62</v>
      </c>
      <c r="U39" s="1353">
        <f t="shared" si="13"/>
        <v>100</v>
      </c>
      <c r="V39" s="1352" t="s">
        <v>62</v>
      </c>
      <c r="W39" s="1353">
        <f t="shared" si="14"/>
        <v>100</v>
      </c>
      <c r="X39" s="1340"/>
      <c r="Y39" s="364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50"/>
      <c r="Q40" s="1351">
        <f t="shared" si="11"/>
        <v>111</v>
      </c>
      <c r="R40" s="1352" t="s">
        <v>62</v>
      </c>
      <c r="S40" s="1353">
        <f t="shared" si="12"/>
        <v>100</v>
      </c>
      <c r="T40" s="1352" t="s">
        <v>62</v>
      </c>
      <c r="U40" s="1353">
        <f t="shared" si="13"/>
        <v>100</v>
      </c>
      <c r="V40" s="1352" t="s">
        <v>62</v>
      </c>
      <c r="W40" s="1353">
        <f t="shared" si="14"/>
        <v>100</v>
      </c>
      <c r="X40" s="1340"/>
      <c r="Y40" s="3650"/>
      <c r="Z40" s="1354">
        <f t="shared" si="15"/>
        <v>111</v>
      </c>
      <c r="AA40" s="1355">
        <f t="shared" si="3"/>
        <v>1</v>
      </c>
      <c r="AB40" s="1355">
        <f t="shared" si="4"/>
        <v>1</v>
      </c>
      <c r="AC40" s="1355">
        <f t="shared" si="5"/>
        <v>1</v>
      </c>
    </row>
    <row r="41" spans="1:29" ht="15">
      <c r="A41" s="163" t="s">
        <v>99</v>
      </c>
      <c r="B41" s="164"/>
      <c r="C41" s="2833" t="s">
        <v>23</v>
      </c>
      <c r="D41" s="2834"/>
      <c r="E41" s="2835"/>
      <c r="F41" s="2836"/>
      <c r="G41" s="2837"/>
      <c r="H41" s="2838"/>
      <c r="I41" s="2835"/>
      <c r="J41" s="2838"/>
      <c r="K41" s="1393"/>
      <c r="L41" s="2303"/>
      <c r="M41" s="2304"/>
      <c r="N41" s="2296"/>
      <c r="O41" s="2304"/>
      <c r="P41" s="3642" t="str">
        <f>A41</f>
        <v>成交单价（元/平方米）</v>
      </c>
      <c r="Q41" s="3642"/>
      <c r="R41" s="3643">
        <f>E41</f>
        <v>0</v>
      </c>
      <c r="S41" s="3643"/>
      <c r="T41" s="3643">
        <f>G41</f>
        <v>0</v>
      </c>
      <c r="U41" s="3643"/>
      <c r="V41" s="3643">
        <f>I41</f>
        <v>0</v>
      </c>
      <c r="W41" s="3643"/>
      <c r="X41" s="1365"/>
      <c r="Y41" s="1366"/>
      <c r="Z41" s="1365"/>
      <c r="AA41" s="1365"/>
      <c r="AB41" s="1365"/>
      <c r="AC41" s="1365"/>
    </row>
    <row r="42" spans="1:29" ht="15.75" thickBot="1">
      <c r="A42" s="165" t="s">
        <v>97</v>
      </c>
      <c r="B42" s="166"/>
      <c r="C42" s="2839" t="e">
        <f>R43</f>
        <v>#DIV/0!</v>
      </c>
      <c r="D42" s="2840"/>
      <c r="E42" s="2841" t="e">
        <f>R42</f>
        <v>#DIV/0!</v>
      </c>
      <c r="F42" s="2841"/>
      <c r="G42" s="2839" t="e">
        <f>T42</f>
        <v>#DIV/0!</v>
      </c>
      <c r="H42" s="2840"/>
      <c r="I42" s="2841" t="e">
        <f>V42</f>
        <v>#DIV/0!</v>
      </c>
      <c r="J42" s="2840"/>
      <c r="K42" s="1394"/>
      <c r="L42" s="2303"/>
      <c r="M42" s="2304"/>
      <c r="N42" s="2296"/>
      <c r="O42" s="2304"/>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365"/>
      <c r="Y42" s="1365"/>
      <c r="Z42" s="1365"/>
      <c r="AA42" s="1365"/>
      <c r="AB42" s="1365"/>
      <c r="AC42" s="1365"/>
    </row>
    <row r="43" spans="1:29" ht="15.75" thickBot="1">
      <c r="A43" s="115" t="s">
        <v>3004</v>
      </c>
      <c r="B43" s="116"/>
      <c r="C43" s="2843" t="e">
        <f>R43</f>
        <v>#DIV/0!</v>
      </c>
      <c r="D43" s="2843"/>
      <c r="E43" s="2843"/>
      <c r="F43" s="2843"/>
      <c r="G43" s="2843"/>
      <c r="H43" s="2843"/>
      <c r="I43" s="2843"/>
      <c r="J43" s="2843"/>
      <c r="K43" s="1395"/>
      <c r="L43" s="2303"/>
      <c r="M43" s="2304"/>
      <c r="N43" s="2304"/>
      <c r="O43" s="2304"/>
      <c r="P43" s="3639" t="str">
        <f>A43</f>
        <v>估价对象XX用房的比较价值（楼面单价，元/平方米）</v>
      </c>
      <c r="Q43" s="3640"/>
      <c r="R43" s="3641" t="e">
        <f>IF(F1="售价",ROUND(AVERAGE(R42:V42),0),ROUND(AVERAGE(R42:V42),1))</f>
        <v>#DIV/0!</v>
      </c>
      <c r="S43" s="3641"/>
      <c r="T43" s="3641"/>
      <c r="U43" s="3641"/>
      <c r="V43" s="3641"/>
      <c r="W43" s="3641"/>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124</v>
      </c>
      <c r="B51" s="1365"/>
      <c r="C51" s="1373"/>
      <c r="D51" s="1373"/>
      <c r="E51" s="1373"/>
      <c r="F51" s="1374"/>
      <c r="G51" s="1374"/>
      <c r="H51" s="1373"/>
      <c r="I51" s="1373"/>
      <c r="J51" s="1373"/>
      <c r="K51" s="2310"/>
      <c r="L51" s="2311"/>
      <c r="M51" s="2312"/>
      <c r="N51" s="2312"/>
      <c r="O51" s="2312"/>
      <c r="P51" s="120"/>
      <c r="Q51" s="121"/>
    </row>
    <row r="52" spans="1:17" s="851" customFormat="1" ht="15">
      <c r="A52" s="848" t="s">
        <v>2782</v>
      </c>
      <c r="B52" s="849"/>
      <c r="C52" s="3041" t="str">
        <f>YEAR(C7)&amp;"-"&amp;MONTH(C7)</f>
        <v>2017-10</v>
      </c>
      <c r="D52" s="3042">
        <f>EDATE(C52,-1)</f>
        <v>42979</v>
      </c>
      <c r="E52" s="3042">
        <f t="shared" ref="E52:O52" si="16">EDATE(D52,-1)</f>
        <v>42948</v>
      </c>
      <c r="F52" s="3042">
        <f t="shared" si="16"/>
        <v>42917</v>
      </c>
      <c r="G52" s="3042">
        <f t="shared" si="16"/>
        <v>42887</v>
      </c>
      <c r="H52" s="3042">
        <f t="shared" si="16"/>
        <v>42856</v>
      </c>
      <c r="I52" s="3042">
        <f t="shared" si="16"/>
        <v>42826</v>
      </c>
      <c r="J52" s="3042">
        <f t="shared" si="16"/>
        <v>42795</v>
      </c>
      <c r="K52" s="3042">
        <f t="shared" si="16"/>
        <v>42767</v>
      </c>
      <c r="L52" s="3042">
        <f t="shared" si="16"/>
        <v>42736</v>
      </c>
      <c r="M52" s="3042">
        <f t="shared" si="16"/>
        <v>42705</v>
      </c>
      <c r="N52" s="3042">
        <f t="shared" si="16"/>
        <v>42675</v>
      </c>
      <c r="O52" s="3042">
        <f t="shared" si="16"/>
        <v>42644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64</v>
      </c>
      <c r="B57" s="286" t="s">
        <v>65</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103</v>
      </c>
      <c r="C59" s="882" t="s">
        <v>1003</v>
      </c>
      <c r="D59" s="882" t="s">
        <v>1004</v>
      </c>
      <c r="E59" s="882" t="s">
        <v>1005</v>
      </c>
      <c r="F59" s="882" t="s">
        <v>1006</v>
      </c>
      <c r="G59" s="882" t="s">
        <v>1007</v>
      </c>
      <c r="H59" s="882" t="s">
        <v>1008</v>
      </c>
      <c r="I59" s="882" t="s">
        <v>1009</v>
      </c>
      <c r="J59" s="882"/>
      <c r="K59" s="883"/>
      <c r="L59" s="884"/>
      <c r="M59" s="885"/>
      <c r="N59" s="1389"/>
      <c r="O59" s="1389"/>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66</v>
      </c>
      <c r="B70" s="286" t="s">
        <v>156</v>
      </c>
      <c r="C70" s="916" t="s">
        <v>1010</v>
      </c>
      <c r="D70" s="916" t="s">
        <v>1011</v>
      </c>
      <c r="E70" s="916" t="s">
        <v>1012</v>
      </c>
      <c r="F70" s="916" t="s">
        <v>1013</v>
      </c>
      <c r="G70" s="916" t="s">
        <v>1014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89</v>
      </c>
      <c r="C72" s="921" t="s">
        <v>1010</v>
      </c>
      <c r="D72" s="921" t="s">
        <v>1011</v>
      </c>
      <c r="E72" s="921" t="s">
        <v>1012</v>
      </c>
      <c r="F72" s="921" t="s">
        <v>1013</v>
      </c>
      <c r="G72" s="921" t="s">
        <v>1014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2625</v>
      </c>
      <c r="C74" s="921" t="s">
        <v>1010</v>
      </c>
      <c r="D74" s="921" t="s">
        <v>1011</v>
      </c>
      <c r="E74" s="921" t="s">
        <v>1012</v>
      </c>
      <c r="F74" s="921" t="s">
        <v>1013</v>
      </c>
      <c r="G74" s="921" t="s">
        <v>1014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146</v>
      </c>
      <c r="C78" s="921" t="s">
        <v>1010</v>
      </c>
      <c r="D78" s="921" t="s">
        <v>1011</v>
      </c>
      <c r="E78" s="921" t="s">
        <v>1012</v>
      </c>
      <c r="F78" s="921" t="s">
        <v>1013</v>
      </c>
      <c r="G78" s="921" t="s">
        <v>1014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67</v>
      </c>
      <c r="B88" s="286" t="s">
        <v>120</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92</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121</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122</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2627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123</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149</v>
      </c>
      <c r="C106" s="921" t="s">
        <v>1010</v>
      </c>
      <c r="D106" s="921" t="s">
        <v>1011</v>
      </c>
      <c r="E106" s="921" t="s">
        <v>1012</v>
      </c>
      <c r="F106" s="921" t="s">
        <v>1013</v>
      </c>
      <c r="G106" s="921" t="s">
        <v>1014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6" zoomScale="80" zoomScaleNormal="100" zoomScaleSheetLayoutView="100" zoomScalePageLayoutView="80" workbookViewId="0">
      <selection activeCell="A19" sqref="A19"/>
    </sheetView>
  </sheetViews>
  <sheetFormatPr defaultRowHeight="13.5"/>
  <cols>
    <col min="1" max="1" width="84" customWidth="1"/>
  </cols>
  <sheetData>
    <row r="1" spans="1:1" ht="22.5">
      <c r="A1" s="1946" t="s">
        <v>2003</v>
      </c>
    </row>
    <row r="2" spans="1:1">
      <c r="A2" s="1947"/>
    </row>
    <row r="3" spans="1:1" ht="18.75">
      <c r="A3" s="2886" t="str">
        <f>项目基本情况!B5&amp;"："</f>
        <v>重庆固地实业有限公司：</v>
      </c>
    </row>
    <row r="4" spans="1:1" ht="37.5">
      <c r="A4" s="1948" t="str">
        <f>"受贵公司委托，我公司对"&amp;项目基本情况!S1&amp;"进行了预评估。"</f>
        <v>受贵公司委托，我公司对重庆市北部新区金开大道1226号第三层房地产抵押价值进行了预评估。</v>
      </c>
    </row>
    <row r="5" spans="1:1" ht="18.75">
      <c r="A5" s="1949" t="s">
        <v>2004</v>
      </c>
    </row>
    <row r="6" spans="1:1" ht="18.75">
      <c r="A6" s="3052"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估价对象为重庆市北部新区金开大道1226号第三层房地产，为所有。根据《重庆市房地产权证》[115房地证2013字第24323号]，估价对象（分摊）出让国有建设用地使用权面积为7774.02平方米，建筑面积为37870.64平方米。</v>
      </c>
    </row>
    <row r="8" spans="1:1" ht="56.25">
      <c r="A8" s="1992" t="s">
        <v>2852</v>
      </c>
    </row>
    <row r="9" spans="1:1" ht="18.75">
      <c r="A9" s="3052" t="s">
        <v>2859</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1" spans="1:1" ht="75">
      <c r="A11" s="1992" t="s">
        <v>2892</v>
      </c>
    </row>
    <row r="12" spans="1:1" ht="18.75">
      <c r="A12" s="1949" t="s">
        <v>2005</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2006</v>
      </c>
    </row>
    <row r="15" spans="1:1" ht="18.75">
      <c r="A15" s="1952" t="str">
        <f>TEXT(项目基本情况!D3,"yyyy年m月d日;;")&amp;IF(项目基本情况!D3=项目基本情况!B3,"（评估专业人员实地查勘之日）","")</f>
        <v>2017年10月18日（评估专业人员实地查勘之日）</v>
      </c>
    </row>
    <row r="16" spans="1:1" ht="18.75">
      <c r="A16" s="1951" t="s">
        <v>2008</v>
      </c>
    </row>
    <row r="17" spans="1:1" ht="75">
      <c r="A17" s="1948" t="s">
        <v>2853</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2023</v>
      </c>
    </row>
    <row r="24" spans="1:1" ht="18.75">
      <c r="A24" s="1955" t="str">
        <f>"本次评估采用的主估价方法为"&amp;结果表!K4&amp;"和"&amp;结果表!L4&amp;"。"</f>
        <v>本次评估采用的主估价方法为比较法和收益法。</v>
      </c>
    </row>
    <row r="25" spans="1:1" ht="18.75">
      <c r="A25" s="1955"/>
    </row>
    <row r="26" spans="1:1" ht="18.75">
      <c r="A26" s="2083" t="s">
        <v>2099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21"/>
      <c r="C1" s="3122" t="s">
        <v>441</v>
      </c>
      <c r="D1" s="3123"/>
      <c r="E1" s="3124"/>
      <c r="F1" s="3105"/>
      <c r="G1" s="3125" t="s">
        <v>442</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443</v>
      </c>
      <c r="B2" s="2844" t="e">
        <f ca="1">IF(C2="——",IF(B37="元/平方米",ROUND(C39*D3/10000,0),ROUND(F3*C39/10000,0)),IF(B37="元/平方米",ROUND(C39*D3/10000,0),ROUND(F3*C39/10000,0))-D2)</f>
        <v>#DIV/0!</v>
      </c>
      <c r="C2" s="3097"/>
      <c r="D2" s="2342" t="e">
        <f ca="1">SUMIF(INDIRECT("'"&amp;F2&amp;"'"&amp;"!A:A"),"承租人权益价值",INDIRECT("'"&amp;F2&amp;"'"&amp;"!c:c"))</f>
        <v>#REF!</v>
      </c>
      <c r="E2" s="3098" t="s">
        <v>862</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446</v>
      </c>
      <c r="B4" s="745"/>
      <c r="C4" s="3687" t="s">
        <v>447</v>
      </c>
      <c r="D4" s="3688"/>
      <c r="E4" s="3689" t="s">
        <v>448</v>
      </c>
      <c r="F4" s="3690"/>
      <c r="G4" s="3687" t="s">
        <v>449</v>
      </c>
      <c r="H4" s="3688"/>
      <c r="I4" s="3687" t="s">
        <v>450</v>
      </c>
      <c r="J4" s="3688"/>
      <c r="K4" s="953" t="s">
        <v>451</v>
      </c>
      <c r="L4" s="2348"/>
      <c r="M4" s="2349"/>
      <c r="N4" s="2349"/>
      <c r="O4" s="2349"/>
      <c r="P4" s="3691" t="s">
        <v>452</v>
      </c>
      <c r="Q4" s="3692"/>
      <c r="R4" s="3674" t="s">
        <v>448</v>
      </c>
      <c r="S4" s="3675"/>
      <c r="T4" s="3674" t="s">
        <v>449</v>
      </c>
      <c r="U4" s="3675"/>
      <c r="V4" s="3699" t="s">
        <v>450</v>
      </c>
      <c r="W4" s="3699"/>
      <c r="X4" s="2830"/>
      <c r="Y4" s="3674" t="s">
        <v>452</v>
      </c>
      <c r="Z4" s="3675"/>
      <c r="AA4" s="3669" t="s">
        <v>448</v>
      </c>
      <c r="AB4" s="3670" t="s">
        <v>449</v>
      </c>
      <c r="AC4" s="3669" t="s">
        <v>450</v>
      </c>
    </row>
    <row r="5" spans="1:29" ht="15">
      <c r="A5" s="747"/>
      <c r="B5" s="748"/>
      <c r="C5" s="3680" t="s">
        <v>3005</v>
      </c>
      <c r="D5" s="3681"/>
      <c r="E5" s="3678" t="s">
        <v>3006</v>
      </c>
      <c r="F5" s="3679"/>
      <c r="G5" s="3680" t="s">
        <v>3007</v>
      </c>
      <c r="H5" s="3681"/>
      <c r="I5" s="3680" t="s">
        <v>3008</v>
      </c>
      <c r="J5" s="3681"/>
      <c r="K5" s="953"/>
      <c r="L5" s="2348"/>
      <c r="M5" s="2349"/>
      <c r="N5" s="2349"/>
      <c r="O5" s="2349"/>
      <c r="P5" s="3693"/>
      <c r="Q5" s="3694"/>
      <c r="R5" s="3676"/>
      <c r="S5" s="3677"/>
      <c r="T5" s="3676"/>
      <c r="U5" s="3677"/>
      <c r="V5" s="3699"/>
      <c r="W5" s="3699"/>
      <c r="X5" s="2830"/>
      <c r="Y5" s="3676"/>
      <c r="Z5" s="3677"/>
      <c r="AA5" s="3670"/>
      <c r="AB5" s="3670"/>
      <c r="AC5" s="3670"/>
    </row>
    <row r="6" spans="1:29" ht="15.75" thickBot="1">
      <c r="A6" s="749"/>
      <c r="B6" s="750"/>
      <c r="C6" s="3682" t="s">
        <v>3009</v>
      </c>
      <c r="D6" s="3683"/>
      <c r="E6" s="3684" t="s">
        <v>3009</v>
      </c>
      <c r="F6" s="3685"/>
      <c r="G6" s="3682" t="s">
        <v>3009</v>
      </c>
      <c r="H6" s="3683"/>
      <c r="I6" s="3682" t="s">
        <v>3009</v>
      </c>
      <c r="J6" s="3683"/>
      <c r="K6" s="953" t="s">
        <v>394</v>
      </c>
      <c r="L6" s="2348"/>
      <c r="M6" s="2349"/>
      <c r="N6" s="2349"/>
      <c r="O6" s="2349"/>
      <c r="P6" s="3695"/>
      <c r="Q6" s="3696"/>
      <c r="R6" s="3676"/>
      <c r="S6" s="3677"/>
      <c r="T6" s="3697"/>
      <c r="U6" s="3698"/>
      <c r="V6" s="3699"/>
      <c r="W6" s="3699"/>
      <c r="X6" s="2830"/>
      <c r="Y6" s="3697"/>
      <c r="Z6" s="3698"/>
      <c r="AA6" s="3671"/>
      <c r="AB6" s="3671"/>
      <c r="AC6" s="3671"/>
    </row>
    <row r="7" spans="1:29" s="407" customFormat="1" ht="15.75" thickBot="1">
      <c r="A7" s="751" t="s">
        <v>395</v>
      </c>
      <c r="B7" s="752"/>
      <c r="C7" s="753">
        <f>'数据-取费表'!B2</f>
        <v>43026</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72" t="s">
        <v>396</v>
      </c>
      <c r="Q7" s="3700"/>
      <c r="R7" s="1319" t="s">
        <v>62</v>
      </c>
      <c r="S7" s="1320">
        <f t="shared" ref="S7:S14" si="0">F7</f>
        <v>0</v>
      </c>
      <c r="T7" s="1319" t="s">
        <v>62</v>
      </c>
      <c r="U7" s="1320">
        <f t="shared" ref="U7:U14" si="1">H7</f>
        <v>0</v>
      </c>
      <c r="V7" s="1319" t="s">
        <v>62</v>
      </c>
      <c r="W7" s="1320">
        <f t="shared" ref="W7:W14" si="2">J7</f>
        <v>0</v>
      </c>
      <c r="X7" s="1321"/>
      <c r="Y7" s="3672" t="s">
        <v>396</v>
      </c>
      <c r="Z7" s="3673"/>
      <c r="AA7" s="1322" t="e">
        <f>D7/F7</f>
        <v>#DIV/0!</v>
      </c>
      <c r="AB7" s="1322" t="e">
        <f>D7/H7</f>
        <v>#DIV/0!</v>
      </c>
      <c r="AC7" s="1322"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36" si="3">D8/F8</f>
        <v>#DIV/0!</v>
      </c>
      <c r="AB8" s="1322" t="e">
        <f t="shared" ref="AB8:AB36" si="4">D8/H8</f>
        <v>#DIV/0!</v>
      </c>
      <c r="AC8" s="1322" t="e">
        <f t="shared" ref="AC8:AC36" si="5">D8/J8</f>
        <v>#DIV/0!</v>
      </c>
    </row>
    <row r="9" spans="1:29" s="407" customFormat="1">
      <c r="A9" s="358" t="s">
        <v>398</v>
      </c>
      <c r="B9" s="983" t="s">
        <v>416</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6" t="s">
        <v>399</v>
      </c>
      <c r="Q9" s="2829" t="str">
        <f t="shared" ref="Q9:Q14" si="6">B9</f>
        <v>用途</v>
      </c>
      <c r="R9" s="1319" t="s">
        <v>62</v>
      </c>
      <c r="S9" s="1320">
        <f t="shared" si="0"/>
        <v>100</v>
      </c>
      <c r="T9" s="1319" t="s">
        <v>62</v>
      </c>
      <c r="U9" s="1320">
        <f t="shared" si="1"/>
        <v>100</v>
      </c>
      <c r="V9" s="1319" t="s">
        <v>62</v>
      </c>
      <c r="W9" s="1320">
        <f t="shared" si="2"/>
        <v>100</v>
      </c>
      <c r="X9" s="1321"/>
      <c r="Y9" s="3554" t="s">
        <v>400</v>
      </c>
      <c r="Z9" s="344" t="str">
        <f t="shared" ref="Z9:Z14" si="7">Q9</f>
        <v>用途</v>
      </c>
      <c r="AA9" s="1322">
        <f t="shared" si="3"/>
        <v>1</v>
      </c>
      <c r="AB9" s="1322">
        <f t="shared" si="4"/>
        <v>1</v>
      </c>
      <c r="AC9" s="1322">
        <f t="shared" si="5"/>
        <v>1</v>
      </c>
    </row>
    <row r="10" spans="1:29" s="770" customFormat="1" ht="27">
      <c r="A10" s="984"/>
      <c r="B10" s="985" t="s">
        <v>401</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6"/>
      <c r="Q10" s="2829" t="str">
        <f t="shared" si="6"/>
        <v>土地使用年限（年）</v>
      </c>
      <c r="R10" s="1319" t="s">
        <v>62</v>
      </c>
      <c r="S10" s="1320">
        <f t="shared" si="0"/>
        <v>100</v>
      </c>
      <c r="T10" s="1319" t="s">
        <v>62</v>
      </c>
      <c r="U10" s="1320">
        <f t="shared" si="1"/>
        <v>100</v>
      </c>
      <c r="V10" s="1319" t="s">
        <v>62</v>
      </c>
      <c r="W10" s="1320">
        <f t="shared" si="2"/>
        <v>100</v>
      </c>
      <c r="X10" s="1321"/>
      <c r="Y10" s="355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6"/>
      <c r="Q11" s="2829">
        <f t="shared" si="6"/>
        <v>111</v>
      </c>
      <c r="R11" s="1319" t="s">
        <v>62</v>
      </c>
      <c r="S11" s="1320">
        <f t="shared" si="0"/>
        <v>100</v>
      </c>
      <c r="T11" s="1319" t="s">
        <v>62</v>
      </c>
      <c r="U11" s="1320">
        <f t="shared" si="1"/>
        <v>100</v>
      </c>
      <c r="V11" s="1319" t="s">
        <v>62</v>
      </c>
      <c r="W11" s="1320">
        <f t="shared" si="2"/>
        <v>100</v>
      </c>
      <c r="X11" s="1321"/>
      <c r="Y11" s="355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6"/>
      <c r="Q12" s="2829">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6"/>
      <c r="Q13" s="2829">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21.5">
      <c r="A14" s="744" t="s">
        <v>403</v>
      </c>
      <c r="B14" s="972" t="s">
        <v>453</v>
      </c>
      <c r="C14" s="212" t="str">
        <f>IF(B1="工业",估价对象房地状况!G4,估价对象房地状况!C6)</f>
        <v>估价对象周边有559路、575路等多条公交线路，临近轻轨园博园站，停车便捷程度较好，综合评价交通便捷度较好。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701" t="s">
        <v>404</v>
      </c>
      <c r="Q14" s="2831" t="str">
        <f t="shared" si="6"/>
        <v>交通便捷度</v>
      </c>
      <c r="R14" s="1324" t="s">
        <v>62</v>
      </c>
      <c r="S14" s="1325">
        <f t="shared" si="0"/>
        <v>100</v>
      </c>
      <c r="T14" s="1324" t="s">
        <v>62</v>
      </c>
      <c r="U14" s="1325">
        <f t="shared" si="1"/>
        <v>100</v>
      </c>
      <c r="V14" s="1324" t="s">
        <v>62</v>
      </c>
      <c r="W14" s="1325">
        <f t="shared" si="2"/>
        <v>100</v>
      </c>
      <c r="X14" s="2830"/>
      <c r="Y14" s="3701" t="s">
        <v>404</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702"/>
      <c r="Q15" s="2831"/>
      <c r="R15" s="1324"/>
      <c r="S15" s="1325"/>
      <c r="T15" s="1324"/>
      <c r="U15" s="1325"/>
      <c r="V15" s="1324"/>
      <c r="W15" s="1325"/>
      <c r="X15" s="2830"/>
      <c r="Y15" s="3702"/>
      <c r="Z15" s="2832"/>
      <c r="AA15" s="1327">
        <v>1</v>
      </c>
      <c r="AB15" s="1327">
        <v>1</v>
      </c>
      <c r="AC15" s="1327">
        <v>1</v>
      </c>
    </row>
    <row r="16" spans="1:29" ht="54">
      <c r="A16" s="747"/>
      <c r="B16" s="1034" t="s">
        <v>2654</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702"/>
      <c r="Q16" s="2831" t="str">
        <f>B16</f>
        <v>公共配套设施</v>
      </c>
      <c r="R16" s="1324" t="s">
        <v>62</v>
      </c>
      <c r="S16" s="1325">
        <f>F16</f>
        <v>100</v>
      </c>
      <c r="T16" s="1324" t="s">
        <v>62</v>
      </c>
      <c r="U16" s="1325">
        <f>H16</f>
        <v>100</v>
      </c>
      <c r="V16" s="1324" t="s">
        <v>62</v>
      </c>
      <c r="W16" s="1325">
        <f>J16</f>
        <v>100</v>
      </c>
      <c r="X16" s="2830"/>
      <c r="Y16" s="3702"/>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702"/>
      <c r="Q17" s="2831"/>
      <c r="R17" s="1324"/>
      <c r="S17" s="1325"/>
      <c r="T17" s="1324"/>
      <c r="U17" s="1325"/>
      <c r="V17" s="1324"/>
      <c r="W17" s="1325"/>
      <c r="X17" s="2830"/>
      <c r="Y17" s="3702"/>
      <c r="Z17" s="2832"/>
      <c r="AA17" s="1327">
        <v>1</v>
      </c>
      <c r="AB17" s="1327">
        <v>1</v>
      </c>
      <c r="AC17" s="1327">
        <v>1</v>
      </c>
    </row>
    <row r="18" spans="1:29" ht="54">
      <c r="A18" s="747"/>
      <c r="B18" s="1036" t="s">
        <v>2653</v>
      </c>
      <c r="C18" s="158" t="str">
        <f>IF(B1="工业",估价对象房地状况!G6,估价对象房地状况!C8)</f>
        <v>估价对象所在区域基础设施水平达“六通”。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702"/>
      <c r="Q18" s="2831" t="str">
        <f>B18</f>
        <v>基础设施水平</v>
      </c>
      <c r="R18" s="1324" t="s">
        <v>62</v>
      </c>
      <c r="S18" s="1325">
        <f>F18</f>
        <v>100</v>
      </c>
      <c r="T18" s="1324" t="s">
        <v>62</v>
      </c>
      <c r="U18" s="1325">
        <f>H18</f>
        <v>100</v>
      </c>
      <c r="V18" s="1324" t="s">
        <v>62</v>
      </c>
      <c r="W18" s="1325">
        <f>J18</f>
        <v>100</v>
      </c>
      <c r="X18" s="2830"/>
      <c r="Y18" s="3702"/>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702"/>
      <c r="Q19" s="2831"/>
      <c r="R19" s="1324"/>
      <c r="S19" s="1325"/>
      <c r="T19" s="1324"/>
      <c r="U19" s="1325"/>
      <c r="V19" s="1324"/>
      <c r="W19" s="1325"/>
      <c r="X19" s="2830"/>
      <c r="Y19" s="3702"/>
      <c r="Z19" s="2832"/>
      <c r="AA19" s="1327">
        <v>1</v>
      </c>
      <c r="AB19" s="1327">
        <v>1</v>
      </c>
      <c r="AC19" s="1327">
        <v>1</v>
      </c>
    </row>
    <row r="20" spans="1:29" ht="135">
      <c r="A20" s="747"/>
      <c r="B20" s="97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702"/>
      <c r="Q20" s="2831" t="str">
        <f>B20</f>
        <v>自然及人文环境</v>
      </c>
      <c r="R20" s="1324" t="s">
        <v>62</v>
      </c>
      <c r="S20" s="1325">
        <f>F20</f>
        <v>100</v>
      </c>
      <c r="T20" s="1324" t="s">
        <v>62</v>
      </c>
      <c r="U20" s="1325">
        <f>H20</f>
        <v>100</v>
      </c>
      <c r="V20" s="1324" t="s">
        <v>62</v>
      </c>
      <c r="W20" s="1325">
        <f>J20</f>
        <v>100</v>
      </c>
      <c r="X20" s="2830"/>
      <c r="Y20" s="3702"/>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702"/>
      <c r="Q21" s="2831"/>
      <c r="R21" s="1324"/>
      <c r="S21" s="1325"/>
      <c r="T21" s="1324"/>
      <c r="U21" s="1325"/>
      <c r="V21" s="1324"/>
      <c r="W21" s="1325"/>
      <c r="X21" s="2830"/>
      <c r="Y21" s="3702"/>
      <c r="Z21" s="2832"/>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702"/>
      <c r="Q22" s="2831" t="str">
        <f>B22</f>
        <v>楼层</v>
      </c>
      <c r="R22" s="1324" t="s">
        <v>62</v>
      </c>
      <c r="S22" s="1325">
        <f>F22</f>
        <v>100</v>
      </c>
      <c r="T22" s="1324" t="s">
        <v>62</v>
      </c>
      <c r="U22" s="1325">
        <f>H22</f>
        <v>100</v>
      </c>
      <c r="V22" s="1324" t="s">
        <v>62</v>
      </c>
      <c r="W22" s="1325">
        <f>J22</f>
        <v>100</v>
      </c>
      <c r="X22" s="2830"/>
      <c r="Y22" s="3702"/>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702"/>
      <c r="Q23" s="2831">
        <f>B23</f>
        <v>111</v>
      </c>
      <c r="R23" s="1324" t="s">
        <v>62</v>
      </c>
      <c r="S23" s="1325">
        <f>F23</f>
        <v>100</v>
      </c>
      <c r="T23" s="1324" t="s">
        <v>62</v>
      </c>
      <c r="U23" s="1325">
        <f>H23</f>
        <v>100</v>
      </c>
      <c r="V23" s="1324" t="s">
        <v>62</v>
      </c>
      <c r="W23" s="1325">
        <f>J23</f>
        <v>100</v>
      </c>
      <c r="X23" s="2830"/>
      <c r="Y23" s="3702"/>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702"/>
      <c r="Q24" s="2831">
        <f t="shared" ref="Q24:Q36" si="11">B24</f>
        <v>111</v>
      </c>
      <c r="R24" s="1324" t="s">
        <v>62</v>
      </c>
      <c r="S24" s="1325">
        <f>F24</f>
        <v>100</v>
      </c>
      <c r="T24" s="1324" t="s">
        <v>62</v>
      </c>
      <c r="U24" s="1325">
        <f>H24</f>
        <v>100</v>
      </c>
      <c r="V24" s="1324" t="s">
        <v>62</v>
      </c>
      <c r="W24" s="1325">
        <f>J24</f>
        <v>100</v>
      </c>
      <c r="X24" s="2830"/>
      <c r="Y24" s="3702"/>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702"/>
      <c r="Q25" s="2829">
        <f t="shared" si="11"/>
        <v>111</v>
      </c>
      <c r="R25" s="1319" t="s">
        <v>62</v>
      </c>
      <c r="S25" s="1320">
        <f>F25</f>
        <v>100</v>
      </c>
      <c r="T25" s="1319" t="s">
        <v>62</v>
      </c>
      <c r="U25" s="1320">
        <f>H25</f>
        <v>100</v>
      </c>
      <c r="V25" s="1319" t="s">
        <v>62</v>
      </c>
      <c r="W25" s="1320">
        <f>J25</f>
        <v>100</v>
      </c>
      <c r="X25" s="1321"/>
      <c r="Y25" s="3702"/>
      <c r="Z25" s="344">
        <f>Q25</f>
        <v>111</v>
      </c>
      <c r="AA25" s="1327">
        <f>D25/F25</f>
        <v>1</v>
      </c>
      <c r="AB25" s="1327">
        <f>D25/H25</f>
        <v>1</v>
      </c>
      <c r="AC25" s="1327">
        <f>D25/J25</f>
        <v>1</v>
      </c>
    </row>
    <row r="26" spans="1:29" ht="15">
      <c r="A26" s="995" t="s">
        <v>405</v>
      </c>
      <c r="B26" s="360" t="s">
        <v>456</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03" t="s">
        <v>406</v>
      </c>
      <c r="Q26" s="2831" t="str">
        <f t="shared" si="11"/>
        <v>配套类型</v>
      </c>
      <c r="R26" s="1324" t="s">
        <v>62</v>
      </c>
      <c r="S26" s="1325">
        <f t="shared" ref="S26:S36" si="12">F26</f>
        <v>100</v>
      </c>
      <c r="T26" s="1324" t="s">
        <v>62</v>
      </c>
      <c r="U26" s="1325">
        <f t="shared" ref="U26:U36" si="13">H26</f>
        <v>100</v>
      </c>
      <c r="V26" s="1324" t="s">
        <v>62</v>
      </c>
      <c r="W26" s="1325">
        <f t="shared" ref="W26:W36" si="14">J26</f>
        <v>100</v>
      </c>
      <c r="X26" s="2830"/>
      <c r="Y26" s="3704" t="s">
        <v>406</v>
      </c>
      <c r="Z26" s="2832"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04"/>
      <c r="Q27" s="1328" t="str">
        <f t="shared" si="11"/>
        <v>项目停车位配比</v>
      </c>
      <c r="R27" s="1329" t="s">
        <v>62</v>
      </c>
      <c r="S27" s="1330">
        <f t="shared" si="12"/>
        <v>100</v>
      </c>
      <c r="T27" s="1329" t="s">
        <v>62</v>
      </c>
      <c r="U27" s="1330">
        <f t="shared" si="13"/>
        <v>100</v>
      </c>
      <c r="V27" s="1329" t="s">
        <v>62</v>
      </c>
      <c r="W27" s="1330">
        <f t="shared" si="14"/>
        <v>100</v>
      </c>
      <c r="X27" s="1331"/>
      <c r="Y27" s="3704"/>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04"/>
      <c r="Q28" s="2831" t="str">
        <f t="shared" si="11"/>
        <v>公共部分装修</v>
      </c>
      <c r="R28" s="1324" t="s">
        <v>62</v>
      </c>
      <c r="S28" s="1325">
        <f t="shared" si="12"/>
        <v>100</v>
      </c>
      <c r="T28" s="1324" t="s">
        <v>62</v>
      </c>
      <c r="U28" s="1325">
        <f t="shared" si="13"/>
        <v>100</v>
      </c>
      <c r="V28" s="1324" t="s">
        <v>62</v>
      </c>
      <c r="W28" s="1325">
        <f t="shared" si="14"/>
        <v>100</v>
      </c>
      <c r="X28" s="2830"/>
      <c r="Y28" s="3704"/>
      <c r="Z28" s="2832"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04"/>
      <c r="Q29" s="2831" t="str">
        <f t="shared" si="11"/>
        <v>成新率</v>
      </c>
      <c r="R29" s="1324" t="s">
        <v>62</v>
      </c>
      <c r="S29" s="1325" t="e">
        <f t="shared" si="12"/>
        <v>#N/A</v>
      </c>
      <c r="T29" s="1324" t="s">
        <v>62</v>
      </c>
      <c r="U29" s="1325" t="e">
        <f t="shared" si="13"/>
        <v>#N/A</v>
      </c>
      <c r="V29" s="1324" t="s">
        <v>62</v>
      </c>
      <c r="W29" s="1325" t="e">
        <f t="shared" si="14"/>
        <v>#N/A</v>
      </c>
      <c r="X29" s="2830"/>
      <c r="Y29" s="3704"/>
      <c r="Z29" s="2832"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04"/>
      <c r="Q30" s="2831" t="str">
        <f t="shared" si="11"/>
        <v>物业等级</v>
      </c>
      <c r="R30" s="1324" t="s">
        <v>62</v>
      </c>
      <c r="S30" s="1325">
        <f t="shared" si="12"/>
        <v>100</v>
      </c>
      <c r="T30" s="1324" t="s">
        <v>62</v>
      </c>
      <c r="U30" s="1325">
        <f t="shared" si="13"/>
        <v>100</v>
      </c>
      <c r="V30" s="1324" t="s">
        <v>62</v>
      </c>
      <c r="W30" s="1325">
        <f t="shared" si="14"/>
        <v>100</v>
      </c>
      <c r="X30" s="2830"/>
      <c r="Y30" s="3704"/>
      <c r="Z30" s="2832"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04"/>
      <c r="Q31" s="2829" t="str">
        <f t="shared" si="11"/>
        <v>停车位面积</v>
      </c>
      <c r="R31" s="1319" t="s">
        <v>62</v>
      </c>
      <c r="S31" s="1320" t="e">
        <f t="shared" si="12"/>
        <v>#N/A</v>
      </c>
      <c r="T31" s="1319" t="s">
        <v>62</v>
      </c>
      <c r="U31" s="1320" t="e">
        <f t="shared" si="13"/>
        <v>#N/A</v>
      </c>
      <c r="V31" s="1319" t="s">
        <v>62</v>
      </c>
      <c r="W31" s="1320" t="e">
        <f t="shared" si="14"/>
        <v>#N/A</v>
      </c>
      <c r="X31" s="1321"/>
      <c r="Y31" s="3704"/>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04" t="s">
        <v>406</v>
      </c>
      <c r="Q32" s="2831" t="str">
        <f t="shared" si="11"/>
        <v>车位类型</v>
      </c>
      <c r="R32" s="1324" t="s">
        <v>62</v>
      </c>
      <c r="S32" s="1325">
        <f t="shared" si="12"/>
        <v>100</v>
      </c>
      <c r="T32" s="1324" t="s">
        <v>62</v>
      </c>
      <c r="U32" s="1325">
        <f t="shared" si="13"/>
        <v>100</v>
      </c>
      <c r="V32" s="1324" t="s">
        <v>62</v>
      </c>
      <c r="W32" s="1325">
        <f t="shared" si="14"/>
        <v>100</v>
      </c>
      <c r="X32" s="2830"/>
      <c r="Y32" s="3704" t="s">
        <v>406</v>
      </c>
      <c r="Z32" s="2832"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04"/>
      <c r="Q33" s="2831" t="str">
        <f t="shared" si="11"/>
        <v>是否直接入户</v>
      </c>
      <c r="R33" s="1324" t="s">
        <v>62</v>
      </c>
      <c r="S33" s="1325">
        <f t="shared" si="12"/>
        <v>100</v>
      </c>
      <c r="T33" s="1324" t="s">
        <v>62</v>
      </c>
      <c r="U33" s="1325">
        <f t="shared" si="13"/>
        <v>100</v>
      </c>
      <c r="V33" s="1324" t="s">
        <v>62</v>
      </c>
      <c r="W33" s="1325">
        <f t="shared" si="14"/>
        <v>100</v>
      </c>
      <c r="X33" s="2830"/>
      <c r="Y33" s="3704"/>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04"/>
      <c r="Q34" s="2831">
        <f t="shared" si="11"/>
        <v>111</v>
      </c>
      <c r="R34" s="1324" t="s">
        <v>62</v>
      </c>
      <c r="S34" s="1325">
        <f t="shared" si="12"/>
        <v>100</v>
      </c>
      <c r="T34" s="1324" t="s">
        <v>62</v>
      </c>
      <c r="U34" s="1325">
        <f t="shared" si="13"/>
        <v>100</v>
      </c>
      <c r="V34" s="1324" t="s">
        <v>62</v>
      </c>
      <c r="W34" s="1325">
        <f t="shared" si="14"/>
        <v>100</v>
      </c>
      <c r="X34" s="2830"/>
      <c r="Y34" s="3704"/>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04"/>
      <c r="Q35" s="1328">
        <f t="shared" si="11"/>
        <v>111</v>
      </c>
      <c r="R35" s="1329" t="s">
        <v>62</v>
      </c>
      <c r="S35" s="1330">
        <f t="shared" si="12"/>
        <v>100</v>
      </c>
      <c r="T35" s="1329" t="s">
        <v>62</v>
      </c>
      <c r="U35" s="1330">
        <f t="shared" si="13"/>
        <v>100</v>
      </c>
      <c r="V35" s="1329" t="s">
        <v>62</v>
      </c>
      <c r="W35" s="1330">
        <f t="shared" si="14"/>
        <v>100</v>
      </c>
      <c r="X35" s="1331"/>
      <c r="Y35" s="370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04"/>
      <c r="Q36" s="2831">
        <f t="shared" si="11"/>
        <v>111</v>
      </c>
      <c r="R36" s="1324" t="s">
        <v>62</v>
      </c>
      <c r="S36" s="1325">
        <f t="shared" si="12"/>
        <v>100</v>
      </c>
      <c r="T36" s="1324" t="s">
        <v>62</v>
      </c>
      <c r="U36" s="1325">
        <f t="shared" si="13"/>
        <v>100</v>
      </c>
      <c r="V36" s="1324" t="s">
        <v>62</v>
      </c>
      <c r="W36" s="1325">
        <f t="shared" si="14"/>
        <v>100</v>
      </c>
      <c r="X36" s="2830"/>
      <c r="Y36" s="3704"/>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86" t="str">
        <f>A37</f>
        <v>成交单价</v>
      </c>
      <c r="Q37" s="3686"/>
      <c r="R37" s="3705">
        <f>E37</f>
        <v>0</v>
      </c>
      <c r="S37" s="3705"/>
      <c r="T37" s="3705">
        <f>G37</f>
        <v>0</v>
      </c>
      <c r="U37" s="3705"/>
      <c r="V37" s="3705">
        <f>I37</f>
        <v>0</v>
      </c>
      <c r="W37" s="3705"/>
      <c r="X37" s="1307"/>
      <c r="Y37" s="1333"/>
      <c r="Z37" s="1307"/>
      <c r="AA37" s="1307"/>
      <c r="AB37" s="1307"/>
      <c r="AC37" s="1307"/>
    </row>
    <row r="38" spans="1:29" ht="15.75" thickBot="1">
      <c r="A38" s="829" t="s">
        <v>408</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6" t="str">
        <f>A38</f>
        <v>比较价值（元/平方米）</v>
      </c>
      <c r="Q38" s="3686"/>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7"/>
      <c r="Y38" s="1307"/>
      <c r="Z38" s="1307"/>
      <c r="AA38" s="1307"/>
      <c r="AB38" s="1307"/>
      <c r="AC38" s="1307"/>
    </row>
    <row r="39" spans="1:29" ht="15.75" thickBot="1">
      <c r="A39" s="835" t="s">
        <v>3010</v>
      </c>
      <c r="B39" s="836"/>
      <c r="C39" s="2843" t="e">
        <f>R39</f>
        <v>#DIV/0!</v>
      </c>
      <c r="D39" s="2843"/>
      <c r="E39" s="2843"/>
      <c r="F39" s="2843"/>
      <c r="G39" s="2843"/>
      <c r="H39" s="2843"/>
      <c r="I39" s="2843"/>
      <c r="J39" s="2843"/>
      <c r="K39" s="964"/>
      <c r="L39" s="2361"/>
      <c r="M39" s="2362"/>
      <c r="N39" s="2362"/>
      <c r="O39" s="2362"/>
      <c r="P39" s="3706" t="str">
        <f>A39</f>
        <v>估价对象XX用房的比较价值（楼面单价，元/平方米）</v>
      </c>
      <c r="Q39" s="3707"/>
      <c r="R39" s="3708" t="e">
        <f>IF(F1="售价",ROUND(AVERAGE(R38:V38),0),ROUND(AVERAGE(R38:V38),1))</f>
        <v>#DIV/0!</v>
      </c>
      <c r="S39" s="3708"/>
      <c r="T39" s="3708"/>
      <c r="U39" s="3708"/>
      <c r="V39" s="3708"/>
      <c r="W39" s="3708"/>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412</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2782</v>
      </c>
      <c r="B48" s="849"/>
      <c r="C48" s="3041" t="str">
        <f>YEAR(C7)&amp;"-"&amp;MONTH(C7)</f>
        <v>2017-10</v>
      </c>
      <c r="D48" s="3042">
        <f>EDATE(C48,-1)</f>
        <v>42979</v>
      </c>
      <c r="E48" s="3042">
        <f t="shared" ref="E48:O48" si="16">EDATE(D48,-1)</f>
        <v>42948</v>
      </c>
      <c r="F48" s="3042">
        <f t="shared" si="16"/>
        <v>42917</v>
      </c>
      <c r="G48" s="3042">
        <f t="shared" si="16"/>
        <v>42887</v>
      </c>
      <c r="H48" s="3042">
        <f t="shared" si="16"/>
        <v>42856</v>
      </c>
      <c r="I48" s="3042">
        <f t="shared" si="16"/>
        <v>42826</v>
      </c>
      <c r="J48" s="3042">
        <f t="shared" si="16"/>
        <v>42795</v>
      </c>
      <c r="K48" s="3042">
        <f t="shared" si="16"/>
        <v>42767</v>
      </c>
      <c r="L48" s="3042">
        <f t="shared" si="16"/>
        <v>42736</v>
      </c>
      <c r="M48" s="3042">
        <f t="shared" si="16"/>
        <v>42705</v>
      </c>
      <c r="N48" s="3042">
        <f t="shared" si="16"/>
        <v>42675</v>
      </c>
      <c r="O48" s="3042">
        <f t="shared" si="16"/>
        <v>42644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413</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397</v>
      </c>
      <c r="B51" s="853"/>
      <c r="C51" s="865" t="s">
        <v>414</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415</v>
      </c>
      <c r="B53" s="871" t="s">
        <v>416</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2625</v>
      </c>
      <c r="C65" s="921" t="s">
        <v>422</v>
      </c>
      <c r="D65" s="921" t="s">
        <v>423</v>
      </c>
      <c r="E65" s="921" t="s">
        <v>424</v>
      </c>
      <c r="F65" s="921" t="s">
        <v>425</v>
      </c>
      <c r="G65" s="921" t="s">
        <v>426</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2655</v>
      </c>
      <c r="C67" s="213" t="s">
        <v>2645</v>
      </c>
      <c r="D67" s="213" t="s">
        <v>2646</v>
      </c>
      <c r="E67" s="213" t="s">
        <v>2647</v>
      </c>
      <c r="F67" s="213" t="s">
        <v>2648</v>
      </c>
      <c r="G67" s="213" t="s">
        <v>2649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429</v>
      </c>
      <c r="C69" s="921" t="s">
        <v>422</v>
      </c>
      <c r="D69" s="921" t="s">
        <v>423</v>
      </c>
      <c r="E69" s="921" t="s">
        <v>424</v>
      </c>
      <c r="F69" s="921" t="s">
        <v>425</v>
      </c>
      <c r="G69" s="921" t="s">
        <v>426</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430</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405</v>
      </c>
      <c r="B79" s="871" t="s">
        <v>464</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465</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431</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467</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469</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470</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32"/>
      <c r="C1" s="3122" t="s">
        <v>441</v>
      </c>
      <c r="D1" s="3103"/>
      <c r="E1" s="3133"/>
      <c r="F1" s="3105"/>
      <c r="G1" s="3134" t="s">
        <v>442</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443</v>
      </c>
      <c r="B2" s="2844" t="e">
        <f ca="1">IF(C2="——",ROUND(C37*D3/10000,0),ROUND(C37*D3/10000,0)-D2)</f>
        <v>#DIV/0!</v>
      </c>
      <c r="C2" s="3097"/>
      <c r="D2" s="2342" t="e">
        <f ca="1">SUMIF(INDIRECT("'"&amp;F2&amp;"'"&amp;"!A:A"),"承租人权益价值",INDIRECT("'"&amp;F2&amp;"'"&amp;"!c:c"))</f>
        <v>#REF!</v>
      </c>
      <c r="E2" s="3098" t="s">
        <v>862</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446</v>
      </c>
      <c r="B4" s="745"/>
      <c r="C4" s="3687" t="s">
        <v>447</v>
      </c>
      <c r="D4" s="3688"/>
      <c r="E4" s="3689" t="s">
        <v>448</v>
      </c>
      <c r="F4" s="3690"/>
      <c r="G4" s="3687" t="s">
        <v>449</v>
      </c>
      <c r="H4" s="3688"/>
      <c r="I4" s="3687" t="s">
        <v>450</v>
      </c>
      <c r="J4" s="3688"/>
      <c r="K4" s="953" t="s">
        <v>451</v>
      </c>
      <c r="L4" s="2348"/>
      <c r="M4" s="2349"/>
      <c r="N4" s="2349"/>
      <c r="O4" s="2349"/>
      <c r="P4" s="3691" t="s">
        <v>452</v>
      </c>
      <c r="Q4" s="3692"/>
      <c r="R4" s="3674" t="s">
        <v>448</v>
      </c>
      <c r="S4" s="3675"/>
      <c r="T4" s="3674" t="s">
        <v>449</v>
      </c>
      <c r="U4" s="3675"/>
      <c r="V4" s="3699" t="s">
        <v>450</v>
      </c>
      <c r="W4" s="3699"/>
      <c r="X4" s="1318"/>
      <c r="Y4" s="3674" t="s">
        <v>452</v>
      </c>
      <c r="Z4" s="3675"/>
      <c r="AA4" s="3669" t="s">
        <v>448</v>
      </c>
      <c r="AB4" s="3670" t="s">
        <v>449</v>
      </c>
      <c r="AC4" s="3669" t="s">
        <v>450</v>
      </c>
    </row>
    <row r="5" spans="1:29" ht="15">
      <c r="A5" s="747"/>
      <c r="B5" s="748"/>
      <c r="C5" s="3618" t="s">
        <v>1124</v>
      </c>
      <c r="D5" s="3619"/>
      <c r="E5" s="3616" t="s">
        <v>1125</v>
      </c>
      <c r="F5" s="3617"/>
      <c r="G5" s="3618" t="s">
        <v>59</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29" ht="15.75" thickBot="1">
      <c r="A6" s="749"/>
      <c r="B6" s="750"/>
      <c r="C6" s="3620" t="s">
        <v>1127</v>
      </c>
      <c r="D6" s="3621"/>
      <c r="E6" s="3622" t="s">
        <v>1127</v>
      </c>
      <c r="F6" s="3623"/>
      <c r="G6" s="3620" t="s">
        <v>1127</v>
      </c>
      <c r="H6" s="3621"/>
      <c r="I6" s="3620" t="s">
        <v>1127</v>
      </c>
      <c r="J6" s="3621"/>
      <c r="K6" s="953" t="s">
        <v>394</v>
      </c>
      <c r="L6" s="2348"/>
      <c r="M6" s="2349"/>
      <c r="N6" s="2349"/>
      <c r="O6" s="2349"/>
      <c r="P6" s="3695"/>
      <c r="Q6" s="3696"/>
      <c r="R6" s="3676"/>
      <c r="S6" s="3677"/>
      <c r="T6" s="3697"/>
      <c r="U6" s="3698"/>
      <c r="V6" s="3699"/>
      <c r="W6" s="3699"/>
      <c r="X6" s="1318"/>
      <c r="Y6" s="3697"/>
      <c r="Z6" s="3698"/>
      <c r="AA6" s="3671"/>
      <c r="AB6" s="3671"/>
      <c r="AC6" s="3671"/>
    </row>
    <row r="7" spans="1:29" s="407" customFormat="1" ht="15.75" thickBot="1">
      <c r="A7" s="751" t="s">
        <v>395</v>
      </c>
      <c r="B7" s="752"/>
      <c r="C7" s="753">
        <f>'数据-取费表'!B2</f>
        <v>43026</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72" t="s">
        <v>396</v>
      </c>
      <c r="Q7" s="3700"/>
      <c r="R7" s="1319" t="s">
        <v>62</v>
      </c>
      <c r="S7" s="1320">
        <f t="shared" ref="S7:S14" si="0">F7</f>
        <v>0</v>
      </c>
      <c r="T7" s="1319" t="s">
        <v>62</v>
      </c>
      <c r="U7" s="1320">
        <f t="shared" ref="U7:U14" si="1">H7</f>
        <v>0</v>
      </c>
      <c r="V7" s="1319" t="s">
        <v>62</v>
      </c>
      <c r="W7" s="1320">
        <f t="shared" ref="W7:W14" si="2">J7</f>
        <v>0</v>
      </c>
      <c r="X7" s="1321"/>
      <c r="Y7" s="3672" t="s">
        <v>396</v>
      </c>
      <c r="Z7" s="3673"/>
      <c r="AA7" s="1322" t="e">
        <f>D7/F7</f>
        <v>#DIV/0!</v>
      </c>
      <c r="AB7" s="1322" t="e">
        <f>D7/H7</f>
        <v>#DIV/0!</v>
      </c>
      <c r="AC7" s="1322"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34" si="3">D8/F8</f>
        <v>#DIV/0!</v>
      </c>
      <c r="AB8" s="1322" t="e">
        <f t="shared" ref="AB8:AB34" si="4">D8/H8</f>
        <v>#DIV/0!</v>
      </c>
      <c r="AC8" s="1322" t="e">
        <f t="shared" ref="AC8:AC34" si="5">D8/J8</f>
        <v>#DIV/0!</v>
      </c>
    </row>
    <row r="9" spans="1:29" s="407" customFormat="1">
      <c r="A9" s="758" t="s">
        <v>398</v>
      </c>
      <c r="B9" s="361" t="s">
        <v>416</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6" t="s">
        <v>399</v>
      </c>
      <c r="Q9" s="296" t="str">
        <f t="shared" ref="Q9:Q14" si="6">B9</f>
        <v>用途</v>
      </c>
      <c r="R9" s="1319" t="s">
        <v>62</v>
      </c>
      <c r="S9" s="1320">
        <f t="shared" si="0"/>
        <v>100</v>
      </c>
      <c r="T9" s="1319" t="s">
        <v>62</v>
      </c>
      <c r="U9" s="1320">
        <f t="shared" si="1"/>
        <v>100</v>
      </c>
      <c r="V9" s="1319" t="s">
        <v>62</v>
      </c>
      <c r="W9" s="1320">
        <f t="shared" si="2"/>
        <v>100</v>
      </c>
      <c r="X9" s="1321"/>
      <c r="Y9" s="3554" t="s">
        <v>400</v>
      </c>
      <c r="Z9" s="344" t="str">
        <f t="shared" ref="Z9:Z14" si="7">Q9</f>
        <v>用途</v>
      </c>
      <c r="AA9" s="1322">
        <f t="shared" si="3"/>
        <v>1</v>
      </c>
      <c r="AB9" s="1322">
        <f t="shared" si="4"/>
        <v>1</v>
      </c>
      <c r="AC9" s="1322">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6"/>
      <c r="Q10" s="296" t="str">
        <f t="shared" si="6"/>
        <v>土地使用年限（年）</v>
      </c>
      <c r="R10" s="1319" t="s">
        <v>62</v>
      </c>
      <c r="S10" s="1320">
        <f t="shared" si="0"/>
        <v>100</v>
      </c>
      <c r="T10" s="1319" t="s">
        <v>62</v>
      </c>
      <c r="U10" s="1320">
        <f t="shared" si="1"/>
        <v>100</v>
      </c>
      <c r="V10" s="1319" t="s">
        <v>62</v>
      </c>
      <c r="W10" s="1320">
        <f t="shared" si="2"/>
        <v>100</v>
      </c>
      <c r="X10" s="1321"/>
      <c r="Y10" s="355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6"/>
      <c r="Q11" s="296">
        <f t="shared" si="6"/>
        <v>111</v>
      </c>
      <c r="R11" s="1319" t="s">
        <v>62</v>
      </c>
      <c r="S11" s="1320">
        <f t="shared" si="0"/>
        <v>100</v>
      </c>
      <c r="T11" s="1319" t="s">
        <v>62</v>
      </c>
      <c r="U11" s="1320">
        <f t="shared" si="1"/>
        <v>100</v>
      </c>
      <c r="V11" s="1319" t="s">
        <v>62</v>
      </c>
      <c r="W11" s="1320">
        <f t="shared" si="2"/>
        <v>100</v>
      </c>
      <c r="X11" s="1321"/>
      <c r="Y11" s="355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6"/>
      <c r="Q12" s="296">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21.5">
      <c r="A14" s="783" t="s">
        <v>403</v>
      </c>
      <c r="B14" s="359" t="s">
        <v>453</v>
      </c>
      <c r="C14" s="212" t="str">
        <f>IF(B1="工业",估价对象房地状况!G4,估价对象房地状况!C6)</f>
        <v>估价对象周边有559路、575路等多条公交线路，临近轻轨园博园站，停车便捷程度较好，综合评价交通便捷度较好。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701" t="s">
        <v>404</v>
      </c>
      <c r="Q14" s="1323" t="str">
        <f t="shared" si="6"/>
        <v>交通便捷度</v>
      </c>
      <c r="R14" s="1324" t="s">
        <v>62</v>
      </c>
      <c r="S14" s="1325">
        <f t="shared" si="0"/>
        <v>100</v>
      </c>
      <c r="T14" s="1324" t="s">
        <v>62</v>
      </c>
      <c r="U14" s="1325">
        <f t="shared" si="1"/>
        <v>100</v>
      </c>
      <c r="V14" s="1324" t="s">
        <v>62</v>
      </c>
      <c r="W14" s="1325">
        <f t="shared" si="2"/>
        <v>100</v>
      </c>
      <c r="X14" s="1318"/>
      <c r="Y14" s="3701" t="s">
        <v>404</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702"/>
      <c r="Q15" s="1323"/>
      <c r="R15" s="1324"/>
      <c r="S15" s="1325"/>
      <c r="T15" s="1324"/>
      <c r="U15" s="1325"/>
      <c r="V15" s="1324"/>
      <c r="W15" s="1325"/>
      <c r="X15" s="1318"/>
      <c r="Y15" s="3702"/>
      <c r="Z15" s="1326"/>
      <c r="AA15" s="1327">
        <v>1</v>
      </c>
      <c r="AB15" s="1327">
        <v>1</v>
      </c>
      <c r="AC15" s="1327">
        <v>1</v>
      </c>
    </row>
    <row r="16" spans="1:29" ht="54">
      <c r="A16" s="771"/>
      <c r="B16" s="1356" t="s">
        <v>2654</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702"/>
      <c r="Q16" s="1323" t="str">
        <f>B16</f>
        <v>公共配套设施</v>
      </c>
      <c r="R16" s="1324" t="s">
        <v>62</v>
      </c>
      <c r="S16" s="1325">
        <f>F16</f>
        <v>100</v>
      </c>
      <c r="T16" s="1324" t="s">
        <v>62</v>
      </c>
      <c r="U16" s="1325">
        <f>H16</f>
        <v>100</v>
      </c>
      <c r="V16" s="1324" t="s">
        <v>62</v>
      </c>
      <c r="W16" s="1325">
        <f>J16</f>
        <v>100</v>
      </c>
      <c r="X16" s="1318"/>
      <c r="Y16" s="370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702"/>
      <c r="Q17" s="1323"/>
      <c r="R17" s="1324"/>
      <c r="S17" s="1325"/>
      <c r="T17" s="1324"/>
      <c r="U17" s="1325"/>
      <c r="V17" s="1324"/>
      <c r="W17" s="1325"/>
      <c r="X17" s="1318"/>
      <c r="Y17" s="3702"/>
      <c r="Z17" s="1326"/>
      <c r="AA17" s="1327">
        <v>1</v>
      </c>
      <c r="AB17" s="1327">
        <v>1</v>
      </c>
      <c r="AC17" s="1327">
        <v>1</v>
      </c>
    </row>
    <row r="18" spans="1:29" ht="54">
      <c r="A18" s="771"/>
      <c r="B18" s="1412" t="s">
        <v>2656</v>
      </c>
      <c r="C18" s="158" t="str">
        <f>IF(B1="工业",估价对象房地状况!G6,估价对象房地状况!C8)</f>
        <v>估价对象所在区域基础设施水平达“六通”。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702"/>
      <c r="Q18" s="2749" t="str">
        <f>B18</f>
        <v>基础设施水平</v>
      </c>
      <c r="R18" s="1324" t="s">
        <v>62</v>
      </c>
      <c r="S18" s="1325">
        <f>F18</f>
        <v>100</v>
      </c>
      <c r="T18" s="1324" t="s">
        <v>62</v>
      </c>
      <c r="U18" s="1325">
        <f>H18</f>
        <v>100</v>
      </c>
      <c r="V18" s="1324" t="s">
        <v>62</v>
      </c>
      <c r="W18" s="1325">
        <f>J18</f>
        <v>100</v>
      </c>
      <c r="X18" s="2751"/>
      <c r="Y18" s="370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702"/>
      <c r="Q19" s="2749"/>
      <c r="R19" s="1324"/>
      <c r="S19" s="1325"/>
      <c r="T19" s="1324"/>
      <c r="U19" s="1325"/>
      <c r="V19" s="1324"/>
      <c r="W19" s="1325"/>
      <c r="X19" s="2751"/>
      <c r="Y19" s="3702"/>
      <c r="Z19" s="2750"/>
      <c r="AA19" s="1327">
        <v>1</v>
      </c>
      <c r="AB19" s="1327">
        <v>1</v>
      </c>
      <c r="AC19" s="1327">
        <v>1</v>
      </c>
    </row>
    <row r="20" spans="1:29" ht="135">
      <c r="A20" s="771"/>
      <c r="B20" s="79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702"/>
      <c r="Q20" s="1323" t="str">
        <f>B20</f>
        <v>自然及人文环境</v>
      </c>
      <c r="R20" s="1324" t="s">
        <v>62</v>
      </c>
      <c r="S20" s="1325">
        <f>F20</f>
        <v>100</v>
      </c>
      <c r="T20" s="1324" t="s">
        <v>62</v>
      </c>
      <c r="U20" s="1325">
        <f>H20</f>
        <v>100</v>
      </c>
      <c r="V20" s="1324" t="s">
        <v>62</v>
      </c>
      <c r="W20" s="1325">
        <f>J20</f>
        <v>100</v>
      </c>
      <c r="X20" s="1318"/>
      <c r="Y20" s="370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702"/>
      <c r="Q21" s="1323"/>
      <c r="R21" s="1324"/>
      <c r="S21" s="1325"/>
      <c r="T21" s="1324"/>
      <c r="U21" s="1325"/>
      <c r="V21" s="1324"/>
      <c r="W21" s="1325"/>
      <c r="X21" s="1318"/>
      <c r="Y21" s="3702"/>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702"/>
      <c r="Q22" s="1323" t="str">
        <f>B22</f>
        <v>楼层</v>
      </c>
      <c r="R22" s="1324" t="s">
        <v>62</v>
      </c>
      <c r="S22" s="1325">
        <f>F22</f>
        <v>100</v>
      </c>
      <c r="T22" s="1324" t="s">
        <v>62</v>
      </c>
      <c r="U22" s="1325">
        <f>H22</f>
        <v>100</v>
      </c>
      <c r="V22" s="1324" t="s">
        <v>62</v>
      </c>
      <c r="W22" s="1325">
        <f>J22</f>
        <v>100</v>
      </c>
      <c r="X22" s="1318"/>
      <c r="Y22" s="370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702"/>
      <c r="Q23" s="1323">
        <f>B23</f>
        <v>111</v>
      </c>
      <c r="R23" s="1324" t="s">
        <v>62</v>
      </c>
      <c r="S23" s="1325">
        <f>F23</f>
        <v>100</v>
      </c>
      <c r="T23" s="1324" t="s">
        <v>62</v>
      </c>
      <c r="U23" s="1325">
        <f>H23</f>
        <v>100</v>
      </c>
      <c r="V23" s="1324" t="s">
        <v>62</v>
      </c>
      <c r="W23" s="1325">
        <f>J23</f>
        <v>100</v>
      </c>
      <c r="X23" s="1318"/>
      <c r="Y23" s="370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702"/>
      <c r="Q24" s="1323">
        <f t="shared" ref="Q24:Q34" si="11">B24</f>
        <v>111</v>
      </c>
      <c r="R24" s="1324" t="s">
        <v>62</v>
      </c>
      <c r="S24" s="1325">
        <f>F24</f>
        <v>100</v>
      </c>
      <c r="T24" s="1324" t="s">
        <v>62</v>
      </c>
      <c r="U24" s="1325">
        <f>H24</f>
        <v>100</v>
      </c>
      <c r="V24" s="1324" t="s">
        <v>62</v>
      </c>
      <c r="W24" s="1325">
        <f>J24</f>
        <v>100</v>
      </c>
      <c r="X24" s="1318"/>
      <c r="Y24" s="370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702"/>
      <c r="Q25" s="296">
        <f t="shared" si="11"/>
        <v>111</v>
      </c>
      <c r="R25" s="1319" t="s">
        <v>62</v>
      </c>
      <c r="S25" s="1320">
        <f>F25</f>
        <v>100</v>
      </c>
      <c r="T25" s="1319" t="s">
        <v>62</v>
      </c>
      <c r="U25" s="1320">
        <f>H25</f>
        <v>100</v>
      </c>
      <c r="V25" s="1319" t="s">
        <v>62</v>
      </c>
      <c r="W25" s="1320">
        <f>J25</f>
        <v>100</v>
      </c>
      <c r="X25" s="1321"/>
      <c r="Y25" s="3702"/>
      <c r="Z25" s="344">
        <f>Q25</f>
        <v>111</v>
      </c>
      <c r="AA25" s="1327">
        <f>D25/F25</f>
        <v>1</v>
      </c>
      <c r="AB25" s="1327">
        <f>D25/H25</f>
        <v>1</v>
      </c>
      <c r="AC25" s="1327">
        <f>D25/J25</f>
        <v>1</v>
      </c>
    </row>
    <row r="26" spans="1:29" ht="15">
      <c r="A26" s="809" t="s">
        <v>405</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03" t="s">
        <v>471</v>
      </c>
      <c r="Q26" s="1323" t="str">
        <f t="shared" si="11"/>
        <v>公共部分装修</v>
      </c>
      <c r="R26" s="1324" t="s">
        <v>62</v>
      </c>
      <c r="S26" s="1325">
        <f t="shared" ref="S26:S34" si="12">F26</f>
        <v>100</v>
      </c>
      <c r="T26" s="1324" t="s">
        <v>62</v>
      </c>
      <c r="U26" s="1325">
        <f t="shared" ref="U26:U34" si="13">H26</f>
        <v>100</v>
      </c>
      <c r="V26" s="1324" t="s">
        <v>62</v>
      </c>
      <c r="W26" s="1325">
        <f t="shared" ref="W26:W34" si="14">J26</f>
        <v>100</v>
      </c>
      <c r="X26" s="1318"/>
      <c r="Y26" s="3704"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04"/>
      <c r="Q27" s="1328" t="str">
        <f t="shared" si="11"/>
        <v>成新率</v>
      </c>
      <c r="R27" s="1329" t="s">
        <v>62</v>
      </c>
      <c r="S27" s="1330" t="e">
        <f t="shared" si="12"/>
        <v>#N/A</v>
      </c>
      <c r="T27" s="1329" t="s">
        <v>62</v>
      </c>
      <c r="U27" s="1330" t="e">
        <f t="shared" si="13"/>
        <v>#N/A</v>
      </c>
      <c r="V27" s="1329" t="s">
        <v>62</v>
      </c>
      <c r="W27" s="1330" t="e">
        <f t="shared" si="14"/>
        <v>#N/A</v>
      </c>
      <c r="X27" s="1331"/>
      <c r="Y27" s="3704"/>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04"/>
      <c r="Q28" s="1323" t="str">
        <f t="shared" si="11"/>
        <v>物业等级</v>
      </c>
      <c r="R28" s="1324" t="s">
        <v>62</v>
      </c>
      <c r="S28" s="1325">
        <f t="shared" si="12"/>
        <v>100</v>
      </c>
      <c r="T28" s="1324" t="s">
        <v>62</v>
      </c>
      <c r="U28" s="1325">
        <f t="shared" si="13"/>
        <v>100</v>
      </c>
      <c r="V28" s="1324" t="s">
        <v>62</v>
      </c>
      <c r="W28" s="1325">
        <f t="shared" si="14"/>
        <v>100</v>
      </c>
      <c r="X28" s="1318"/>
      <c r="Y28" s="3704"/>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04"/>
      <c r="Q29" s="1323" t="str">
        <f t="shared" si="11"/>
        <v>有无电梯</v>
      </c>
      <c r="R29" s="1324" t="s">
        <v>62</v>
      </c>
      <c r="S29" s="1325">
        <f t="shared" si="12"/>
        <v>100</v>
      </c>
      <c r="T29" s="1324" t="s">
        <v>62</v>
      </c>
      <c r="U29" s="1325">
        <f t="shared" si="13"/>
        <v>100</v>
      </c>
      <c r="V29" s="1324" t="s">
        <v>62</v>
      </c>
      <c r="W29" s="1325">
        <f t="shared" si="14"/>
        <v>100</v>
      </c>
      <c r="X29" s="1318"/>
      <c r="Y29" s="3704"/>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04"/>
      <c r="Q30" s="1323" t="str">
        <f t="shared" si="11"/>
        <v>建筑面积</v>
      </c>
      <c r="R30" s="1324" t="s">
        <v>62</v>
      </c>
      <c r="S30" s="1325" t="e">
        <f t="shared" si="12"/>
        <v>#N/A</v>
      </c>
      <c r="T30" s="1324" t="s">
        <v>62</v>
      </c>
      <c r="U30" s="1325" t="e">
        <f t="shared" si="13"/>
        <v>#N/A</v>
      </c>
      <c r="V30" s="1324" t="s">
        <v>62</v>
      </c>
      <c r="W30" s="1325" t="e">
        <f t="shared" si="14"/>
        <v>#N/A</v>
      </c>
      <c r="X30" s="1318"/>
      <c r="Y30" s="3704"/>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04"/>
      <c r="Q31" s="296" t="str">
        <f t="shared" si="11"/>
        <v>是否封闭</v>
      </c>
      <c r="R31" s="1319" t="s">
        <v>62</v>
      </c>
      <c r="S31" s="1320">
        <f t="shared" si="12"/>
        <v>100</v>
      </c>
      <c r="T31" s="1319" t="s">
        <v>62</v>
      </c>
      <c r="U31" s="1320">
        <f t="shared" si="13"/>
        <v>100</v>
      </c>
      <c r="V31" s="1319" t="s">
        <v>62</v>
      </c>
      <c r="W31" s="1320">
        <f t="shared" si="14"/>
        <v>100</v>
      </c>
      <c r="X31" s="1321"/>
      <c r="Y31" s="370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04" t="s">
        <v>406</v>
      </c>
      <c r="Q32" s="1323">
        <f t="shared" si="11"/>
        <v>111</v>
      </c>
      <c r="R32" s="1324" t="s">
        <v>62</v>
      </c>
      <c r="S32" s="1325">
        <f t="shared" si="12"/>
        <v>100</v>
      </c>
      <c r="T32" s="1324" t="s">
        <v>62</v>
      </c>
      <c r="U32" s="1325">
        <f t="shared" si="13"/>
        <v>100</v>
      </c>
      <c r="V32" s="1324" t="s">
        <v>62</v>
      </c>
      <c r="W32" s="1325">
        <f t="shared" si="14"/>
        <v>100</v>
      </c>
      <c r="X32" s="1318"/>
      <c r="Y32" s="3704" t="s">
        <v>406</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04"/>
      <c r="Q33" s="1323">
        <f t="shared" si="11"/>
        <v>111</v>
      </c>
      <c r="R33" s="1324" t="s">
        <v>62</v>
      </c>
      <c r="S33" s="1325">
        <f t="shared" si="12"/>
        <v>100</v>
      </c>
      <c r="T33" s="1324" t="s">
        <v>62</v>
      </c>
      <c r="U33" s="1325">
        <f t="shared" si="13"/>
        <v>100</v>
      </c>
      <c r="V33" s="1324" t="s">
        <v>62</v>
      </c>
      <c r="W33" s="1325">
        <f t="shared" si="14"/>
        <v>100</v>
      </c>
      <c r="X33" s="1318"/>
      <c r="Y33" s="370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04"/>
      <c r="Q34" s="1323">
        <f t="shared" si="11"/>
        <v>111</v>
      </c>
      <c r="R34" s="1324" t="s">
        <v>62</v>
      </c>
      <c r="S34" s="1325">
        <f t="shared" si="12"/>
        <v>100</v>
      </c>
      <c r="T34" s="1324" t="s">
        <v>62</v>
      </c>
      <c r="U34" s="1325">
        <f t="shared" si="13"/>
        <v>100</v>
      </c>
      <c r="V34" s="1324" t="s">
        <v>62</v>
      </c>
      <c r="W34" s="1325">
        <f t="shared" si="14"/>
        <v>100</v>
      </c>
      <c r="X34" s="1318"/>
      <c r="Y34" s="3704"/>
      <c r="Z34" s="1326">
        <f t="shared" si="15"/>
        <v>111</v>
      </c>
      <c r="AA34" s="1327">
        <f t="shared" si="3"/>
        <v>1</v>
      </c>
      <c r="AB34" s="1327">
        <f t="shared" si="4"/>
        <v>1</v>
      </c>
      <c r="AC34" s="1327">
        <f t="shared" si="5"/>
        <v>1</v>
      </c>
    </row>
    <row r="35" spans="1:29" ht="15">
      <c r="A35" s="822" t="s">
        <v>407</v>
      </c>
      <c r="B35" s="823"/>
      <c r="C35" s="2833" t="s">
        <v>23</v>
      </c>
      <c r="D35" s="2834"/>
      <c r="E35" s="2835"/>
      <c r="F35" s="2836"/>
      <c r="G35" s="2837"/>
      <c r="H35" s="2838"/>
      <c r="I35" s="2835"/>
      <c r="J35" s="2838"/>
      <c r="K35" s="1400"/>
      <c r="L35" s="2361"/>
      <c r="M35" s="2362"/>
      <c r="N35" s="2349"/>
      <c r="O35" s="2362"/>
      <c r="P35" s="3686" t="str">
        <f>A35</f>
        <v>成交单价（元/平方米）</v>
      </c>
      <c r="Q35" s="3686"/>
      <c r="R35" s="3705">
        <f>E35</f>
        <v>0</v>
      </c>
      <c r="S35" s="3705"/>
      <c r="T35" s="3705">
        <f>G35</f>
        <v>0</v>
      </c>
      <c r="U35" s="3705"/>
      <c r="V35" s="3705">
        <f>I35</f>
        <v>0</v>
      </c>
      <c r="W35" s="3705"/>
      <c r="X35" s="1307"/>
      <c r="Y35" s="1333"/>
      <c r="Z35" s="1307"/>
      <c r="AA35" s="1307"/>
      <c r="AB35" s="1307"/>
      <c r="AC35" s="1307"/>
    </row>
    <row r="36" spans="1:29" ht="15.75" thickBot="1">
      <c r="A36" s="829" t="s">
        <v>408</v>
      </c>
      <c r="B36" s="830"/>
      <c r="C36" s="2839" t="e">
        <f>R37</f>
        <v>#DIV/0!</v>
      </c>
      <c r="D36" s="2840"/>
      <c r="E36" s="2841" t="e">
        <f>R36</f>
        <v>#DIV/0!</v>
      </c>
      <c r="F36" s="2841"/>
      <c r="G36" s="2839" t="e">
        <f>T36</f>
        <v>#DIV/0!</v>
      </c>
      <c r="H36" s="2840"/>
      <c r="I36" s="2841" t="e">
        <f>V36</f>
        <v>#DIV/0!</v>
      </c>
      <c r="J36" s="2840"/>
      <c r="K36" s="1401"/>
      <c r="L36" s="2361"/>
      <c r="M36" s="2362"/>
      <c r="N36" s="2349"/>
      <c r="O36" s="2362"/>
      <c r="P36" s="3686" t="str">
        <f>A36</f>
        <v>比较价值（元/平方米）</v>
      </c>
      <c r="Q36" s="3686"/>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7"/>
      <c r="Y36" s="1307"/>
      <c r="Z36" s="1307"/>
      <c r="AA36" s="1307"/>
      <c r="AB36" s="1307"/>
      <c r="AC36" s="1307"/>
    </row>
    <row r="37" spans="1:29" ht="15.75" thickBot="1">
      <c r="A37" s="115" t="s">
        <v>3004</v>
      </c>
      <c r="B37" s="836"/>
      <c r="C37" s="2843" t="e">
        <f>R37</f>
        <v>#DIV/0!</v>
      </c>
      <c r="D37" s="2843"/>
      <c r="E37" s="2843"/>
      <c r="F37" s="2843"/>
      <c r="G37" s="2843"/>
      <c r="H37" s="2843"/>
      <c r="I37" s="2843"/>
      <c r="J37" s="2843"/>
      <c r="K37" s="1402"/>
      <c r="L37" s="2361"/>
      <c r="M37" s="2362"/>
      <c r="N37" s="2362"/>
      <c r="O37" s="2362"/>
      <c r="P37" s="3706" t="str">
        <f>A37</f>
        <v>估价对象XX用房的比较价值（楼面单价，元/平方米）</v>
      </c>
      <c r="Q37" s="3707"/>
      <c r="R37" s="3708" t="e">
        <f>IF(F1="售价",ROUND(AVERAGE(R36:V36),0),ROUND(AVERAGE(R36:V36),1))</f>
        <v>#DIV/0!</v>
      </c>
      <c r="S37" s="3708"/>
      <c r="T37" s="3708"/>
      <c r="U37" s="3708"/>
      <c r="V37" s="3708"/>
      <c r="W37" s="3708"/>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412</v>
      </c>
      <c r="B45" s="1307"/>
      <c r="C45" s="1312"/>
      <c r="D45" s="1312"/>
      <c r="E45" s="1312"/>
      <c r="F45" s="1313"/>
      <c r="G45" s="1313"/>
      <c r="H45" s="1312"/>
      <c r="I45" s="1312"/>
      <c r="J45" s="1312"/>
      <c r="K45" s="1314"/>
      <c r="L45" s="1315"/>
      <c r="M45" s="1312"/>
      <c r="N45" s="1312"/>
      <c r="O45" s="1312"/>
      <c r="P45" s="846"/>
      <c r="Q45" s="847"/>
    </row>
    <row r="46" spans="1:29" s="851" customFormat="1" ht="15">
      <c r="A46" s="848" t="s">
        <v>395</v>
      </c>
      <c r="B46" s="849"/>
      <c r="C46" s="3041" t="str">
        <f>YEAR(C7)&amp;"-"&amp;MONTH(C7)</f>
        <v>2017-10</v>
      </c>
      <c r="D46" s="3042">
        <f>EDATE(C46,-1)</f>
        <v>42979</v>
      </c>
      <c r="E46" s="3042">
        <f t="shared" ref="E46:O46" si="16">EDATE(D46,-1)</f>
        <v>42948</v>
      </c>
      <c r="F46" s="3042">
        <f t="shared" si="16"/>
        <v>42917</v>
      </c>
      <c r="G46" s="3042">
        <f t="shared" si="16"/>
        <v>42887</v>
      </c>
      <c r="H46" s="3042">
        <f t="shared" si="16"/>
        <v>42856</v>
      </c>
      <c r="I46" s="3042">
        <f t="shared" si="16"/>
        <v>42826</v>
      </c>
      <c r="J46" s="3042">
        <f t="shared" si="16"/>
        <v>42795</v>
      </c>
      <c r="K46" s="3042">
        <f t="shared" si="16"/>
        <v>42767</v>
      </c>
      <c r="L46" s="3042">
        <f t="shared" si="16"/>
        <v>42736</v>
      </c>
      <c r="M46" s="3042">
        <f t="shared" si="16"/>
        <v>42705</v>
      </c>
      <c r="N46" s="3042">
        <f t="shared" si="16"/>
        <v>42675</v>
      </c>
      <c r="O46" s="3042">
        <f t="shared" si="16"/>
        <v>42644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415</v>
      </c>
      <c r="B51" s="871" t="s">
        <v>416</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70"/>
      <c r="O53" s="2370"/>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430</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405</v>
      </c>
      <c r="B77" s="871" t="s">
        <v>431</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467</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475</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477</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342</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387</v>
      </c>
      <c r="B4" s="745"/>
      <c r="C4" s="3687" t="s">
        <v>388</v>
      </c>
      <c r="D4" s="3688"/>
      <c r="E4" s="3689" t="s">
        <v>389</v>
      </c>
      <c r="F4" s="3690"/>
      <c r="G4" s="3687" t="s">
        <v>390</v>
      </c>
      <c r="H4" s="3688"/>
      <c r="I4" s="3687" t="s">
        <v>391</v>
      </c>
      <c r="J4" s="3688"/>
      <c r="K4" s="953" t="s">
        <v>392</v>
      </c>
      <c r="L4" s="2348"/>
      <c r="M4" s="2349"/>
      <c r="N4" s="2349"/>
      <c r="O4" s="2349"/>
      <c r="P4" s="3691" t="s">
        <v>393</v>
      </c>
      <c r="Q4" s="3692"/>
      <c r="R4" s="3674" t="s">
        <v>389</v>
      </c>
      <c r="S4" s="3675"/>
      <c r="T4" s="3674" t="s">
        <v>390</v>
      </c>
      <c r="U4" s="3675"/>
      <c r="V4" s="3699" t="s">
        <v>391</v>
      </c>
      <c r="W4" s="3699"/>
      <c r="X4" s="1318"/>
      <c r="Y4" s="3674" t="s">
        <v>393</v>
      </c>
      <c r="Z4" s="3675"/>
      <c r="AA4" s="3669" t="s">
        <v>389</v>
      </c>
      <c r="AB4" s="3670" t="s">
        <v>390</v>
      </c>
      <c r="AC4" s="3669" t="s">
        <v>391</v>
      </c>
    </row>
    <row r="5" spans="1:30" ht="15">
      <c r="A5" s="747"/>
      <c r="B5" s="748"/>
      <c r="C5" s="3618" t="s">
        <v>1124</v>
      </c>
      <c r="D5" s="3619"/>
      <c r="E5" s="3616" t="s">
        <v>1125</v>
      </c>
      <c r="F5" s="3617"/>
      <c r="G5" s="3618" t="s">
        <v>1128</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30" ht="15.75" thickBot="1">
      <c r="A6" s="749"/>
      <c r="B6" s="750"/>
      <c r="C6" s="3620" t="s">
        <v>1127</v>
      </c>
      <c r="D6" s="3621"/>
      <c r="E6" s="3622" t="s">
        <v>1127</v>
      </c>
      <c r="F6" s="3623"/>
      <c r="G6" s="3620" t="s">
        <v>1127</v>
      </c>
      <c r="H6" s="3621"/>
      <c r="I6" s="3620" t="s">
        <v>1127</v>
      </c>
      <c r="J6" s="3621"/>
      <c r="K6" s="953" t="s">
        <v>394</v>
      </c>
      <c r="L6" s="2348"/>
      <c r="M6" s="2349"/>
      <c r="N6" s="2349"/>
      <c r="O6" s="2349"/>
      <c r="P6" s="3695"/>
      <c r="Q6" s="3696"/>
      <c r="R6" s="3676"/>
      <c r="S6" s="3677"/>
      <c r="T6" s="3697"/>
      <c r="U6" s="3698"/>
      <c r="V6" s="3699"/>
      <c r="W6" s="3699"/>
      <c r="X6" s="1318"/>
      <c r="Y6" s="3697"/>
      <c r="Z6" s="3698"/>
      <c r="AA6" s="3671"/>
      <c r="AB6" s="3671"/>
      <c r="AC6" s="3671"/>
    </row>
    <row r="7" spans="1:30" s="407" customFormat="1" ht="15.75" thickBot="1">
      <c r="A7" s="751" t="s">
        <v>395</v>
      </c>
      <c r="B7" s="752"/>
      <c r="C7" s="753">
        <f>'数据-取费表'!B2</f>
        <v>43026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72" t="s">
        <v>396</v>
      </c>
      <c r="Q7" s="3700"/>
      <c r="R7" s="1319" t="s">
        <v>62</v>
      </c>
      <c r="S7" s="1320">
        <f t="shared" ref="S7:S15" si="0">F7</f>
        <v>0</v>
      </c>
      <c r="T7" s="1319" t="s">
        <v>62</v>
      </c>
      <c r="U7" s="1320">
        <f t="shared" ref="U7:U15" si="1">H7</f>
        <v>0</v>
      </c>
      <c r="V7" s="1319" t="s">
        <v>62</v>
      </c>
      <c r="W7" s="1320">
        <f t="shared" ref="W7:W15" si="2">J7</f>
        <v>0</v>
      </c>
      <c r="X7" s="1321"/>
      <c r="Y7" s="3672" t="s">
        <v>396</v>
      </c>
      <c r="Z7" s="3673"/>
      <c r="AA7" s="1322" t="e">
        <f>D7/F7</f>
        <v>#DIV/0!</v>
      </c>
      <c r="AB7" s="1322" t="e">
        <f>D7/H7</f>
        <v>#DIV/0!</v>
      </c>
      <c r="AC7" s="1322" t="e">
        <f>D7/J7</f>
        <v>#DIV/0!</v>
      </c>
    </row>
    <row r="8" spans="1:30" s="407" customFormat="1" ht="15.75" thickBot="1">
      <c r="A8" s="751" t="s">
        <v>397</v>
      </c>
      <c r="B8" s="752"/>
      <c r="C8" s="1020" t="s">
        <v>152</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45" si="3">D8/F8</f>
        <v>#DIV/0!</v>
      </c>
      <c r="AB8" s="1322" t="e">
        <f t="shared" ref="AB8:AB45" si="4">D8/H8</f>
        <v>#DIV/0!</v>
      </c>
      <c r="AC8" s="1322" t="e">
        <f t="shared" ref="AC8:AC45" si="5">D8/J8</f>
        <v>#DIV/0!</v>
      </c>
    </row>
    <row r="9" spans="1:30" s="407" customFormat="1">
      <c r="A9" s="758" t="s">
        <v>398</v>
      </c>
      <c r="B9" s="361" t="s">
        <v>416</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6" t="s">
        <v>399</v>
      </c>
      <c r="Q9" s="296" t="str">
        <f t="shared" ref="Q9:Q15" si="6">B9</f>
        <v>用途</v>
      </c>
      <c r="R9" s="1319" t="s">
        <v>62</v>
      </c>
      <c r="S9" s="1320">
        <f t="shared" si="0"/>
        <v>100</v>
      </c>
      <c r="T9" s="1319" t="s">
        <v>62</v>
      </c>
      <c r="U9" s="1320">
        <f t="shared" si="1"/>
        <v>100</v>
      </c>
      <c r="V9" s="1319" t="s">
        <v>62</v>
      </c>
      <c r="W9" s="1320">
        <f t="shared" si="2"/>
        <v>100</v>
      </c>
      <c r="X9" s="1321"/>
      <c r="Y9" s="3554" t="s">
        <v>400</v>
      </c>
      <c r="Z9" s="344" t="str">
        <f t="shared" ref="Z9:Z15" si="7">Q9</f>
        <v>用途</v>
      </c>
      <c r="AA9" s="1322">
        <f t="shared" si="3"/>
        <v>1</v>
      </c>
      <c r="AB9" s="1322">
        <f t="shared" si="4"/>
        <v>1</v>
      </c>
      <c r="AC9" s="1322">
        <f t="shared" si="5"/>
        <v>1</v>
      </c>
    </row>
    <row r="10" spans="1:30" s="770" customFormat="1" ht="27">
      <c r="A10" s="764"/>
      <c r="B10" s="765" t="s">
        <v>401</v>
      </c>
      <c r="C10" s="775"/>
      <c r="D10" s="426">
        <v>100</v>
      </c>
      <c r="E10" s="808"/>
      <c r="F10" s="426">
        <f>ROUND(100/'数据-取费表'!G16,0)</f>
        <v>116</v>
      </c>
      <c r="G10" s="806"/>
      <c r="H10" s="426">
        <f>ROUND(100/'数据-取费表'!G16,0)</f>
        <v>116</v>
      </c>
      <c r="I10" s="806"/>
      <c r="J10" s="426">
        <f>ROUND(100/'数据-取费表'!G16,0)</f>
        <v>116</v>
      </c>
      <c r="K10" s="1081"/>
      <c r="L10" s="2353"/>
      <c r="M10" s="2354"/>
      <c r="N10" s="2354"/>
      <c r="O10" s="2355"/>
      <c r="P10" s="3686"/>
      <c r="Q10" s="296" t="str">
        <f t="shared" si="6"/>
        <v>土地使用年限（年）</v>
      </c>
      <c r="R10" s="1319" t="s">
        <v>62</v>
      </c>
      <c r="S10" s="1320">
        <f t="shared" si="0"/>
        <v>116</v>
      </c>
      <c r="T10" s="1319" t="s">
        <v>62</v>
      </c>
      <c r="U10" s="1320">
        <f t="shared" si="1"/>
        <v>116</v>
      </c>
      <c r="V10" s="1319" t="s">
        <v>62</v>
      </c>
      <c r="W10" s="1320">
        <f t="shared" si="2"/>
        <v>116</v>
      </c>
      <c r="X10" s="1321"/>
      <c r="Y10" s="3554"/>
      <c r="Z10" s="344" t="str">
        <f t="shared" si="7"/>
        <v>土地使用年限（年）</v>
      </c>
      <c r="AA10" s="1322">
        <f t="shared" si="3"/>
        <v>0.86206896551724133</v>
      </c>
      <c r="AB10" s="1322">
        <f t="shared" si="4"/>
        <v>0.86206896551724133</v>
      </c>
      <c r="AC10" s="1322">
        <f t="shared" si="5"/>
        <v>0.86206896551724133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6"/>
      <c r="Q11" s="296" t="str">
        <f t="shared" si="6"/>
        <v>容积率</v>
      </c>
      <c r="R11" s="1319" t="s">
        <v>62</v>
      </c>
      <c r="S11" s="1320" t="e">
        <f t="shared" si="0"/>
        <v>#N/A</v>
      </c>
      <c r="T11" s="1319" t="s">
        <v>62</v>
      </c>
      <c r="U11" s="1320" t="e">
        <f t="shared" si="1"/>
        <v>#N/A</v>
      </c>
      <c r="V11" s="1319" t="s">
        <v>62</v>
      </c>
      <c r="W11" s="1320" t="e">
        <f t="shared" si="2"/>
        <v>#N/A</v>
      </c>
      <c r="X11" s="1321"/>
      <c r="Y11" s="3554"/>
      <c r="Z11" s="344" t="str">
        <f t="shared" si="7"/>
        <v>容积率</v>
      </c>
      <c r="AA11" s="1322" t="e">
        <f t="shared" si="3"/>
        <v>#N/A</v>
      </c>
      <c r="AB11" s="1322" t="e">
        <f t="shared" si="4"/>
        <v>#N/A</v>
      </c>
      <c r="AC11" s="1322"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6"/>
      <c r="Q12" s="296" t="str">
        <f t="shared" si="6"/>
        <v>配建</v>
      </c>
      <c r="R12" s="1319" t="s">
        <v>62</v>
      </c>
      <c r="S12" s="1320">
        <f t="shared" si="0"/>
        <v>100</v>
      </c>
      <c r="T12" s="1319" t="s">
        <v>62</v>
      </c>
      <c r="U12" s="1320">
        <f t="shared" si="1"/>
        <v>100</v>
      </c>
      <c r="V12" s="1319" t="s">
        <v>62</v>
      </c>
      <c r="W12" s="1320">
        <f t="shared" si="2"/>
        <v>100</v>
      </c>
      <c r="X12" s="1321"/>
      <c r="Y12" s="355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6"/>
      <c r="Q14" s="296">
        <f t="shared" si="6"/>
        <v>111</v>
      </c>
      <c r="R14" s="1319" t="s">
        <v>62</v>
      </c>
      <c r="S14" s="1320">
        <f t="shared" si="0"/>
        <v>100</v>
      </c>
      <c r="T14" s="1319" t="s">
        <v>62</v>
      </c>
      <c r="U14" s="1320">
        <f t="shared" si="1"/>
        <v>100</v>
      </c>
      <c r="V14" s="1319" t="s">
        <v>62</v>
      </c>
      <c r="W14" s="1320">
        <f t="shared" si="2"/>
        <v>100</v>
      </c>
      <c r="X14" s="1321"/>
      <c r="Y14" s="3554"/>
      <c r="Z14" s="344">
        <f t="shared" si="7"/>
        <v>111</v>
      </c>
      <c r="AA14" s="1322">
        <f>D14/F14</f>
        <v>1</v>
      </c>
      <c r="AB14" s="1322">
        <f>D14/H14</f>
        <v>1</v>
      </c>
      <c r="AC14" s="1322">
        <f>D14/J14</f>
        <v>1</v>
      </c>
    </row>
    <row r="15" spans="1:30" ht="94.5">
      <c r="A15" s="783" t="s">
        <v>403</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701" t="s">
        <v>404</v>
      </c>
      <c r="Q15" s="1323" t="str">
        <f t="shared" si="6"/>
        <v>居住社区成熟度</v>
      </c>
      <c r="R15" s="1324" t="s">
        <v>62</v>
      </c>
      <c r="S15" s="1325">
        <f t="shared" si="0"/>
        <v>100</v>
      </c>
      <c r="T15" s="1324" t="s">
        <v>62</v>
      </c>
      <c r="U15" s="1325">
        <f t="shared" si="1"/>
        <v>100</v>
      </c>
      <c r="V15" s="1324" t="s">
        <v>62</v>
      </c>
      <c r="W15" s="1325">
        <f t="shared" si="2"/>
        <v>100</v>
      </c>
      <c r="X15" s="1318"/>
      <c r="Y15" s="3701" t="s">
        <v>404</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702"/>
      <c r="Q16" s="1323"/>
      <c r="R16" s="1324"/>
      <c r="S16" s="1325"/>
      <c r="T16" s="1324"/>
      <c r="U16" s="1325"/>
      <c r="V16" s="1324"/>
      <c r="W16" s="1325"/>
      <c r="X16" s="1318"/>
      <c r="Y16" s="3702"/>
      <c r="Z16" s="1326"/>
      <c r="AA16" s="1327">
        <v>1</v>
      </c>
      <c r="AB16" s="1327">
        <v>1</v>
      </c>
      <c r="AC16" s="1327">
        <v>1</v>
      </c>
    </row>
    <row r="17" spans="1:29" ht="108">
      <c r="A17" s="771"/>
      <c r="B17" s="794" t="s">
        <v>433</v>
      </c>
      <c r="C17" s="190" t="str">
        <f>估价对象房地状况!C16</f>
        <v>估价对象位于西部建材城，周边商业大多为建材商业，商业氛围成熟一般，人流量一般，商业繁华度一般。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702"/>
      <c r="Q17" s="1323" t="str">
        <f>B17</f>
        <v>商业繁华度</v>
      </c>
      <c r="R17" s="1324" t="s">
        <v>62</v>
      </c>
      <c r="S17" s="1325">
        <f>F17</f>
        <v>100</v>
      </c>
      <c r="T17" s="1324" t="s">
        <v>62</v>
      </c>
      <c r="U17" s="1325">
        <f>H17</f>
        <v>100</v>
      </c>
      <c r="V17" s="1324" t="s">
        <v>62</v>
      </c>
      <c r="W17" s="1325">
        <f>J17</f>
        <v>100</v>
      </c>
      <c r="X17" s="1318"/>
      <c r="Y17" s="370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702"/>
      <c r="Q18" s="1323"/>
      <c r="R18" s="1324"/>
      <c r="S18" s="1325"/>
      <c r="T18" s="1324"/>
      <c r="U18" s="1325"/>
      <c r="V18" s="1324"/>
      <c r="W18" s="1325"/>
      <c r="X18" s="1318"/>
      <c r="Y18" s="3702"/>
      <c r="Z18" s="1326"/>
      <c r="AA18" s="1327">
        <v>1</v>
      </c>
      <c r="AB18" s="1327">
        <v>1</v>
      </c>
      <c r="AC18" s="1327">
        <v>1</v>
      </c>
    </row>
    <row r="19" spans="1:29" ht="81">
      <c r="A19" s="771"/>
      <c r="B19" s="794" t="s">
        <v>438</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702"/>
      <c r="Q19" s="1323" t="str">
        <f>B19</f>
        <v>办公集聚程度</v>
      </c>
      <c r="R19" s="1324" t="s">
        <v>62</v>
      </c>
      <c r="S19" s="1325">
        <f>F19</f>
        <v>100</v>
      </c>
      <c r="T19" s="1324" t="s">
        <v>62</v>
      </c>
      <c r="U19" s="1325">
        <f>H19</f>
        <v>100</v>
      </c>
      <c r="V19" s="1324" t="s">
        <v>62</v>
      </c>
      <c r="W19" s="1325">
        <f>J19</f>
        <v>100</v>
      </c>
      <c r="X19" s="1318"/>
      <c r="Y19" s="370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702"/>
      <c r="Q20" s="1323"/>
      <c r="R20" s="1324"/>
      <c r="S20" s="1325"/>
      <c r="T20" s="1324"/>
      <c r="U20" s="1325"/>
      <c r="V20" s="1324"/>
      <c r="W20" s="1325"/>
      <c r="X20" s="1318"/>
      <c r="Y20" s="3702"/>
      <c r="Z20" s="1326"/>
      <c r="AA20" s="1327">
        <v>1</v>
      </c>
      <c r="AB20" s="1327">
        <v>1</v>
      </c>
      <c r="AC20" s="1327">
        <v>1</v>
      </c>
    </row>
    <row r="21" spans="1:29" ht="121.5">
      <c r="A21" s="771"/>
      <c r="B21" s="794" t="s">
        <v>453</v>
      </c>
      <c r="C21" s="158" t="str">
        <f>估价对象房地状况!C18</f>
        <v>估价对象周边有559路、575路等多条公交线路，临近轻轨园博园站，停车便捷程度较好，综合评价交通便捷度较好。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702"/>
      <c r="Q21" s="1323" t="str">
        <f>B21</f>
        <v>交通便捷度</v>
      </c>
      <c r="R21" s="1324" t="s">
        <v>62</v>
      </c>
      <c r="S21" s="1325">
        <f>F21</f>
        <v>100</v>
      </c>
      <c r="T21" s="1324" t="s">
        <v>62</v>
      </c>
      <c r="U21" s="1325">
        <f>H21</f>
        <v>100</v>
      </c>
      <c r="V21" s="1324" t="s">
        <v>62</v>
      </c>
      <c r="W21" s="1325">
        <f>J21</f>
        <v>100</v>
      </c>
      <c r="X21" s="1318"/>
      <c r="Y21" s="3702"/>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702"/>
      <c r="Q22" s="1323"/>
      <c r="R22" s="1324"/>
      <c r="S22" s="1325"/>
      <c r="T22" s="1324"/>
      <c r="U22" s="1325"/>
      <c r="V22" s="1324"/>
      <c r="W22" s="1325"/>
      <c r="X22" s="1318"/>
      <c r="Y22" s="3702"/>
      <c r="Z22" s="1326"/>
      <c r="AA22" s="1327">
        <v>1</v>
      </c>
      <c r="AB22" s="1327">
        <v>1</v>
      </c>
      <c r="AC22" s="1327">
        <v>1</v>
      </c>
    </row>
    <row r="23" spans="1:29" ht="27">
      <c r="A23" s="747"/>
      <c r="B23" s="794" t="s">
        <v>480</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702"/>
      <c r="Q23" s="1323" t="str">
        <f t="shared" ref="Q23:Q37" si="8">B23</f>
        <v>区域土地利用方向</v>
      </c>
      <c r="R23" s="1324" t="s">
        <v>62</v>
      </c>
      <c r="S23" s="1325">
        <f>F23</f>
        <v>100</v>
      </c>
      <c r="T23" s="1324" t="s">
        <v>62</v>
      </c>
      <c r="U23" s="1325">
        <f>H23</f>
        <v>100</v>
      </c>
      <c r="V23" s="1324" t="s">
        <v>62</v>
      </c>
      <c r="W23" s="1325">
        <f>J23</f>
        <v>100</v>
      </c>
      <c r="X23" s="1318"/>
      <c r="Y23" s="370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702"/>
      <c r="Q24" s="1470"/>
      <c r="R24" s="1324"/>
      <c r="S24" s="1325"/>
      <c r="T24" s="1324"/>
      <c r="U24" s="1325"/>
      <c r="V24" s="1324"/>
      <c r="W24" s="1325"/>
      <c r="X24" s="1469"/>
      <c r="Y24" s="3702"/>
      <c r="Z24" s="1471"/>
      <c r="AA24" s="1327"/>
      <c r="AB24" s="1327"/>
      <c r="AC24" s="1327"/>
    </row>
    <row r="25" spans="1:29" ht="135">
      <c r="A25" s="747"/>
      <c r="B25" s="2769" t="s">
        <v>481</v>
      </c>
      <c r="C25" s="190" t="str">
        <f>估价对象房地状况!C20</f>
        <v>估价对象所在区域有重庆园博园，自然环境较好；所在区域有宝林博物馆、会仙阁艺术馆，人文环境较好；综合评价环境状况较好。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702"/>
      <c r="Q25" s="1323" t="str">
        <f t="shared" si="8"/>
        <v>自然及人文环境状况</v>
      </c>
      <c r="R25" s="1324" t="s">
        <v>62</v>
      </c>
      <c r="S25" s="1325">
        <f>F25</f>
        <v>100</v>
      </c>
      <c r="T25" s="1324" t="s">
        <v>62</v>
      </c>
      <c r="U25" s="1325">
        <f>H25</f>
        <v>100</v>
      </c>
      <c r="V25" s="1324" t="s">
        <v>62</v>
      </c>
      <c r="W25" s="1325">
        <f>J25</f>
        <v>100</v>
      </c>
      <c r="X25" s="1318"/>
      <c r="Y25" s="370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702"/>
      <c r="Q26" s="1323"/>
      <c r="R26" s="1324"/>
      <c r="S26" s="1325"/>
      <c r="T26" s="1324"/>
      <c r="U26" s="1325"/>
      <c r="V26" s="1324"/>
      <c r="W26" s="1325"/>
      <c r="X26" s="1318"/>
      <c r="Y26" s="3702"/>
      <c r="Z26" s="1326"/>
      <c r="AA26" s="1327">
        <v>1</v>
      </c>
      <c r="AB26" s="1327">
        <v>1</v>
      </c>
      <c r="AC26" s="1327">
        <v>1</v>
      </c>
    </row>
    <row r="27" spans="1:29" s="407" customFormat="1" ht="54">
      <c r="A27" s="992"/>
      <c r="B27" s="1412" t="s">
        <v>2657</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702"/>
      <c r="Q27" s="296" t="str">
        <f t="shared" si="8"/>
        <v>公共配套设施</v>
      </c>
      <c r="R27" s="1319" t="s">
        <v>62</v>
      </c>
      <c r="S27" s="1320">
        <f>F27</f>
        <v>100</v>
      </c>
      <c r="T27" s="1319" t="s">
        <v>62</v>
      </c>
      <c r="U27" s="1320">
        <f>H27</f>
        <v>100</v>
      </c>
      <c r="V27" s="1319" t="s">
        <v>62</v>
      </c>
      <c r="W27" s="1320">
        <f>J27</f>
        <v>100</v>
      </c>
      <c r="X27" s="1321"/>
      <c r="Y27" s="3702"/>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702"/>
      <c r="Q28" s="296"/>
      <c r="R28" s="1319"/>
      <c r="S28" s="1320"/>
      <c r="T28" s="1319"/>
      <c r="U28" s="1320"/>
      <c r="V28" s="1319"/>
      <c r="W28" s="1320"/>
      <c r="X28" s="1321"/>
      <c r="Y28" s="3702"/>
      <c r="Z28" s="344"/>
      <c r="AA28" s="1327">
        <v>1</v>
      </c>
      <c r="AB28" s="1327">
        <v>1</v>
      </c>
      <c r="AC28" s="1327">
        <v>1</v>
      </c>
    </row>
    <row r="29" spans="1:29" s="407" customFormat="1" ht="54">
      <c r="A29" s="992"/>
      <c r="B29" s="1412" t="s">
        <v>2658</v>
      </c>
      <c r="C29" s="158" t="str">
        <f>估价对象房地状况!C22</f>
        <v>估价对象所在区域基础设施水平达“六通”。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702"/>
      <c r="Q29" s="2744" t="str">
        <f t="shared" ref="Q29" si="9">B29</f>
        <v>基础设施水平</v>
      </c>
      <c r="R29" s="1319" t="s">
        <v>62</v>
      </c>
      <c r="S29" s="1320">
        <f>F29</f>
        <v>100</v>
      </c>
      <c r="T29" s="1319" t="s">
        <v>62</v>
      </c>
      <c r="U29" s="1320">
        <f>H29</f>
        <v>100</v>
      </c>
      <c r="V29" s="1319" t="s">
        <v>62</v>
      </c>
      <c r="W29" s="1320">
        <f>J29</f>
        <v>100</v>
      </c>
      <c r="X29" s="1321"/>
      <c r="Y29" s="3702"/>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702"/>
      <c r="Q30" s="2744"/>
      <c r="R30" s="1319"/>
      <c r="S30" s="1320"/>
      <c r="T30" s="1319"/>
      <c r="U30" s="1320"/>
      <c r="V30" s="1319"/>
      <c r="W30" s="1320"/>
      <c r="X30" s="1321"/>
      <c r="Y30" s="3702"/>
      <c r="Z30" s="344"/>
      <c r="AA30" s="1327">
        <v>1</v>
      </c>
      <c r="AB30" s="1327">
        <v>1</v>
      </c>
      <c r="AC30" s="1327">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702"/>
      <c r="Q31" s="1323" t="str">
        <f t="shared" si="8"/>
        <v>临街状况</v>
      </c>
      <c r="R31" s="1324" t="s">
        <v>62</v>
      </c>
      <c r="S31" s="1325">
        <f t="shared" ref="S31:S45" si="10">F31</f>
        <v>100</v>
      </c>
      <c r="T31" s="1324" t="s">
        <v>62</v>
      </c>
      <c r="U31" s="1325">
        <f t="shared" ref="U31:U45" si="11">H31</f>
        <v>100</v>
      </c>
      <c r="V31" s="1324" t="s">
        <v>62</v>
      </c>
      <c r="W31" s="1325">
        <f t="shared" ref="W31:W45" si="12">J31</f>
        <v>100</v>
      </c>
      <c r="X31" s="1318"/>
      <c r="Y31" s="3702"/>
      <c r="Z31" s="1326" t="str">
        <f t="shared" ref="Z31:Z45" si="13">Q31</f>
        <v>临街状况</v>
      </c>
      <c r="AA31" s="1327">
        <f t="shared" si="3"/>
        <v>1</v>
      </c>
      <c r="AB31" s="1327">
        <f t="shared" si="4"/>
        <v>1</v>
      </c>
      <c r="AC31" s="1327">
        <f t="shared" si="5"/>
        <v>1</v>
      </c>
    </row>
    <row r="32" spans="1:29" ht="27">
      <c r="A32" s="771"/>
      <c r="B32" s="2769"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702"/>
      <c r="Q32" s="1323" t="str">
        <f t="shared" si="8"/>
        <v>毗邻道路的类型与等级</v>
      </c>
      <c r="R32" s="1324" t="s">
        <v>62</v>
      </c>
      <c r="S32" s="1325">
        <f t="shared" si="10"/>
        <v>100</v>
      </c>
      <c r="T32" s="1324" t="s">
        <v>62</v>
      </c>
      <c r="U32" s="1325">
        <f t="shared" si="11"/>
        <v>100</v>
      </c>
      <c r="V32" s="1324" t="s">
        <v>62</v>
      </c>
      <c r="W32" s="1325">
        <f t="shared" si="12"/>
        <v>100</v>
      </c>
      <c r="X32" s="1318"/>
      <c r="Y32" s="370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702"/>
      <c r="Q33" s="1323"/>
      <c r="R33" s="1324"/>
      <c r="S33" s="1325"/>
      <c r="T33" s="1324"/>
      <c r="U33" s="1325"/>
      <c r="V33" s="1324"/>
      <c r="W33" s="1325"/>
      <c r="X33" s="1318"/>
      <c r="Y33" s="3702"/>
      <c r="Z33" s="1326"/>
      <c r="AA33" s="1327">
        <v>1</v>
      </c>
      <c r="AB33" s="1327">
        <v>1</v>
      </c>
      <c r="AC33" s="1327">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702"/>
      <c r="Q34" s="1323" t="str">
        <f t="shared" si="8"/>
        <v>土地级别</v>
      </c>
      <c r="R34" s="1324" t="s">
        <v>62</v>
      </c>
      <c r="S34" s="1325">
        <f t="shared" si="10"/>
        <v>100</v>
      </c>
      <c r="T34" s="1324" t="s">
        <v>62</v>
      </c>
      <c r="U34" s="1325">
        <f t="shared" si="11"/>
        <v>100</v>
      </c>
      <c r="V34" s="1324" t="s">
        <v>62</v>
      </c>
      <c r="W34" s="1325">
        <f t="shared" si="12"/>
        <v>100</v>
      </c>
      <c r="X34" s="1318"/>
      <c r="Y34" s="370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702"/>
      <c r="Q35" s="1323">
        <f t="shared" si="8"/>
        <v>111</v>
      </c>
      <c r="R35" s="1324" t="s">
        <v>62</v>
      </c>
      <c r="S35" s="1325">
        <f t="shared" si="10"/>
        <v>100</v>
      </c>
      <c r="T35" s="1324" t="s">
        <v>62</v>
      </c>
      <c r="U35" s="1325">
        <f t="shared" si="11"/>
        <v>100</v>
      </c>
      <c r="V35" s="1324" t="s">
        <v>62</v>
      </c>
      <c r="W35" s="1325">
        <f t="shared" si="12"/>
        <v>100</v>
      </c>
      <c r="X35" s="1318"/>
      <c r="Y35" s="370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03" t="s">
        <v>406</v>
      </c>
      <c r="Q36" s="1323">
        <f t="shared" si="8"/>
        <v>111</v>
      </c>
      <c r="R36" s="1324" t="s">
        <v>62</v>
      </c>
      <c r="S36" s="1325">
        <f t="shared" si="10"/>
        <v>100</v>
      </c>
      <c r="T36" s="1324" t="s">
        <v>62</v>
      </c>
      <c r="U36" s="1325">
        <f t="shared" si="11"/>
        <v>100</v>
      </c>
      <c r="V36" s="1324" t="s">
        <v>62</v>
      </c>
      <c r="W36" s="1325">
        <f t="shared" si="12"/>
        <v>100</v>
      </c>
      <c r="X36" s="1318"/>
      <c r="Y36" s="3704" t="s">
        <v>406</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04"/>
      <c r="Q37" s="1323">
        <f t="shared" si="8"/>
        <v>111</v>
      </c>
      <c r="R37" s="1329" t="s">
        <v>62</v>
      </c>
      <c r="S37" s="1330">
        <f t="shared" si="10"/>
        <v>100</v>
      </c>
      <c r="T37" s="1329" t="s">
        <v>62</v>
      </c>
      <c r="U37" s="1330">
        <f t="shared" si="11"/>
        <v>100</v>
      </c>
      <c r="V37" s="1329" t="s">
        <v>62</v>
      </c>
      <c r="W37" s="1330">
        <f t="shared" si="12"/>
        <v>100</v>
      </c>
      <c r="X37" s="1331"/>
      <c r="Y37" s="3704"/>
      <c r="Z37" s="1332">
        <f t="shared" si="13"/>
        <v>111</v>
      </c>
      <c r="AA37" s="1327">
        <f t="shared" si="3"/>
        <v>1</v>
      </c>
      <c r="AB37" s="1327">
        <f t="shared" si="4"/>
        <v>1</v>
      </c>
      <c r="AC37" s="1327">
        <f t="shared" si="5"/>
        <v>1</v>
      </c>
    </row>
    <row r="38" spans="1:29" ht="15">
      <c r="A38" s="815" t="s">
        <v>405</v>
      </c>
      <c r="B38" s="799" t="s">
        <v>483</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04"/>
      <c r="Q38" s="1323" t="str">
        <f>B38</f>
        <v>宗地面积</v>
      </c>
      <c r="R38" s="1324" t="s">
        <v>62</v>
      </c>
      <c r="S38" s="1325" t="e">
        <f t="shared" si="10"/>
        <v>#N/A</v>
      </c>
      <c r="T38" s="1324" t="s">
        <v>62</v>
      </c>
      <c r="U38" s="1325" t="e">
        <f t="shared" si="11"/>
        <v>#N/A</v>
      </c>
      <c r="V38" s="1324" t="s">
        <v>62</v>
      </c>
      <c r="W38" s="1325" t="e">
        <f t="shared" si="12"/>
        <v>#N/A</v>
      </c>
      <c r="X38" s="1318"/>
      <c r="Y38" s="3704"/>
      <c r="Z38" s="1326" t="str">
        <f t="shared" si="13"/>
        <v>宗地面积</v>
      </c>
      <c r="AA38" s="1327" t="e">
        <f t="shared" si="3"/>
        <v>#N/A</v>
      </c>
      <c r="AB38" s="1327" t="e">
        <f t="shared" si="4"/>
        <v>#N/A</v>
      </c>
      <c r="AC38" s="1327"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04"/>
      <c r="Q39" s="1323" t="str">
        <f t="shared" ref="Q39:Q45" si="14">B39</f>
        <v>宗地形状</v>
      </c>
      <c r="R39" s="1324" t="s">
        <v>62</v>
      </c>
      <c r="S39" s="1325">
        <f t="shared" si="10"/>
        <v>100</v>
      </c>
      <c r="T39" s="1324" t="s">
        <v>62</v>
      </c>
      <c r="U39" s="1325">
        <f t="shared" si="11"/>
        <v>100</v>
      </c>
      <c r="V39" s="1324" t="s">
        <v>62</v>
      </c>
      <c r="W39" s="1325">
        <f t="shared" si="12"/>
        <v>100</v>
      </c>
      <c r="X39" s="1318"/>
      <c r="Y39" s="3704"/>
      <c r="Z39" s="1326" t="str">
        <f t="shared" si="13"/>
        <v>宗地形状</v>
      </c>
      <c r="AA39" s="1327">
        <f t="shared" si="3"/>
        <v>1</v>
      </c>
      <c r="AB39" s="1327">
        <f t="shared" si="4"/>
        <v>1</v>
      </c>
      <c r="AC39" s="1327">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04"/>
      <c r="Q40" s="1323" t="str">
        <f t="shared" si="14"/>
        <v>临街宽度及深度</v>
      </c>
      <c r="R40" s="1324" t="s">
        <v>62</v>
      </c>
      <c r="S40" s="1325">
        <f t="shared" si="10"/>
        <v>100</v>
      </c>
      <c r="T40" s="1324" t="s">
        <v>62</v>
      </c>
      <c r="U40" s="1325">
        <f t="shared" si="11"/>
        <v>100</v>
      </c>
      <c r="V40" s="1324" t="s">
        <v>62</v>
      </c>
      <c r="W40" s="1325">
        <f t="shared" si="12"/>
        <v>100</v>
      </c>
      <c r="X40" s="1318"/>
      <c r="Y40" s="3704"/>
      <c r="Z40" s="1326" t="str">
        <f t="shared" si="13"/>
        <v>临街宽度及深度</v>
      </c>
      <c r="AA40" s="1327">
        <f t="shared" si="3"/>
        <v>1</v>
      </c>
      <c r="AB40" s="1327">
        <f t="shared" si="4"/>
        <v>1</v>
      </c>
      <c r="AC40" s="1327">
        <f t="shared" si="5"/>
        <v>1</v>
      </c>
    </row>
    <row r="41" spans="1:29" s="407" customFormat="1" ht="15">
      <c r="A41" s="816"/>
      <c r="B41" s="2610" t="s">
        <v>2490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04"/>
      <c r="Q41" s="1323" t="str">
        <f t="shared" si="14"/>
        <v>宗地开发程度</v>
      </c>
      <c r="R41" s="1319" t="s">
        <v>62</v>
      </c>
      <c r="S41" s="1320">
        <f t="shared" si="10"/>
        <v>100</v>
      </c>
      <c r="T41" s="1319" t="s">
        <v>62</v>
      </c>
      <c r="U41" s="1320">
        <f t="shared" si="11"/>
        <v>100</v>
      </c>
      <c r="V41" s="1319" t="s">
        <v>62</v>
      </c>
      <c r="W41" s="1320">
        <f t="shared" si="12"/>
        <v>100</v>
      </c>
      <c r="X41" s="1321"/>
      <c r="Y41" s="3704"/>
      <c r="Z41" s="344" t="str">
        <f t="shared" si="13"/>
        <v>宗地开发程度</v>
      </c>
      <c r="AA41" s="1322">
        <f t="shared" si="3"/>
        <v>1</v>
      </c>
      <c r="AB41" s="1322">
        <f t="shared" si="4"/>
        <v>1</v>
      </c>
      <c r="AC41" s="1322">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04" t="s">
        <v>406</v>
      </c>
      <c r="Q42" s="1323" t="str">
        <f t="shared" si="14"/>
        <v>工程地质条件</v>
      </c>
      <c r="R42" s="1324" t="s">
        <v>62</v>
      </c>
      <c r="S42" s="1325">
        <f t="shared" si="10"/>
        <v>100</v>
      </c>
      <c r="T42" s="1324" t="s">
        <v>62</v>
      </c>
      <c r="U42" s="1325">
        <f t="shared" si="11"/>
        <v>100</v>
      </c>
      <c r="V42" s="1324" t="s">
        <v>62</v>
      </c>
      <c r="W42" s="1325">
        <f t="shared" si="12"/>
        <v>100</v>
      </c>
      <c r="X42" s="1318"/>
      <c r="Y42" s="3704" t="s">
        <v>406</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04"/>
      <c r="Q43" s="1323">
        <f t="shared" si="14"/>
        <v>111</v>
      </c>
      <c r="R43" s="1324" t="s">
        <v>62</v>
      </c>
      <c r="S43" s="1325">
        <f t="shared" si="10"/>
        <v>100</v>
      </c>
      <c r="T43" s="1324" t="s">
        <v>62</v>
      </c>
      <c r="U43" s="1325">
        <f t="shared" si="11"/>
        <v>100</v>
      </c>
      <c r="V43" s="1324" t="s">
        <v>62</v>
      </c>
      <c r="W43" s="1325">
        <f t="shared" si="12"/>
        <v>100</v>
      </c>
      <c r="X43" s="1318"/>
      <c r="Y43" s="370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04"/>
      <c r="Q44" s="1323">
        <f t="shared" si="14"/>
        <v>111</v>
      </c>
      <c r="R44" s="1324" t="s">
        <v>62</v>
      </c>
      <c r="S44" s="1325">
        <f t="shared" si="10"/>
        <v>100</v>
      </c>
      <c r="T44" s="1324" t="s">
        <v>62</v>
      </c>
      <c r="U44" s="1325">
        <f t="shared" si="11"/>
        <v>100</v>
      </c>
      <c r="V44" s="1324" t="s">
        <v>62</v>
      </c>
      <c r="W44" s="1325">
        <f t="shared" si="12"/>
        <v>100</v>
      </c>
      <c r="X44" s="1318"/>
      <c r="Y44" s="370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04"/>
      <c r="Q45" s="1323">
        <f t="shared" si="14"/>
        <v>111</v>
      </c>
      <c r="R45" s="1329" t="s">
        <v>62</v>
      </c>
      <c r="S45" s="1330">
        <f t="shared" si="10"/>
        <v>100</v>
      </c>
      <c r="T45" s="1329" t="s">
        <v>62</v>
      </c>
      <c r="U45" s="1330">
        <f t="shared" si="11"/>
        <v>100</v>
      </c>
      <c r="V45" s="1329" t="s">
        <v>62</v>
      </c>
      <c r="W45" s="1330">
        <f t="shared" si="12"/>
        <v>100</v>
      </c>
      <c r="X45" s="1331"/>
      <c r="Y45" s="3704"/>
      <c r="Z45" s="1332">
        <f t="shared" si="13"/>
        <v>111</v>
      </c>
      <c r="AA45" s="1327">
        <f t="shared" si="3"/>
        <v>1</v>
      </c>
      <c r="AB45" s="1327">
        <f t="shared" si="4"/>
        <v>1</v>
      </c>
      <c r="AC45" s="1327">
        <f t="shared" si="5"/>
        <v>1</v>
      </c>
    </row>
    <row r="46" spans="1:29" ht="15">
      <c r="A46" s="822" t="s">
        <v>487</v>
      </c>
      <c r="B46" s="207" t="s">
        <v>155</v>
      </c>
      <c r="C46" s="1091" t="s">
        <v>23</v>
      </c>
      <c r="D46" s="824"/>
      <c r="E46" s="825"/>
      <c r="F46" s="826"/>
      <c r="G46" s="827"/>
      <c r="H46" s="828"/>
      <c r="I46" s="825"/>
      <c r="J46" s="828"/>
      <c r="K46" s="1400"/>
      <c r="L46" s="2361"/>
      <c r="M46" s="2362"/>
      <c r="N46" s="2349"/>
      <c r="O46" s="2362"/>
      <c r="P46" s="3686" t="str">
        <f>A46</f>
        <v>成交单价</v>
      </c>
      <c r="Q46" s="3686"/>
      <c r="R46" s="3699">
        <f>E46</f>
        <v>0</v>
      </c>
      <c r="S46" s="3699"/>
      <c r="T46" s="3699">
        <f>G46</f>
        <v>0</v>
      </c>
      <c r="U46" s="3699"/>
      <c r="V46" s="3699">
        <f>I46</f>
        <v>0</v>
      </c>
      <c r="W46" s="3699"/>
      <c r="X46" s="1307"/>
      <c r="Y46" s="1333"/>
      <c r="Z46" s="1307"/>
      <c r="AA46" s="1307"/>
      <c r="AB46" s="1307"/>
      <c r="AC46" s="1307"/>
    </row>
    <row r="47" spans="1:29" ht="15.75" thickBot="1">
      <c r="A47" s="829" t="s">
        <v>408</v>
      </c>
      <c r="B47" s="1092"/>
      <c r="C47" s="833" t="e">
        <f>R48</f>
        <v>#DIV/0!</v>
      </c>
      <c r="D47" s="832"/>
      <c r="E47" s="833" t="e">
        <f>R47</f>
        <v>#DIV/0!</v>
      </c>
      <c r="F47" s="834"/>
      <c r="G47" s="831" t="e">
        <f>T47</f>
        <v>#DIV/0!</v>
      </c>
      <c r="H47" s="832"/>
      <c r="I47" s="833" t="e">
        <f>V47</f>
        <v>#DIV/0!</v>
      </c>
      <c r="J47" s="832"/>
      <c r="K47" s="1401"/>
      <c r="L47" s="2361"/>
      <c r="M47" s="2362"/>
      <c r="N47" s="2362"/>
      <c r="O47" s="2362"/>
      <c r="P47" s="3686" t="str">
        <f>A47</f>
        <v>比较价值（元/平方米）</v>
      </c>
      <c r="Q47" s="3686"/>
      <c r="R47" s="3709" t="e">
        <f>ROUND(PRODUCT(R46,AA7:AA45),0)</f>
        <v>#DIV/0!</v>
      </c>
      <c r="S47" s="3709"/>
      <c r="T47" s="3709" t="e">
        <f>ROUND(PRODUCT(T46,AB7:AB45),0)</f>
        <v>#DIV/0!</v>
      </c>
      <c r="U47" s="3709"/>
      <c r="V47" s="3709" t="e">
        <f>ROUND(PRODUCT(V46,AC7:AC45),0)</f>
        <v>#DIV/0!</v>
      </c>
      <c r="W47" s="3709"/>
      <c r="X47" s="1307"/>
      <c r="Y47" s="1307"/>
      <c r="Z47" s="1307"/>
      <c r="AA47" s="1307"/>
      <c r="AB47" s="1307"/>
      <c r="AC47" s="1307"/>
    </row>
    <row r="48" spans="1:29" ht="15.75" thickBot="1">
      <c r="A48" s="115" t="s">
        <v>513</v>
      </c>
      <c r="B48" s="836"/>
      <c r="C48" s="837" t="e">
        <f>R48</f>
        <v>#DIV/0!</v>
      </c>
      <c r="D48" s="837"/>
      <c r="E48" s="837"/>
      <c r="F48" s="837"/>
      <c r="G48" s="837"/>
      <c r="H48" s="837"/>
      <c r="I48" s="837"/>
      <c r="J48" s="837"/>
      <c r="K48" s="1402"/>
      <c r="L48" s="2361"/>
      <c r="M48" s="2362"/>
      <c r="N48" s="2362"/>
      <c r="O48" s="2362"/>
      <c r="P48" s="3706" t="str">
        <f>A48</f>
        <v>估价对象XX用房的比较价值（楼面单价，元/平方米）</v>
      </c>
      <c r="Q48" s="3707"/>
      <c r="R48" s="3710" t="e">
        <f>ROUND(AVERAGE(R47:V47),0)</f>
        <v>#DIV/0!</v>
      </c>
      <c r="S48" s="3710"/>
      <c r="T48" s="3710"/>
      <c r="U48" s="3710"/>
      <c r="V48" s="3710"/>
      <c r="W48" s="3710"/>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488</v>
      </c>
      <c r="B55" s="1094" t="s">
        <v>489</v>
      </c>
      <c r="C55" s="1777" t="s">
        <v>1885</v>
      </c>
      <c r="D55" s="2393" t="s">
        <v>2315</v>
      </c>
      <c r="E55" s="1095" t="s">
        <v>490</v>
      </c>
      <c r="F55" s="2190" t="s">
        <v>491</v>
      </c>
      <c r="G55" s="3711" t="s">
        <v>2308</v>
      </c>
      <c r="H55" s="3712"/>
      <c r="I55" s="2191" t="s">
        <v>1884</v>
      </c>
      <c r="J55" s="2195" t="str">
        <f>项目基本情况!F35</f>
        <v>重庆市</v>
      </c>
      <c r="K55" s="2376" t="s">
        <v>1886</v>
      </c>
      <c r="L55" s="2189"/>
      <c r="M55" s="2362"/>
      <c r="N55" s="2362"/>
      <c r="O55" s="2362"/>
    </row>
    <row r="56" spans="1:15" s="1101" customFormat="1">
      <c r="A56" s="1097" t="s">
        <v>492</v>
      </c>
      <c r="B56" s="1098" t="e">
        <f>C48</f>
        <v>#DIV/0!</v>
      </c>
      <c r="C56" s="1099">
        <v>1</v>
      </c>
      <c r="D56" s="2394">
        <v>1</v>
      </c>
      <c r="E56" s="1099">
        <f>'数据-汇总表'!E8+'数据-汇总表'!E9</f>
        <v>37870.639999999999</v>
      </c>
      <c r="F56" s="2186" t="e">
        <f t="shared" ref="F56:F65" si="15">ROUND(B56*E56/10000,0)</f>
        <v>#DIV/0!</v>
      </c>
      <c r="G56" s="3713"/>
      <c r="H56" s="3714"/>
      <c r="I56" s="2192">
        <v>1</v>
      </c>
      <c r="J56" s="2196">
        <v>1</v>
      </c>
      <c r="K56" s="2363"/>
      <c r="L56" s="1774"/>
      <c r="M56" s="1774"/>
      <c r="N56" s="1774"/>
      <c r="O56" s="1774"/>
    </row>
    <row r="57" spans="1:15" s="1101" customFormat="1">
      <c r="A57" s="1102" t="s">
        <v>493</v>
      </c>
      <c r="B57" s="594" t="e">
        <f>ROUND($C$48*C57*D57,0)</f>
        <v>#DIV/0!</v>
      </c>
      <c r="C57" s="532">
        <f t="shared" ref="C57:C65" si="16">IF($C$55="北京市系数",I57,J57)</f>
        <v>0</v>
      </c>
      <c r="D57" s="2395">
        <v>0.25</v>
      </c>
      <c r="E57" s="1103"/>
      <c r="F57" s="2186" t="e">
        <f t="shared" si="15"/>
        <v>#DIV/0!</v>
      </c>
      <c r="G57" s="3715" t="s">
        <v>2309</v>
      </c>
      <c r="H57" s="2187">
        <f>项目基本情况!B37</f>
        <v>0</v>
      </c>
      <c r="I57" s="2192">
        <f>SUMIF(修正!A45:A56,H57,修正!B45:B56)</f>
        <v>0</v>
      </c>
      <c r="J57" s="2197"/>
      <c r="K57" s="2362"/>
      <c r="L57" s="1774"/>
      <c r="M57" s="1774"/>
      <c r="N57" s="1774"/>
      <c r="O57" s="1774"/>
    </row>
    <row r="58" spans="1:15" s="1101" customFormat="1">
      <c r="A58" s="1102" t="s">
        <v>494</v>
      </c>
      <c r="B58" s="594" t="e">
        <f t="shared" ref="B58:B65" si="17">ROUND($C$48*C58*D58,0)</f>
        <v>#DIV/0!</v>
      </c>
      <c r="C58" s="532">
        <f t="shared" si="16"/>
        <v>0</v>
      </c>
      <c r="D58" s="2395">
        <v>0.25</v>
      </c>
      <c r="E58" s="1103"/>
      <c r="F58" s="2186" t="e">
        <f t="shared" si="15"/>
        <v>#DIV/0!</v>
      </c>
      <c r="G58" s="3715"/>
      <c r="H58" s="2187">
        <f>项目基本情况!B37</f>
        <v>0</v>
      </c>
      <c r="I58" s="2192">
        <f>SUMIF(修正!A45:A56,H58,修正!C45:C56)</f>
        <v>0</v>
      </c>
      <c r="J58" s="2197"/>
      <c r="K58" s="2363"/>
      <c r="L58" s="1774"/>
      <c r="M58" s="1774"/>
      <c r="N58" s="1774"/>
      <c r="O58" s="1774"/>
    </row>
    <row r="59" spans="1:15" s="1101" customFormat="1">
      <c r="A59" s="1102" t="s">
        <v>495</v>
      </c>
      <c r="B59" s="594" t="e">
        <f t="shared" si="17"/>
        <v>#DIV/0!</v>
      </c>
      <c r="C59" s="532">
        <f t="shared" si="16"/>
        <v>0</v>
      </c>
      <c r="D59" s="2395">
        <v>0.25</v>
      </c>
      <c r="E59" s="1103"/>
      <c r="F59" s="2186" t="e">
        <f t="shared" si="15"/>
        <v>#DIV/0!</v>
      </c>
      <c r="G59" s="3715"/>
      <c r="H59" s="2187">
        <f>项目基本情况!B37</f>
        <v>0</v>
      </c>
      <c r="I59" s="2192">
        <f>SUMIF(修正!A45:A56,H59,修正!D45:D56)</f>
        <v>0</v>
      </c>
      <c r="J59" s="2197"/>
      <c r="K59" s="2362"/>
      <c r="L59" s="1774"/>
      <c r="M59" s="1774"/>
      <c r="N59" s="1774"/>
      <c r="O59" s="1774"/>
    </row>
    <row r="60" spans="1:15" s="1101" customFormat="1">
      <c r="A60" s="1102" t="s">
        <v>496</v>
      </c>
      <c r="B60" s="594" t="e">
        <f t="shared" si="17"/>
        <v>#DIV/0!</v>
      </c>
      <c r="C60" s="532">
        <f t="shared" si="16"/>
        <v>0</v>
      </c>
      <c r="D60" s="2395">
        <v>0.25</v>
      </c>
      <c r="E60" s="1103"/>
      <c r="F60" s="2186" t="e">
        <f t="shared" si="15"/>
        <v>#DIV/0!</v>
      </c>
      <c r="G60" s="3715"/>
      <c r="H60" s="2187">
        <f>项目基本情况!B37</f>
        <v>0</v>
      </c>
      <c r="I60" s="2192">
        <f>SUMIF(修正!A45:A56,H60,修正!E45:E56)</f>
        <v>0</v>
      </c>
      <c r="J60" s="2197"/>
      <c r="K60" s="2363"/>
      <c r="L60" s="1774"/>
      <c r="M60" s="1774"/>
      <c r="N60" s="1774"/>
      <c r="O60" s="1774"/>
    </row>
    <row r="61" spans="1:15" s="1101" customFormat="1">
      <c r="A61" s="2515" t="s">
        <v>2389</v>
      </c>
      <c r="B61" s="594" t="e">
        <f t="shared" si="17"/>
        <v>#DIV/0!</v>
      </c>
      <c r="C61" s="532">
        <f t="shared" si="16"/>
        <v>0</v>
      </c>
      <c r="D61" s="2395">
        <v>0.25</v>
      </c>
      <c r="E61" s="593">
        <f>'数据-汇总表'!E11</f>
        <v>0</v>
      </c>
      <c r="F61" s="2186" t="e">
        <f t="shared" si="15"/>
        <v>#DIV/0!</v>
      </c>
      <c r="G61" s="2199" t="s">
        <v>2310</v>
      </c>
      <c r="H61" s="2187">
        <f>项目基本情况!C37</f>
        <v>0</v>
      </c>
      <c r="I61" s="2192">
        <f>SUMIF(修正!A45:A56,H61,修正!F45:F56)</f>
        <v>0</v>
      </c>
      <c r="J61" s="2197"/>
      <c r="K61" s="2362"/>
      <c r="L61" s="1774"/>
      <c r="M61" s="1774"/>
      <c r="N61" s="1774"/>
      <c r="O61" s="1774"/>
    </row>
    <row r="62" spans="1:15" s="1101" customFormat="1">
      <c r="A62" s="1102" t="s">
        <v>497</v>
      </c>
      <c r="B62" s="594" t="e">
        <f t="shared" si="17"/>
        <v>#DIV/0!</v>
      </c>
      <c r="C62" s="532">
        <f t="shared" si="16"/>
        <v>0</v>
      </c>
      <c r="D62" s="2395">
        <v>0.25</v>
      </c>
      <c r="E62" s="593">
        <f>'数据-汇总表'!E12</f>
        <v>0</v>
      </c>
      <c r="F62" s="2186" t="e">
        <f t="shared" si="15"/>
        <v>#DIV/0!</v>
      </c>
      <c r="G62" s="2193" t="s">
        <v>138</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498</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499</v>
      </c>
      <c r="B64" s="594" t="e">
        <f t="shared" si="17"/>
        <v>#DIV/0!</v>
      </c>
      <c r="C64" s="532">
        <f t="shared" si="16"/>
        <v>0</v>
      </c>
      <c r="D64" s="2395">
        <v>0.25</v>
      </c>
      <c r="E64" s="593">
        <f>'数据-汇总表'!E14</f>
        <v>0</v>
      </c>
      <c r="F64" s="2186" t="e">
        <f t="shared" si="15"/>
        <v>#DIV/0!</v>
      </c>
      <c r="G64" s="2199" t="s">
        <v>2311</v>
      </c>
      <c r="H64" s="2187">
        <f>项目基本情况!B37</f>
        <v>0</v>
      </c>
      <c r="I64" s="2192">
        <f>SUMIF(修正!A45:A56,H64,修正!H45:H56)</f>
        <v>0</v>
      </c>
      <c r="J64" s="2197"/>
      <c r="K64" s="2363"/>
      <c r="L64" s="1774"/>
      <c r="M64" s="1774"/>
      <c r="N64" s="1774"/>
      <c r="O64" s="1774"/>
    </row>
    <row r="65" spans="1:17" s="1101" customFormat="1" ht="15" thickBot="1">
      <c r="A65" s="1102" t="s">
        <v>500</v>
      </c>
      <c r="B65" s="594" t="e">
        <f t="shared" si="17"/>
        <v>#DIV/0!</v>
      </c>
      <c r="C65" s="532">
        <f t="shared" si="16"/>
        <v>0</v>
      </c>
      <c r="D65" s="2395">
        <v>0.25</v>
      </c>
      <c r="E65" s="593">
        <f>'数据-汇总表'!E15</f>
        <v>0</v>
      </c>
      <c r="F65" s="2186" t="e">
        <f t="shared" si="15"/>
        <v>#DIV/0!</v>
      </c>
      <c r="G65" s="2200" t="s">
        <v>2310</v>
      </c>
      <c r="H65" s="2201">
        <f>项目基本情况!C37</f>
        <v>0</v>
      </c>
      <c r="I65" s="2194">
        <f>SUMIF(修正!A45:A56,H65,修正!H45:H56)</f>
        <v>0</v>
      </c>
      <c r="J65" s="2198"/>
      <c r="K65" s="2362"/>
      <c r="L65" s="1774"/>
      <c r="M65" s="1774"/>
      <c r="N65" s="1774"/>
      <c r="O65" s="1774"/>
    </row>
    <row r="66" spans="1:17" s="1101" customFormat="1" ht="13.5" thickBot="1">
      <c r="A66" s="1104" t="s">
        <v>501</v>
      </c>
      <c r="B66" s="1105" t="s">
        <v>153</v>
      </c>
      <c r="C66" s="1105" t="s">
        <v>154</v>
      </c>
      <c r="D66" s="1105" t="s">
        <v>2316</v>
      </c>
      <c r="E66" s="1105">
        <f>IF(B46="楼面地价",SUM(E56:E65),'数据-汇总表'!D3)</f>
        <v>37870.639999999999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2017-10-1</v>
      </c>
      <c r="D68" s="1309">
        <f>EDATE(C68,-3)</f>
        <v>42917</v>
      </c>
      <c r="E68" s="1309">
        <f>EDATE(D68,-3)</f>
        <v>42826</v>
      </c>
      <c r="F68" s="1309">
        <f t="shared" ref="F68:O68" si="18">EDATE(E68,-3)</f>
        <v>42736</v>
      </c>
      <c r="G68" s="1309">
        <f t="shared" si="18"/>
        <v>42644</v>
      </c>
      <c r="H68" s="1309">
        <f t="shared" si="18"/>
        <v>42552</v>
      </c>
      <c r="I68" s="1309">
        <f t="shared" si="18"/>
        <v>42461</v>
      </c>
      <c r="J68" s="1309">
        <f t="shared" si="18"/>
        <v>42370</v>
      </c>
      <c r="K68" s="1309">
        <f t="shared" si="18"/>
        <v>42278</v>
      </c>
      <c r="L68" s="1309">
        <f t="shared" si="18"/>
        <v>42186</v>
      </c>
      <c r="M68" s="1309">
        <f t="shared" si="18"/>
        <v>42095</v>
      </c>
      <c r="N68" s="1309">
        <f t="shared" si="18"/>
        <v>42005</v>
      </c>
      <c r="O68" s="1309">
        <f t="shared" si="18"/>
        <v>41913</v>
      </c>
    </row>
    <row r="69" spans="1:17" ht="21.75" thickBot="1">
      <c r="A69" s="1311" t="s">
        <v>412</v>
      </c>
      <c r="B69" s="1307"/>
      <c r="C69" s="1312"/>
      <c r="D69" s="1312"/>
      <c r="E69" s="1312"/>
      <c r="F69" s="1313"/>
      <c r="G69" s="1313"/>
      <c r="H69" s="1312"/>
      <c r="I69" s="1312"/>
      <c r="J69" s="2378"/>
      <c r="K69" s="2379"/>
      <c r="L69" s="2380"/>
      <c r="M69" s="2378"/>
      <c r="N69" s="2378"/>
      <c r="O69" s="2378"/>
      <c r="P69" s="846"/>
      <c r="Q69" s="847"/>
    </row>
    <row r="70" spans="1:17" s="851" customFormat="1" ht="15">
      <c r="A70" s="2706" t="s">
        <v>2780</v>
      </c>
      <c r="B70" s="2707"/>
      <c r="C70" s="3037" t="str">
        <f>YEAR(C68)&amp;"-"&amp;ROUNDUP(MONTH(C68)/3,0)</f>
        <v>2017-4</v>
      </c>
      <c r="D70" s="3037" t="str">
        <f>YEAR(D68)&amp;"-"&amp;ROUNDUP(MONTH(D68)/3,0)</f>
        <v>2017-3</v>
      </c>
      <c r="E70" s="3037" t="str">
        <f t="shared" ref="E70:O70" si="19">YEAR(E68)&amp;"-"&amp;ROUNDUP(MONTH(E68)/3,0)</f>
        <v>2017-2</v>
      </c>
      <c r="F70" s="3037" t="str">
        <f t="shared" si="19"/>
        <v>2017-1</v>
      </c>
      <c r="G70" s="3037" t="str">
        <f t="shared" si="19"/>
        <v>2016-4</v>
      </c>
      <c r="H70" s="3037" t="str">
        <f t="shared" si="19"/>
        <v>2016-3</v>
      </c>
      <c r="I70" s="3037" t="str">
        <f t="shared" si="19"/>
        <v>2016-2</v>
      </c>
      <c r="J70" s="3037" t="str">
        <f t="shared" si="19"/>
        <v>2016-1</v>
      </c>
      <c r="K70" s="3037" t="str">
        <f t="shared" si="19"/>
        <v>2015-4</v>
      </c>
      <c r="L70" s="3037" t="str">
        <f t="shared" si="19"/>
        <v>2015-3</v>
      </c>
      <c r="M70" s="3037" t="str">
        <f t="shared" si="19"/>
        <v>2015-2</v>
      </c>
      <c r="N70" s="3037" t="str">
        <f t="shared" si="19"/>
        <v>2015-1</v>
      </c>
      <c r="O70" s="3037" t="str">
        <f t="shared" si="19"/>
        <v>2014-4</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413</v>
      </c>
      <c r="B72" s="859"/>
      <c r="C72" s="860"/>
      <c r="D72" s="861"/>
      <c r="E72" s="861"/>
      <c r="F72" s="861"/>
      <c r="G72" s="861"/>
      <c r="H72" s="861"/>
      <c r="I72" s="861"/>
      <c r="J72" s="861"/>
      <c r="K72" s="861"/>
      <c r="L72" s="861"/>
      <c r="M72" s="862"/>
      <c r="N72" s="861"/>
      <c r="O72" s="2381"/>
      <c r="P72" s="847"/>
      <c r="Q72" s="847"/>
    </row>
    <row r="73" spans="1:17" s="407" customFormat="1" ht="15">
      <c r="A73" s="864" t="s">
        <v>397</v>
      </c>
      <c r="B73" s="853"/>
      <c r="C73" s="865" t="s">
        <v>414</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415</v>
      </c>
      <c r="B75" s="871" t="s">
        <v>416</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401</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2657</v>
      </c>
      <c r="C100" s="916" t="s">
        <v>422</v>
      </c>
      <c r="D100" s="916" t="s">
        <v>423</v>
      </c>
      <c r="E100" s="916" t="s">
        <v>424</v>
      </c>
      <c r="F100" s="916" t="s">
        <v>425</v>
      </c>
      <c r="G100" s="916" t="s">
        <v>426</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439</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482</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405</v>
      </c>
      <c r="B116" s="871" t="s">
        <v>509</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510</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511</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512</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342</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387</v>
      </c>
      <c r="B4" s="745"/>
      <c r="C4" s="3687" t="s">
        <v>388</v>
      </c>
      <c r="D4" s="3688"/>
      <c r="E4" s="3689" t="s">
        <v>389</v>
      </c>
      <c r="F4" s="3690"/>
      <c r="G4" s="3687" t="s">
        <v>390</v>
      </c>
      <c r="H4" s="3688"/>
      <c r="I4" s="3687" t="s">
        <v>391</v>
      </c>
      <c r="J4" s="3688"/>
      <c r="K4" s="953" t="s">
        <v>392</v>
      </c>
      <c r="L4" s="2348"/>
      <c r="M4" s="2349"/>
      <c r="N4" s="2349"/>
      <c r="O4" s="2349"/>
      <c r="P4" s="3691" t="s">
        <v>393</v>
      </c>
      <c r="Q4" s="3692"/>
      <c r="R4" s="3674" t="s">
        <v>389</v>
      </c>
      <c r="S4" s="3675"/>
      <c r="T4" s="3674" t="s">
        <v>390</v>
      </c>
      <c r="U4" s="3675"/>
      <c r="V4" s="3699" t="s">
        <v>391</v>
      </c>
      <c r="W4" s="3699"/>
      <c r="X4" s="1318"/>
      <c r="Y4" s="3674" t="s">
        <v>393</v>
      </c>
      <c r="Z4" s="3675"/>
      <c r="AA4" s="3669" t="s">
        <v>389</v>
      </c>
      <c r="AB4" s="3670" t="s">
        <v>390</v>
      </c>
      <c r="AC4" s="3669" t="s">
        <v>391</v>
      </c>
    </row>
    <row r="5" spans="1:29" ht="15">
      <c r="A5" s="747"/>
      <c r="B5" s="748"/>
      <c r="C5" s="3618" t="s">
        <v>1124</v>
      </c>
      <c r="D5" s="3619"/>
      <c r="E5" s="3616" t="s">
        <v>1125</v>
      </c>
      <c r="F5" s="3617"/>
      <c r="G5" s="3618" t="s">
        <v>1128</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29" ht="15.75" thickBot="1">
      <c r="A6" s="749"/>
      <c r="B6" s="750"/>
      <c r="C6" s="3716" t="s">
        <v>1127</v>
      </c>
      <c r="D6" s="3717"/>
      <c r="E6" s="3718" t="s">
        <v>1127</v>
      </c>
      <c r="F6" s="3719"/>
      <c r="G6" s="3716" t="s">
        <v>1127</v>
      </c>
      <c r="H6" s="3717"/>
      <c r="I6" s="3716" t="s">
        <v>1127</v>
      </c>
      <c r="J6" s="3717"/>
      <c r="K6" s="953" t="s">
        <v>394</v>
      </c>
      <c r="L6" s="2348"/>
      <c r="M6" s="2349"/>
      <c r="N6" s="2349"/>
      <c r="O6" s="2349"/>
      <c r="P6" s="3695"/>
      <c r="Q6" s="3696"/>
      <c r="R6" s="3676"/>
      <c r="S6" s="3677"/>
      <c r="T6" s="3697"/>
      <c r="U6" s="3698"/>
      <c r="V6" s="3699"/>
      <c r="W6" s="3699"/>
      <c r="X6" s="1318"/>
      <c r="Y6" s="3697"/>
      <c r="Z6" s="3698"/>
      <c r="AA6" s="3671"/>
      <c r="AB6" s="3671"/>
      <c r="AC6" s="3671"/>
    </row>
    <row r="7" spans="1:29" s="407" customFormat="1" ht="15.75" thickBot="1">
      <c r="A7" s="751" t="s">
        <v>395</v>
      </c>
      <c r="B7" s="752"/>
      <c r="C7" s="753">
        <f>'数据-取费表'!B2</f>
        <v>43026</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72" t="s">
        <v>396</v>
      </c>
      <c r="Q7" s="3700"/>
      <c r="R7" s="1319" t="s">
        <v>62</v>
      </c>
      <c r="S7" s="1320">
        <f t="shared" ref="S7:S15" si="0">F7</f>
        <v>0</v>
      </c>
      <c r="T7" s="1319" t="s">
        <v>62</v>
      </c>
      <c r="U7" s="1320">
        <f t="shared" ref="U7:U15" si="1">H7</f>
        <v>0</v>
      </c>
      <c r="V7" s="1319" t="s">
        <v>62</v>
      </c>
      <c r="W7" s="1320">
        <f t="shared" ref="W7:W15" si="2">J7</f>
        <v>0</v>
      </c>
      <c r="X7" s="1321"/>
      <c r="Y7" s="3672" t="s">
        <v>396</v>
      </c>
      <c r="Z7" s="3673"/>
      <c r="AA7" s="1322" t="e">
        <f>D7/F7</f>
        <v>#DIV/0!</v>
      </c>
      <c r="AB7" s="1322" t="e">
        <f>D7/H7</f>
        <v>#DIV/0!</v>
      </c>
      <c r="AC7" s="1322" t="e">
        <f>D7/J7</f>
        <v>#DIV/0!</v>
      </c>
    </row>
    <row r="8" spans="1:29" s="407" customFormat="1" ht="15.75" thickBot="1">
      <c r="A8" s="751" t="s">
        <v>397</v>
      </c>
      <c r="B8" s="752"/>
      <c r="C8" s="1020" t="s">
        <v>152</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40" si="3">D8/F8</f>
        <v>#DIV/0!</v>
      </c>
      <c r="AB8" s="1322" t="e">
        <f t="shared" ref="AB8:AB40" si="4">D8/H8</f>
        <v>#DIV/0!</v>
      </c>
      <c r="AC8" s="1322" t="e">
        <f t="shared" ref="AC8:AC40" si="5">D8/J8</f>
        <v>#DIV/0!</v>
      </c>
    </row>
    <row r="9" spans="1:29" s="407" customFormat="1">
      <c r="A9" s="758" t="s">
        <v>398</v>
      </c>
      <c r="B9" s="361" t="s">
        <v>416</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6" t="s">
        <v>399</v>
      </c>
      <c r="Q9" s="296" t="str">
        <f t="shared" ref="Q9:Q15" si="6">B9</f>
        <v>用途</v>
      </c>
      <c r="R9" s="1319" t="s">
        <v>62</v>
      </c>
      <c r="S9" s="1320">
        <f t="shared" si="0"/>
        <v>100</v>
      </c>
      <c r="T9" s="1319" t="s">
        <v>62</v>
      </c>
      <c r="U9" s="1320">
        <f t="shared" si="1"/>
        <v>100</v>
      </c>
      <c r="V9" s="1319" t="s">
        <v>62</v>
      </c>
      <c r="W9" s="1320">
        <f t="shared" si="2"/>
        <v>100</v>
      </c>
      <c r="X9" s="1321"/>
      <c r="Y9" s="3554" t="s">
        <v>400</v>
      </c>
      <c r="Z9" s="344" t="str">
        <f t="shared" ref="Z9:Z15" si="7">Q9</f>
        <v>用途</v>
      </c>
      <c r="AA9" s="1322">
        <f t="shared" si="3"/>
        <v>1</v>
      </c>
      <c r="AB9" s="1322">
        <f t="shared" si="4"/>
        <v>1</v>
      </c>
      <c r="AC9" s="1322">
        <f t="shared" si="5"/>
        <v>1</v>
      </c>
    </row>
    <row r="10" spans="1:29" s="770" customFormat="1" ht="27">
      <c r="A10" s="764"/>
      <c r="B10" s="765" t="s">
        <v>401</v>
      </c>
      <c r="C10" s="1024"/>
      <c r="D10" s="426">
        <v>100</v>
      </c>
      <c r="E10" s="1024"/>
      <c r="F10" s="426">
        <f>ROUND(100/'数据-取费表'!G16,0)</f>
        <v>116</v>
      </c>
      <c r="G10" s="1024"/>
      <c r="H10" s="426">
        <f>ROUND(100/'数据-取费表'!G16,0)</f>
        <v>116</v>
      </c>
      <c r="I10" s="1024"/>
      <c r="J10" s="426">
        <f>ROUND(100/'数据-取费表'!G16,0)</f>
        <v>116</v>
      </c>
      <c r="K10" s="1081"/>
      <c r="L10" s="2353"/>
      <c r="M10" s="2354"/>
      <c r="N10" s="2354"/>
      <c r="O10" s="2355"/>
      <c r="P10" s="3686"/>
      <c r="Q10" s="296" t="str">
        <f t="shared" si="6"/>
        <v>土地使用年限（年）</v>
      </c>
      <c r="R10" s="1319" t="s">
        <v>62</v>
      </c>
      <c r="S10" s="1320">
        <f t="shared" si="0"/>
        <v>116</v>
      </c>
      <c r="T10" s="1319" t="s">
        <v>62</v>
      </c>
      <c r="U10" s="1320">
        <f t="shared" si="1"/>
        <v>116</v>
      </c>
      <c r="V10" s="1319" t="s">
        <v>62</v>
      </c>
      <c r="W10" s="1320">
        <f t="shared" si="2"/>
        <v>116</v>
      </c>
      <c r="X10" s="1321"/>
      <c r="Y10" s="3554"/>
      <c r="Z10" s="344" t="str">
        <f t="shared" si="7"/>
        <v>土地使用年限（年）</v>
      </c>
      <c r="AA10" s="1322">
        <f t="shared" si="3"/>
        <v>0.86206896551724133</v>
      </c>
      <c r="AB10" s="1322">
        <f t="shared" si="4"/>
        <v>0.86206896551724133</v>
      </c>
      <c r="AC10" s="1322">
        <f t="shared" si="5"/>
        <v>0.86206896551724133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6"/>
      <c r="Q11" s="296" t="str">
        <f t="shared" si="6"/>
        <v>容积率</v>
      </c>
      <c r="R11" s="1319" t="s">
        <v>62</v>
      </c>
      <c r="S11" s="1320" t="e">
        <f t="shared" si="0"/>
        <v>#N/A</v>
      </c>
      <c r="T11" s="1319" t="s">
        <v>62</v>
      </c>
      <c r="U11" s="1320" t="e">
        <f t="shared" si="1"/>
        <v>#N/A</v>
      </c>
      <c r="V11" s="1319" t="s">
        <v>62</v>
      </c>
      <c r="W11" s="1320" t="e">
        <f t="shared" si="2"/>
        <v>#N/A</v>
      </c>
      <c r="X11" s="1321"/>
      <c r="Y11" s="355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6"/>
      <c r="Q12" s="296">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6"/>
      <c r="Q14" s="296">
        <f t="shared" si="6"/>
        <v>111</v>
      </c>
      <c r="R14" s="1319" t="s">
        <v>62</v>
      </c>
      <c r="S14" s="1320">
        <f t="shared" si="0"/>
        <v>100</v>
      </c>
      <c r="T14" s="1319" t="s">
        <v>62</v>
      </c>
      <c r="U14" s="1320">
        <f t="shared" si="1"/>
        <v>100</v>
      </c>
      <c r="V14" s="1319" t="s">
        <v>62</v>
      </c>
      <c r="W14" s="1320">
        <f t="shared" si="2"/>
        <v>100</v>
      </c>
      <c r="X14" s="1321"/>
      <c r="Y14" s="3554"/>
      <c r="Z14" s="344">
        <f t="shared" si="7"/>
        <v>111</v>
      </c>
      <c r="AA14" s="1322">
        <f t="shared" si="3"/>
        <v>1</v>
      </c>
      <c r="AB14" s="1322">
        <f t="shared" si="4"/>
        <v>1</v>
      </c>
      <c r="AC14" s="1322">
        <f t="shared" si="5"/>
        <v>1</v>
      </c>
    </row>
    <row r="15" spans="1:29" ht="67.5">
      <c r="A15" s="783" t="s">
        <v>403</v>
      </c>
      <c r="B15" s="972" t="s">
        <v>515</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701" t="s">
        <v>404</v>
      </c>
      <c r="Q15" s="1323" t="str">
        <f t="shared" si="6"/>
        <v>产业集聚程度</v>
      </c>
      <c r="R15" s="1324" t="s">
        <v>62</v>
      </c>
      <c r="S15" s="1325">
        <f t="shared" si="0"/>
        <v>100</v>
      </c>
      <c r="T15" s="1324" t="s">
        <v>62</v>
      </c>
      <c r="U15" s="1325">
        <f t="shared" si="1"/>
        <v>100</v>
      </c>
      <c r="V15" s="1324" t="s">
        <v>62</v>
      </c>
      <c r="W15" s="1325">
        <f t="shared" si="2"/>
        <v>100</v>
      </c>
      <c r="X15" s="1318"/>
      <c r="Y15" s="3701" t="s">
        <v>404</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702"/>
      <c r="Q16" s="1323"/>
      <c r="R16" s="1324"/>
      <c r="S16" s="1325"/>
      <c r="T16" s="1324"/>
      <c r="U16" s="1325"/>
      <c r="V16" s="1324"/>
      <c r="W16" s="1325"/>
      <c r="X16" s="1318"/>
      <c r="Y16" s="3702"/>
      <c r="Z16" s="1326"/>
      <c r="AA16" s="1327">
        <v>1</v>
      </c>
      <c r="AB16" s="1327">
        <v>1</v>
      </c>
      <c r="AC16" s="1327">
        <v>1</v>
      </c>
    </row>
    <row r="17" spans="1:29" ht="94.5">
      <c r="A17" s="771"/>
      <c r="B17" s="974" t="s">
        <v>453</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702"/>
      <c r="Q17" s="1323" t="str">
        <f>B17</f>
        <v>交通便捷度</v>
      </c>
      <c r="R17" s="1324" t="s">
        <v>62</v>
      </c>
      <c r="S17" s="1325">
        <f>F17</f>
        <v>100</v>
      </c>
      <c r="T17" s="1324" t="s">
        <v>62</v>
      </c>
      <c r="U17" s="1325">
        <f>H17</f>
        <v>100</v>
      </c>
      <c r="V17" s="1324" t="s">
        <v>62</v>
      </c>
      <c r="W17" s="1325">
        <f>J17</f>
        <v>100</v>
      </c>
      <c r="X17" s="1318"/>
      <c r="Y17" s="370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702"/>
      <c r="Q18" s="1323"/>
      <c r="R18" s="1324"/>
      <c r="S18" s="1325"/>
      <c r="T18" s="1324"/>
      <c r="U18" s="1325"/>
      <c r="V18" s="1324"/>
      <c r="W18" s="1325"/>
      <c r="X18" s="1318"/>
      <c r="Y18" s="3702"/>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702"/>
      <c r="Q19" s="1323" t="str">
        <f t="shared" ref="Q19:Q33" si="8">B19</f>
        <v>区域土地利用方向</v>
      </c>
      <c r="R19" s="1324" t="s">
        <v>62</v>
      </c>
      <c r="S19" s="1325">
        <f>F19</f>
        <v>100</v>
      </c>
      <c r="T19" s="1324" t="s">
        <v>62</v>
      </c>
      <c r="U19" s="1325">
        <f>H19</f>
        <v>100</v>
      </c>
      <c r="V19" s="1324" t="s">
        <v>62</v>
      </c>
      <c r="W19" s="1325">
        <f>J19</f>
        <v>100</v>
      </c>
      <c r="X19" s="1318"/>
      <c r="Y19" s="370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702"/>
      <c r="Q20" s="1470"/>
      <c r="R20" s="1324"/>
      <c r="S20" s="1325"/>
      <c r="T20" s="1324"/>
      <c r="U20" s="1325"/>
      <c r="V20" s="1324"/>
      <c r="W20" s="1325"/>
      <c r="X20" s="1469"/>
      <c r="Y20" s="3702"/>
      <c r="Z20" s="1471"/>
      <c r="AA20" s="1327"/>
      <c r="AB20" s="1327"/>
      <c r="AC20" s="1327"/>
    </row>
    <row r="21" spans="1:29" ht="81">
      <c r="A21" s="747"/>
      <c r="B21" s="974" t="s">
        <v>516</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702"/>
      <c r="Q21" s="1323" t="str">
        <f t="shared" si="8"/>
        <v>环境状况</v>
      </c>
      <c r="R21" s="1324" t="s">
        <v>62</v>
      </c>
      <c r="S21" s="1325">
        <f>F21</f>
        <v>100</v>
      </c>
      <c r="T21" s="1324" t="s">
        <v>62</v>
      </c>
      <c r="U21" s="1325">
        <f>H21</f>
        <v>100</v>
      </c>
      <c r="V21" s="1324" t="s">
        <v>62</v>
      </c>
      <c r="W21" s="1325">
        <f>J21</f>
        <v>100</v>
      </c>
      <c r="X21" s="1318"/>
      <c r="Y21" s="370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702"/>
      <c r="Q22" s="1323"/>
      <c r="R22" s="1324"/>
      <c r="S22" s="1325"/>
      <c r="T22" s="1324"/>
      <c r="U22" s="1325"/>
      <c r="V22" s="1324"/>
      <c r="W22" s="1325"/>
      <c r="X22" s="1318"/>
      <c r="Y22" s="3702"/>
      <c r="Z22" s="1326"/>
      <c r="AA22" s="1327">
        <v>1</v>
      </c>
      <c r="AB22" s="1327">
        <v>1</v>
      </c>
      <c r="AC22" s="1327">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702"/>
      <c r="Q23" s="296" t="str">
        <f t="shared" si="8"/>
        <v>公共配套设施</v>
      </c>
      <c r="R23" s="1319" t="s">
        <v>62</v>
      </c>
      <c r="S23" s="1320">
        <f>F23</f>
        <v>100</v>
      </c>
      <c r="T23" s="1319" t="s">
        <v>62</v>
      </c>
      <c r="U23" s="1320">
        <f>H23</f>
        <v>100</v>
      </c>
      <c r="V23" s="1319" t="s">
        <v>62</v>
      </c>
      <c r="W23" s="1320">
        <f>J23</f>
        <v>100</v>
      </c>
      <c r="X23" s="1321"/>
      <c r="Y23" s="370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702"/>
      <c r="Q24" s="296"/>
      <c r="R24" s="1319"/>
      <c r="S24" s="1320"/>
      <c r="T24" s="1319"/>
      <c r="U24" s="1320"/>
      <c r="V24" s="1319"/>
      <c r="W24" s="1320"/>
      <c r="X24" s="1321"/>
      <c r="Y24" s="3702"/>
      <c r="Z24" s="344"/>
      <c r="AA24" s="1322">
        <v>1</v>
      </c>
      <c r="AB24" s="1322">
        <v>1</v>
      </c>
      <c r="AC24" s="1322">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702"/>
      <c r="Q25" s="2744" t="str">
        <f t="shared" ref="Q25" si="9">B25</f>
        <v>基础设施水平</v>
      </c>
      <c r="R25" s="1319" t="s">
        <v>62</v>
      </c>
      <c r="S25" s="1320">
        <f>F25</f>
        <v>100</v>
      </c>
      <c r="T25" s="1319" t="s">
        <v>62</v>
      </c>
      <c r="U25" s="1320">
        <f>H25</f>
        <v>100</v>
      </c>
      <c r="V25" s="1319" t="s">
        <v>62</v>
      </c>
      <c r="W25" s="1320">
        <f>J25</f>
        <v>100</v>
      </c>
      <c r="X25" s="1321"/>
      <c r="Y25" s="370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702"/>
      <c r="Q26" s="2744"/>
      <c r="R26" s="1319"/>
      <c r="S26" s="1320"/>
      <c r="T26" s="1319"/>
      <c r="U26" s="1320"/>
      <c r="V26" s="1319"/>
      <c r="W26" s="1320"/>
      <c r="X26" s="1321"/>
      <c r="Y26" s="3702"/>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702"/>
      <c r="Q27" s="1323" t="str">
        <f t="shared" si="8"/>
        <v>临街状况</v>
      </c>
      <c r="R27" s="1324" t="s">
        <v>62</v>
      </c>
      <c r="S27" s="1325">
        <f t="shared" ref="S27:S40" si="10">F27</f>
        <v>100</v>
      </c>
      <c r="T27" s="1324" t="s">
        <v>62</v>
      </c>
      <c r="U27" s="1325">
        <f t="shared" ref="U27:U40" si="11">H27</f>
        <v>100</v>
      </c>
      <c r="V27" s="1324" t="s">
        <v>62</v>
      </c>
      <c r="W27" s="1325">
        <f t="shared" ref="W27:W40" si="12">J27</f>
        <v>100</v>
      </c>
      <c r="X27" s="1318"/>
      <c r="Y27" s="3702"/>
      <c r="Z27" s="1326" t="str">
        <f t="shared" ref="Z27:Z40" si="13">Q27</f>
        <v>临街状况</v>
      </c>
      <c r="AA27" s="1327">
        <f t="shared" si="3"/>
        <v>1</v>
      </c>
      <c r="AB27" s="1327">
        <f t="shared" si="4"/>
        <v>1</v>
      </c>
      <c r="AC27" s="1327">
        <f t="shared" si="5"/>
        <v>1</v>
      </c>
    </row>
    <row r="28" spans="1:29" ht="27">
      <c r="A28" s="771"/>
      <c r="B28" s="976" t="s">
        <v>439</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702"/>
      <c r="Q28" s="1323" t="str">
        <f t="shared" si="8"/>
        <v>毗邻道路的类型与等级</v>
      </c>
      <c r="R28" s="1324" t="s">
        <v>62</v>
      </c>
      <c r="S28" s="1325">
        <f t="shared" si="10"/>
        <v>100</v>
      </c>
      <c r="T28" s="1324" t="s">
        <v>62</v>
      </c>
      <c r="U28" s="1325">
        <f t="shared" si="11"/>
        <v>100</v>
      </c>
      <c r="V28" s="1324" t="s">
        <v>62</v>
      </c>
      <c r="W28" s="1325">
        <f t="shared" si="12"/>
        <v>100</v>
      </c>
      <c r="X28" s="1318"/>
      <c r="Y28" s="370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702"/>
      <c r="Q29" s="1323"/>
      <c r="R29" s="1324"/>
      <c r="S29" s="1325"/>
      <c r="T29" s="1324"/>
      <c r="U29" s="1325"/>
      <c r="V29" s="1324"/>
      <c r="W29" s="1325"/>
      <c r="X29" s="1318"/>
      <c r="Y29" s="3702"/>
      <c r="Z29" s="1326"/>
      <c r="AA29" s="1327">
        <v>1</v>
      </c>
      <c r="AB29" s="1327">
        <v>1</v>
      </c>
      <c r="AC29" s="1327">
        <v>1</v>
      </c>
    </row>
    <row r="30" spans="1:29" ht="15">
      <c r="A30" s="771"/>
      <c r="B30" s="997" t="s">
        <v>482</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702"/>
      <c r="Q30" s="1323" t="str">
        <f t="shared" si="8"/>
        <v>土地级别</v>
      </c>
      <c r="R30" s="1324" t="s">
        <v>62</v>
      </c>
      <c r="S30" s="1325">
        <f t="shared" si="10"/>
        <v>100</v>
      </c>
      <c r="T30" s="1324" t="s">
        <v>62</v>
      </c>
      <c r="U30" s="1325">
        <f t="shared" si="11"/>
        <v>100</v>
      </c>
      <c r="V30" s="1324" t="s">
        <v>62</v>
      </c>
      <c r="W30" s="1325">
        <f t="shared" si="12"/>
        <v>100</v>
      </c>
      <c r="X30" s="1318"/>
      <c r="Y30" s="370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702"/>
      <c r="Q31" s="1323">
        <f t="shared" si="8"/>
        <v>111</v>
      </c>
      <c r="R31" s="1324" t="s">
        <v>62</v>
      </c>
      <c r="S31" s="1325">
        <f t="shared" si="10"/>
        <v>100</v>
      </c>
      <c r="T31" s="1324" t="s">
        <v>62</v>
      </c>
      <c r="U31" s="1325">
        <f t="shared" si="11"/>
        <v>100</v>
      </c>
      <c r="V31" s="1324" t="s">
        <v>62</v>
      </c>
      <c r="W31" s="1325">
        <f t="shared" si="12"/>
        <v>100</v>
      </c>
      <c r="X31" s="1318"/>
      <c r="Y31" s="370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03" t="s">
        <v>406</v>
      </c>
      <c r="Q32" s="1323">
        <f t="shared" si="8"/>
        <v>111</v>
      </c>
      <c r="R32" s="1324" t="s">
        <v>62</v>
      </c>
      <c r="S32" s="1325">
        <f t="shared" si="10"/>
        <v>100</v>
      </c>
      <c r="T32" s="1324" t="s">
        <v>62</v>
      </c>
      <c r="U32" s="1325">
        <f t="shared" si="11"/>
        <v>100</v>
      </c>
      <c r="V32" s="1324" t="s">
        <v>62</v>
      </c>
      <c r="W32" s="1325">
        <f t="shared" si="12"/>
        <v>100</v>
      </c>
      <c r="X32" s="1318"/>
      <c r="Y32" s="3704" t="s">
        <v>406</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04"/>
      <c r="Q33" s="1323">
        <f t="shared" si="8"/>
        <v>111</v>
      </c>
      <c r="R33" s="1329" t="s">
        <v>62</v>
      </c>
      <c r="S33" s="1330">
        <f t="shared" si="10"/>
        <v>100</v>
      </c>
      <c r="T33" s="1329" t="s">
        <v>62</v>
      </c>
      <c r="U33" s="1330">
        <f t="shared" si="11"/>
        <v>100</v>
      </c>
      <c r="V33" s="1329" t="s">
        <v>62</v>
      </c>
      <c r="W33" s="1330">
        <f t="shared" si="12"/>
        <v>100</v>
      </c>
      <c r="X33" s="1331"/>
      <c r="Y33" s="3704"/>
      <c r="Z33" s="1332">
        <f t="shared" si="13"/>
        <v>111</v>
      </c>
      <c r="AA33" s="1327">
        <f t="shared" si="3"/>
        <v>1</v>
      </c>
      <c r="AB33" s="1327">
        <f t="shared" si="4"/>
        <v>1</v>
      </c>
      <c r="AC33" s="1327">
        <f t="shared" si="5"/>
        <v>1</v>
      </c>
    </row>
    <row r="34" spans="1:29" ht="15">
      <c r="A34" s="783" t="s">
        <v>2783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04"/>
      <c r="Q34" s="1323" t="str">
        <f>B34</f>
        <v>宗地面积</v>
      </c>
      <c r="R34" s="1324" t="s">
        <v>62</v>
      </c>
      <c r="S34" s="1325" t="e">
        <f t="shared" si="10"/>
        <v>#N/A</v>
      </c>
      <c r="T34" s="1324" t="s">
        <v>62</v>
      </c>
      <c r="U34" s="1325" t="e">
        <f t="shared" si="11"/>
        <v>#N/A</v>
      </c>
      <c r="V34" s="1324" t="s">
        <v>62</v>
      </c>
      <c r="W34" s="1325" t="e">
        <f t="shared" si="12"/>
        <v>#N/A</v>
      </c>
      <c r="X34" s="1318"/>
      <c r="Y34" s="3704"/>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04"/>
      <c r="Q35" s="1323" t="str">
        <f t="shared" ref="Q35:Q40" si="14">B35</f>
        <v>宗地形状</v>
      </c>
      <c r="R35" s="1324" t="s">
        <v>62</v>
      </c>
      <c r="S35" s="1325">
        <f t="shared" si="10"/>
        <v>100</v>
      </c>
      <c r="T35" s="1324" t="s">
        <v>62</v>
      </c>
      <c r="U35" s="1325">
        <f t="shared" si="11"/>
        <v>100</v>
      </c>
      <c r="V35" s="1324" t="s">
        <v>62</v>
      </c>
      <c r="W35" s="1325">
        <f t="shared" si="12"/>
        <v>100</v>
      </c>
      <c r="X35" s="1318"/>
      <c r="Y35" s="3704"/>
      <c r="Z35" s="1326" t="str">
        <f t="shared" si="13"/>
        <v>宗地形状</v>
      </c>
      <c r="AA35" s="1327">
        <f t="shared" si="3"/>
        <v>1</v>
      </c>
      <c r="AB35" s="1327">
        <f t="shared" si="4"/>
        <v>1</v>
      </c>
      <c r="AC35" s="1327">
        <f t="shared" si="5"/>
        <v>1</v>
      </c>
    </row>
    <row r="36" spans="1:29" s="407" customFormat="1" ht="15">
      <c r="A36" s="816"/>
      <c r="B36" s="2610" t="s">
        <v>2491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04"/>
      <c r="Q36" s="1323" t="str">
        <f t="shared" si="14"/>
        <v>宗地开发程度</v>
      </c>
      <c r="R36" s="1319" t="s">
        <v>62</v>
      </c>
      <c r="S36" s="1320">
        <f t="shared" si="10"/>
        <v>100</v>
      </c>
      <c r="T36" s="1319" t="s">
        <v>62</v>
      </c>
      <c r="U36" s="1320">
        <f t="shared" si="11"/>
        <v>100</v>
      </c>
      <c r="V36" s="1319" t="s">
        <v>62</v>
      </c>
      <c r="W36" s="1320">
        <f t="shared" si="12"/>
        <v>100</v>
      </c>
      <c r="X36" s="1321"/>
      <c r="Y36" s="3704"/>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04" t="s">
        <v>517</v>
      </c>
      <c r="Q37" s="1323" t="str">
        <f t="shared" si="14"/>
        <v>工程地质条件</v>
      </c>
      <c r="R37" s="1324" t="s">
        <v>62</v>
      </c>
      <c r="S37" s="1325">
        <f t="shared" si="10"/>
        <v>100</v>
      </c>
      <c r="T37" s="1324" t="s">
        <v>62</v>
      </c>
      <c r="U37" s="1325">
        <f t="shared" si="11"/>
        <v>100</v>
      </c>
      <c r="V37" s="1324" t="s">
        <v>62</v>
      </c>
      <c r="W37" s="1325">
        <f t="shared" si="12"/>
        <v>100</v>
      </c>
      <c r="X37" s="1318"/>
      <c r="Y37" s="3704"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04"/>
      <c r="Q38" s="1323">
        <f t="shared" si="14"/>
        <v>111</v>
      </c>
      <c r="R38" s="1324" t="s">
        <v>62</v>
      </c>
      <c r="S38" s="1325">
        <f t="shared" si="10"/>
        <v>100</v>
      </c>
      <c r="T38" s="1324" t="s">
        <v>62</v>
      </c>
      <c r="U38" s="1325">
        <f t="shared" si="11"/>
        <v>100</v>
      </c>
      <c r="V38" s="1324" t="s">
        <v>62</v>
      </c>
      <c r="W38" s="1325">
        <f t="shared" si="12"/>
        <v>100</v>
      </c>
      <c r="X38" s="1318"/>
      <c r="Y38" s="370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04"/>
      <c r="Q39" s="1323">
        <f t="shared" si="14"/>
        <v>111</v>
      </c>
      <c r="R39" s="1324" t="s">
        <v>62</v>
      </c>
      <c r="S39" s="1325">
        <f t="shared" si="10"/>
        <v>100</v>
      </c>
      <c r="T39" s="1324" t="s">
        <v>62</v>
      </c>
      <c r="U39" s="1325">
        <f t="shared" si="11"/>
        <v>100</v>
      </c>
      <c r="V39" s="1324" t="s">
        <v>62</v>
      </c>
      <c r="W39" s="1325">
        <f t="shared" si="12"/>
        <v>100</v>
      </c>
      <c r="X39" s="1318"/>
      <c r="Y39" s="370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04"/>
      <c r="Q40" s="1323">
        <f t="shared" si="14"/>
        <v>111</v>
      </c>
      <c r="R40" s="1329" t="s">
        <v>62</v>
      </c>
      <c r="S40" s="1330">
        <f t="shared" si="10"/>
        <v>100</v>
      </c>
      <c r="T40" s="1329" t="s">
        <v>62</v>
      </c>
      <c r="U40" s="1330">
        <f t="shared" si="11"/>
        <v>100</v>
      </c>
      <c r="V40" s="1329" t="s">
        <v>62</v>
      </c>
      <c r="W40" s="1330">
        <f t="shared" si="12"/>
        <v>100</v>
      </c>
      <c r="X40" s="1331"/>
      <c r="Y40" s="3704"/>
      <c r="Z40" s="1332">
        <f t="shared" si="13"/>
        <v>111</v>
      </c>
      <c r="AA40" s="1327">
        <f t="shared" si="3"/>
        <v>1</v>
      </c>
      <c r="AB40" s="1327">
        <f t="shared" si="4"/>
        <v>1</v>
      </c>
      <c r="AC40" s="1327">
        <f t="shared" si="5"/>
        <v>1</v>
      </c>
    </row>
    <row r="41" spans="1:29" ht="15">
      <c r="A41" s="822" t="s">
        <v>487</v>
      </c>
      <c r="B41" s="207" t="s">
        <v>3011</v>
      </c>
      <c r="C41" s="1091" t="s">
        <v>23</v>
      </c>
      <c r="D41" s="824"/>
      <c r="E41" s="825"/>
      <c r="F41" s="826"/>
      <c r="G41" s="827"/>
      <c r="H41" s="828"/>
      <c r="I41" s="825"/>
      <c r="J41" s="828"/>
      <c r="K41" s="1400"/>
      <c r="L41" s="2361"/>
      <c r="M41" s="2349"/>
      <c r="N41" s="2349"/>
      <c r="O41" s="2362"/>
      <c r="P41" s="3686" t="str">
        <f>A41</f>
        <v>成交单价</v>
      </c>
      <c r="Q41" s="3686"/>
      <c r="R41" s="3699">
        <f>E41</f>
        <v>0</v>
      </c>
      <c r="S41" s="3699"/>
      <c r="T41" s="3699">
        <f>G41</f>
        <v>0</v>
      </c>
      <c r="U41" s="3699"/>
      <c r="V41" s="3699">
        <f>I41</f>
        <v>0</v>
      </c>
      <c r="W41" s="3699"/>
      <c r="X41" s="1307"/>
      <c r="Y41" s="1333"/>
      <c r="Z41" s="1307"/>
      <c r="AA41" s="1307"/>
      <c r="AB41" s="1307"/>
      <c r="AC41" s="1307"/>
    </row>
    <row r="42" spans="1:29" ht="15.75" thickBot="1">
      <c r="A42" s="829" t="s">
        <v>408</v>
      </c>
      <c r="B42" s="1092"/>
      <c r="C42" s="833" t="e">
        <f>R43</f>
        <v>#DIV/0!</v>
      </c>
      <c r="D42" s="832"/>
      <c r="E42" s="833" t="e">
        <f>R42</f>
        <v>#DIV/0!</v>
      </c>
      <c r="F42" s="834"/>
      <c r="G42" s="831" t="e">
        <f>T42</f>
        <v>#DIV/0!</v>
      </c>
      <c r="H42" s="832"/>
      <c r="I42" s="833" t="e">
        <f>V42</f>
        <v>#DIV/0!</v>
      </c>
      <c r="J42" s="832"/>
      <c r="K42" s="1401"/>
      <c r="L42" s="2361"/>
      <c r="M42" s="2349"/>
      <c r="N42" s="2349"/>
      <c r="O42" s="2362"/>
      <c r="P42" s="3686" t="str">
        <f>A42</f>
        <v>比较价值（元/平方米）</v>
      </c>
      <c r="Q42" s="3686"/>
      <c r="R42" s="3709" t="e">
        <f>ROUND(PRODUCT(R41,AA7:AA40),0)</f>
        <v>#DIV/0!</v>
      </c>
      <c r="S42" s="3709"/>
      <c r="T42" s="3709" t="e">
        <f>ROUND(PRODUCT(T41,AB7:AB40),0)</f>
        <v>#DIV/0!</v>
      </c>
      <c r="U42" s="3709"/>
      <c r="V42" s="3709" t="e">
        <f>ROUND(PRODUCT(V41,AC7:AC40),0)</f>
        <v>#DIV/0!</v>
      </c>
      <c r="W42" s="3709"/>
      <c r="X42" s="1307"/>
      <c r="Y42" s="1307"/>
      <c r="Z42" s="1307"/>
      <c r="AA42" s="1307"/>
      <c r="AB42" s="1307"/>
      <c r="AC42" s="1307"/>
    </row>
    <row r="43" spans="1:29" ht="15.75" thickBot="1">
      <c r="A43" s="115" t="s">
        <v>3004</v>
      </c>
      <c r="B43" s="836"/>
      <c r="C43" s="837" t="e">
        <f>R43</f>
        <v>#DIV/0!</v>
      </c>
      <c r="D43" s="837"/>
      <c r="E43" s="837"/>
      <c r="F43" s="837"/>
      <c r="G43" s="837"/>
      <c r="H43" s="837"/>
      <c r="I43" s="837"/>
      <c r="J43" s="837"/>
      <c r="K43" s="1402"/>
      <c r="L43" s="2361"/>
      <c r="M43" s="2349"/>
      <c r="N43" s="2349"/>
      <c r="O43" s="2362"/>
      <c r="P43" s="3706" t="str">
        <f>A43</f>
        <v>估价对象XX用房的比较价值（楼面单价，元/平方米）</v>
      </c>
      <c r="Q43" s="3707"/>
      <c r="R43" s="3710" t="e">
        <f>ROUND(AVERAGE(R42:V42),0)</f>
        <v>#DIV/0!</v>
      </c>
      <c r="S43" s="3710"/>
      <c r="T43" s="3710"/>
      <c r="U43" s="3710"/>
      <c r="V43" s="3710"/>
      <c r="W43" s="3710"/>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488</v>
      </c>
      <c r="B50" s="1094" t="s">
        <v>489</v>
      </c>
      <c r="C50" s="1777" t="s">
        <v>1885</v>
      </c>
      <c r="D50" s="2393" t="s">
        <v>2315</v>
      </c>
      <c r="E50" s="1095" t="s">
        <v>490</v>
      </c>
      <c r="F50" s="1096" t="s">
        <v>491</v>
      </c>
      <c r="G50" s="3711" t="s">
        <v>2308</v>
      </c>
      <c r="H50" s="3712"/>
      <c r="I50" s="2183" t="s">
        <v>1884</v>
      </c>
      <c r="J50" s="1767" t="str">
        <f>项目基本情况!F35</f>
        <v>重庆市</v>
      </c>
      <c r="K50" s="2376" t="s">
        <v>1886</v>
      </c>
      <c r="L50" s="2189"/>
      <c r="M50" s="2362"/>
      <c r="N50" s="2362"/>
      <c r="O50" s="2362"/>
    </row>
    <row r="51" spans="1:17" s="1101" customFormat="1">
      <c r="A51" s="1097" t="s">
        <v>492</v>
      </c>
      <c r="B51" s="1098" t="e">
        <f>C43</f>
        <v>#DIV/0!</v>
      </c>
      <c r="C51" s="1099">
        <v>1</v>
      </c>
      <c r="D51" s="2394">
        <v>1</v>
      </c>
      <c r="E51" s="1099">
        <f>'数据-汇总表'!E8+'数据-汇总表'!E9</f>
        <v>37870.639999999999</v>
      </c>
      <c r="F51" s="1100" t="e">
        <f t="shared" ref="F51:F60" si="15">ROUND(B51*E51/10000,0)</f>
        <v>#DIV/0!</v>
      </c>
      <c r="G51" s="3713"/>
      <c r="H51" s="3714"/>
      <c r="I51" s="1775">
        <v>1</v>
      </c>
      <c r="J51" s="1775">
        <v>1</v>
      </c>
      <c r="K51" s="2363"/>
      <c r="L51" s="1774"/>
      <c r="M51" s="1774"/>
      <c r="N51" s="1774"/>
      <c r="O51" s="1774"/>
    </row>
    <row r="52" spans="1:17" s="1101" customFormat="1">
      <c r="A52" s="1102" t="s">
        <v>493</v>
      </c>
      <c r="B52" s="594" t="e">
        <f>ROUND($C$43*C52*D52,0)</f>
        <v>#DIV/0!</v>
      </c>
      <c r="C52" s="532">
        <f t="shared" ref="C52:C60" si="16">IF($C$50="北京市系数",I52,J52)</f>
        <v>0</v>
      </c>
      <c r="D52" s="2395">
        <v>0.25</v>
      </c>
      <c r="E52" s="1103"/>
      <c r="F52" s="1100" t="e">
        <f t="shared" si="15"/>
        <v>#DIV/0!</v>
      </c>
      <c r="G52" s="3715" t="s">
        <v>2309</v>
      </c>
      <c r="H52" s="2187">
        <f>项目基本情况!B37</f>
        <v>0</v>
      </c>
      <c r="I52" s="1775">
        <f>SUMIF(修正!A45:A56,H52,修正!B45:B56)</f>
        <v>0</v>
      </c>
      <c r="J52" s="1776"/>
      <c r="K52" s="2362"/>
      <c r="L52" s="1774"/>
      <c r="M52" s="1774"/>
      <c r="N52" s="1774"/>
      <c r="O52" s="1774"/>
    </row>
    <row r="53" spans="1:17" s="1101" customFormat="1">
      <c r="A53" s="1102" t="s">
        <v>494</v>
      </c>
      <c r="B53" s="594" t="e">
        <f t="shared" ref="B53:B60" si="17">ROUND($C$43*C53*D53,0)</f>
        <v>#DIV/0!</v>
      </c>
      <c r="C53" s="532">
        <f t="shared" si="16"/>
        <v>0</v>
      </c>
      <c r="D53" s="2395">
        <v>0.25</v>
      </c>
      <c r="E53" s="1103"/>
      <c r="F53" s="1100" t="e">
        <f t="shared" si="15"/>
        <v>#DIV/0!</v>
      </c>
      <c r="G53" s="3715"/>
      <c r="H53" s="2187">
        <f>项目基本情况!B37</f>
        <v>0</v>
      </c>
      <c r="I53" s="1775">
        <f>SUMIF(修正!A45:A56,H53,修正!C45:C56)</f>
        <v>0</v>
      </c>
      <c r="J53" s="1776"/>
      <c r="K53" s="2363"/>
      <c r="L53" s="1774"/>
      <c r="M53" s="1774"/>
      <c r="N53" s="1774"/>
      <c r="O53" s="1774"/>
    </row>
    <row r="54" spans="1:17" s="1101" customFormat="1">
      <c r="A54" s="1102" t="s">
        <v>495</v>
      </c>
      <c r="B54" s="594" t="e">
        <f t="shared" si="17"/>
        <v>#DIV/0!</v>
      </c>
      <c r="C54" s="532">
        <f t="shared" si="16"/>
        <v>0</v>
      </c>
      <c r="D54" s="2395">
        <v>0.25</v>
      </c>
      <c r="E54" s="1103"/>
      <c r="F54" s="1100" t="e">
        <f t="shared" si="15"/>
        <v>#DIV/0!</v>
      </c>
      <c r="G54" s="3715"/>
      <c r="H54" s="2187">
        <f>项目基本情况!B37</f>
        <v>0</v>
      </c>
      <c r="I54" s="1775">
        <f>SUMIF(修正!A45:A56,H54,修正!D45:D56)</f>
        <v>0</v>
      </c>
      <c r="J54" s="1776"/>
      <c r="K54" s="2362"/>
      <c r="L54" s="1774"/>
      <c r="M54" s="1774"/>
      <c r="N54" s="1774"/>
      <c r="O54" s="1774"/>
    </row>
    <row r="55" spans="1:17" s="1101" customFormat="1">
      <c r="A55" s="1102" t="s">
        <v>496</v>
      </c>
      <c r="B55" s="594" t="e">
        <f t="shared" si="17"/>
        <v>#DIV/0!</v>
      </c>
      <c r="C55" s="532">
        <f t="shared" si="16"/>
        <v>0</v>
      </c>
      <c r="D55" s="2395">
        <v>0.25</v>
      </c>
      <c r="E55" s="1103"/>
      <c r="F55" s="1100" t="e">
        <f t="shared" si="15"/>
        <v>#DIV/0!</v>
      </c>
      <c r="G55" s="3715"/>
      <c r="H55" s="2187">
        <f>项目基本情况!B37</f>
        <v>0</v>
      </c>
      <c r="I55" s="1775">
        <f>SUMIF(修正!A45:A56,H55,修正!E45:E56)</f>
        <v>0</v>
      </c>
      <c r="J55" s="1776"/>
      <c r="K55" s="2363"/>
      <c r="L55" s="1774"/>
      <c r="M55" s="1774"/>
      <c r="N55" s="1774"/>
      <c r="O55" s="1774"/>
    </row>
    <row r="56" spans="1:17" s="1101" customFormat="1">
      <c r="A56" s="2515" t="s">
        <v>2390</v>
      </c>
      <c r="B56" s="594" t="e">
        <f t="shared" si="17"/>
        <v>#DIV/0!</v>
      </c>
      <c r="C56" s="532">
        <f t="shared" si="16"/>
        <v>0</v>
      </c>
      <c r="D56" s="2395">
        <v>0.25</v>
      </c>
      <c r="E56" s="593">
        <f>'数据-汇总表'!E11</f>
        <v>0</v>
      </c>
      <c r="F56" s="1100" t="e">
        <f t="shared" si="15"/>
        <v>#DIV/0!</v>
      </c>
      <c r="G56" s="2199" t="s">
        <v>2310</v>
      </c>
      <c r="H56" s="2187">
        <f>项目基本情况!C37</f>
        <v>0</v>
      </c>
      <c r="I56" s="1775">
        <f>SUMIF(修正!A45:A56,H56,修正!F45:F56)</f>
        <v>0</v>
      </c>
      <c r="J56" s="1776"/>
      <c r="K56" s="2362"/>
      <c r="L56" s="1774"/>
      <c r="M56" s="1774"/>
      <c r="N56" s="1774"/>
      <c r="O56" s="1774"/>
    </row>
    <row r="57" spans="1:17" s="1101" customFormat="1">
      <c r="A57" s="1102" t="s">
        <v>497</v>
      </c>
      <c r="B57" s="594" t="e">
        <f t="shared" si="17"/>
        <v>#DIV/0!</v>
      </c>
      <c r="C57" s="532">
        <f t="shared" si="16"/>
        <v>0</v>
      </c>
      <c r="D57" s="2395">
        <v>0.25</v>
      </c>
      <c r="E57" s="593">
        <f>'数据-汇总表'!E12</f>
        <v>0</v>
      </c>
      <c r="F57" s="1100" t="e">
        <f t="shared" si="15"/>
        <v>#DIV/0!</v>
      </c>
      <c r="G57" s="2193" t="s">
        <v>138</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498</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499</v>
      </c>
      <c r="B59" s="594" t="e">
        <f t="shared" si="17"/>
        <v>#DIV/0!</v>
      </c>
      <c r="C59" s="532">
        <f t="shared" si="16"/>
        <v>0</v>
      </c>
      <c r="D59" s="2395">
        <v>0.25</v>
      </c>
      <c r="E59" s="593">
        <f>'数据-汇总表'!E14</f>
        <v>0</v>
      </c>
      <c r="F59" s="1100" t="e">
        <f t="shared" si="15"/>
        <v>#DIV/0!</v>
      </c>
      <c r="G59" s="2199" t="s">
        <v>2311</v>
      </c>
      <c r="H59" s="2187">
        <f>项目基本情况!B37</f>
        <v>0</v>
      </c>
      <c r="I59" s="1775">
        <f>SUMIF(修正!A45:A56,H59,修正!H45:H56)</f>
        <v>0</v>
      </c>
      <c r="J59" s="1776"/>
      <c r="K59" s="2363"/>
      <c r="L59" s="1774"/>
      <c r="M59" s="1774"/>
      <c r="N59" s="1774"/>
      <c r="O59" s="1774"/>
    </row>
    <row r="60" spans="1:17" s="1101" customFormat="1" ht="15" thickBot="1">
      <c r="A60" s="1102" t="s">
        <v>500</v>
      </c>
      <c r="B60" s="594" t="e">
        <f t="shared" si="17"/>
        <v>#DIV/0!</v>
      </c>
      <c r="C60" s="532">
        <f t="shared" si="16"/>
        <v>0</v>
      </c>
      <c r="D60" s="2395">
        <v>0.25</v>
      </c>
      <c r="E60" s="593">
        <f>'数据-汇总表'!E15</f>
        <v>0</v>
      </c>
      <c r="F60" s="1100" t="e">
        <f t="shared" si="15"/>
        <v>#DIV/0!</v>
      </c>
      <c r="G60" s="2200" t="s">
        <v>2310</v>
      </c>
      <c r="H60" s="2201">
        <f>项目基本情况!C37</f>
        <v>0</v>
      </c>
      <c r="I60" s="1775">
        <f>SUMIF(修正!A45:A56,H60,修正!H45:H56)</f>
        <v>0</v>
      </c>
      <c r="J60" s="1776"/>
      <c r="K60" s="2362"/>
      <c r="L60" s="1774"/>
      <c r="M60" s="1774"/>
      <c r="N60" s="1774"/>
      <c r="O60" s="1774"/>
    </row>
    <row r="61" spans="1:17" s="1101" customFormat="1" ht="15" thickBot="1">
      <c r="A61" s="1104" t="s">
        <v>501</v>
      </c>
      <c r="B61" s="1105" t="s">
        <v>153</v>
      </c>
      <c r="C61" s="1105" t="s">
        <v>154</v>
      </c>
      <c r="D61" s="1105" t="s">
        <v>2316</v>
      </c>
      <c r="E61" s="1105">
        <f>IF(B41="楼面地价",SUM(E51:E60),'数据-汇总表'!D3)</f>
        <v>7774.02</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2017-10-1</v>
      </c>
      <c r="D63" s="1309">
        <f>EDATE(C63,-3)</f>
        <v>42917</v>
      </c>
      <c r="E63" s="1309">
        <f>EDATE(D63,-3)</f>
        <v>42826</v>
      </c>
      <c r="F63" s="1309">
        <f t="shared" ref="F63:O63" si="18">EDATE(E63,-3)</f>
        <v>42736</v>
      </c>
      <c r="G63" s="1309">
        <f t="shared" si="18"/>
        <v>42644</v>
      </c>
      <c r="H63" s="1309">
        <f t="shared" si="18"/>
        <v>42552</v>
      </c>
      <c r="I63" s="1309">
        <f t="shared" si="18"/>
        <v>42461</v>
      </c>
      <c r="J63" s="1309">
        <f t="shared" si="18"/>
        <v>42370</v>
      </c>
      <c r="K63" s="1309">
        <f t="shared" si="18"/>
        <v>42278</v>
      </c>
      <c r="L63" s="1309">
        <f t="shared" si="18"/>
        <v>42186</v>
      </c>
      <c r="M63" s="1309">
        <f t="shared" si="18"/>
        <v>42095</v>
      </c>
      <c r="N63" s="1309">
        <f t="shared" si="18"/>
        <v>42005</v>
      </c>
      <c r="O63" s="1309">
        <f t="shared" si="18"/>
        <v>41913</v>
      </c>
    </row>
    <row r="64" spans="1:17" ht="21.75" thickBot="1">
      <c r="A64" s="1311" t="s">
        <v>412</v>
      </c>
      <c r="B64" s="1307"/>
      <c r="C64" s="1312"/>
      <c r="D64" s="1312"/>
      <c r="E64" s="1312"/>
      <c r="F64" s="1313"/>
      <c r="G64" s="1313"/>
      <c r="H64" s="1312"/>
      <c r="I64" s="1312"/>
      <c r="J64" s="1312"/>
      <c r="K64" s="1314"/>
      <c r="L64" s="1315"/>
      <c r="M64" s="1312"/>
      <c r="N64" s="1312"/>
      <c r="O64" s="2378"/>
      <c r="P64" s="846"/>
      <c r="Q64" s="847"/>
    </row>
    <row r="65" spans="1:17" s="851" customFormat="1" ht="15">
      <c r="A65" s="2706" t="s">
        <v>2780</v>
      </c>
      <c r="B65" s="2707"/>
      <c r="C65" s="3037" t="str">
        <f>YEAR(C63)&amp;"-"&amp;ROUNDUP(MONTH(C63)/3,0)</f>
        <v>2017-4</v>
      </c>
      <c r="D65" s="3037" t="str">
        <f t="shared" ref="D65:O65" si="19">YEAR(D63)&amp;"-"&amp;ROUNDUP(MONTH(D63)/3,0)</f>
        <v>2017-3</v>
      </c>
      <c r="E65" s="3037" t="str">
        <f t="shared" si="19"/>
        <v>2017-2</v>
      </c>
      <c r="F65" s="3037" t="str">
        <f t="shared" si="19"/>
        <v>2017-1</v>
      </c>
      <c r="G65" s="3037" t="str">
        <f t="shared" si="19"/>
        <v>2016-4</v>
      </c>
      <c r="H65" s="3037" t="str">
        <f t="shared" si="19"/>
        <v>2016-3</v>
      </c>
      <c r="I65" s="3037" t="str">
        <f t="shared" si="19"/>
        <v>2016-2</v>
      </c>
      <c r="J65" s="3037" t="str">
        <f t="shared" si="19"/>
        <v>2016-1</v>
      </c>
      <c r="K65" s="3037" t="str">
        <f t="shared" si="19"/>
        <v>2015-4</v>
      </c>
      <c r="L65" s="3037" t="str">
        <f t="shared" si="19"/>
        <v>2015-3</v>
      </c>
      <c r="M65" s="3037" t="str">
        <f t="shared" si="19"/>
        <v>2015-2</v>
      </c>
      <c r="N65" s="3037" t="str">
        <f t="shared" si="19"/>
        <v>2015-1</v>
      </c>
      <c r="O65" s="3037" t="str">
        <f t="shared" si="19"/>
        <v>2014-4</v>
      </c>
      <c r="P65" s="850"/>
    </row>
    <row r="66" spans="1:17" s="407" customFormat="1" ht="30.75" customHeight="1">
      <c r="A66" s="3033" t="s">
        <v>2779</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415</v>
      </c>
      <c r="B70" s="871" t="s">
        <v>416</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401</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89</v>
      </c>
      <c r="C85" s="921" t="s">
        <v>422</v>
      </c>
      <c r="D85" s="921" t="s">
        <v>423</v>
      </c>
      <c r="E85" s="921" t="s">
        <v>424</v>
      </c>
      <c r="F85" s="921" t="s">
        <v>425</v>
      </c>
      <c r="G85" s="921" t="s">
        <v>426</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106</v>
      </c>
      <c r="C87" s="916" t="s">
        <v>422</v>
      </c>
      <c r="D87" s="916" t="s">
        <v>423</v>
      </c>
      <c r="E87" s="916" t="s">
        <v>424</v>
      </c>
      <c r="F87" s="916" t="s">
        <v>425</v>
      </c>
      <c r="G87" s="916" t="s">
        <v>426</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151</v>
      </c>
      <c r="C89" s="916" t="s">
        <v>422</v>
      </c>
      <c r="D89" s="916" t="s">
        <v>423</v>
      </c>
      <c r="E89" s="916" t="s">
        <v>424</v>
      </c>
      <c r="F89" s="916" t="s">
        <v>425</v>
      </c>
      <c r="G89" s="916" t="s">
        <v>426</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2657</v>
      </c>
      <c r="C91" s="916" t="s">
        <v>422</v>
      </c>
      <c r="D91" s="916" t="s">
        <v>423</v>
      </c>
      <c r="E91" s="916" t="s">
        <v>424</v>
      </c>
      <c r="F91" s="916" t="s">
        <v>425</v>
      </c>
      <c r="G91" s="916" t="s">
        <v>426</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141</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150</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83</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2492</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82</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2493</v>
      </c>
      <c r="D1" s="1739">
        <f>SUM(D29:D30,D33:D39)</f>
        <v>0</v>
      </c>
      <c r="E1" s="1624"/>
      <c r="F1" s="1624"/>
      <c r="G1" s="1624"/>
      <c r="H1" s="1624"/>
      <c r="I1" s="1624"/>
      <c r="J1" s="1624"/>
      <c r="K1" s="2382"/>
      <c r="L1" s="1885" t="s">
        <v>1223</v>
      </c>
      <c r="M1" s="2137">
        <f>SUMPRODUCT((区片价!B5:B9=I2)*(区片价!C3:F3=E2)*(区片价!C5:F9))</f>
        <v>0</v>
      </c>
      <c r="N1" s="2140">
        <f>SUMPRODUCT((因素修正幅度!B5:B9=I2)*(因素修正幅度!C3:F3=E2)*(因素修正幅度!C5:F9))</f>
        <v>0</v>
      </c>
      <c r="O1" s="2386"/>
      <c r="P1" s="2386"/>
      <c r="Q1" s="2382"/>
      <c r="R1" s="3072" t="s">
        <v>2878</v>
      </c>
      <c r="S1" s="3072" t="s">
        <v>2879</v>
      </c>
      <c r="T1" s="3072" t="s">
        <v>2880</v>
      </c>
      <c r="U1" s="3072" t="s">
        <v>2881</v>
      </c>
      <c r="V1" s="3072" t="s">
        <v>2882</v>
      </c>
      <c r="W1" s="3073"/>
      <c r="X1" s="3073"/>
      <c r="Y1" s="3073"/>
      <c r="Z1" s="3073"/>
      <c r="AA1" s="3073"/>
      <c r="AB1" s="3073"/>
      <c r="AC1" s="3074"/>
      <c r="AD1" s="3075"/>
      <c r="AE1" s="3075"/>
      <c r="AF1" s="3075"/>
      <c r="AG1" s="3075"/>
      <c r="AH1" s="3075"/>
      <c r="AI1" s="3075"/>
      <c r="AJ1" s="3076"/>
    </row>
    <row r="2" spans="1:36" ht="15.75">
      <c r="A2" s="86" t="s">
        <v>1792</v>
      </c>
      <c r="B2" s="580" t="e">
        <f>C26</f>
        <v>#DIV/0!</v>
      </c>
      <c r="C2" s="1472" t="s">
        <v>1133</v>
      </c>
      <c r="D2" s="1629" t="s">
        <v>1793</v>
      </c>
      <c r="E2" s="1783"/>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6" t="s">
        <v>1280</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1796</v>
      </c>
      <c r="B3" s="580" t="e">
        <f>ROUND(B2*10000/D1,0)</f>
        <v>#DIV/0!</v>
      </c>
      <c r="C3" s="1472" t="s">
        <v>1797</v>
      </c>
      <c r="D3" s="1629" t="s">
        <v>1136</v>
      </c>
      <c r="E3" s="1784"/>
      <c r="F3" s="1785" t="s">
        <v>3012</v>
      </c>
      <c r="G3" s="1631">
        <f>IF(F3="宗地容积率",'数据-汇总表'!I4,IF(F3="估价对象容积率",'数据-汇总表'!I6,'数据-汇总表'!I7))</f>
        <v>4.87</v>
      </c>
      <c r="H3" s="1632" t="s">
        <v>1137</v>
      </c>
      <c r="I3" s="1786"/>
      <c r="J3" s="1630" t="s">
        <v>1138</v>
      </c>
      <c r="K3" s="2382"/>
      <c r="L3" s="1886" t="s">
        <v>1453</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36"/>
      <c r="B4" s="3737"/>
      <c r="C4" s="3737"/>
      <c r="D4" s="3738"/>
      <c r="E4" s="3738"/>
      <c r="F4" s="3738"/>
      <c r="G4" s="3738"/>
      <c r="H4" s="3738"/>
      <c r="I4" s="3738"/>
      <c r="J4" s="3739"/>
      <c r="K4" s="2382"/>
      <c r="L4" s="1886" t="s">
        <v>1134</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1934</v>
      </c>
      <c r="B5" s="1633" t="s">
        <v>1798</v>
      </c>
      <c r="C5" s="1634" t="e">
        <f>ROUND(IF(E2="商业",IF(F16="增加",C6*C7+C16,C6*C7-C16),IF(E2="住宅",IF(F16="增加",C6*C12+C16,C6*C12-C16),IF(F16="增加",C6+C16,C6-C16))),0)</f>
        <v>#DIV/0!</v>
      </c>
      <c r="D5" s="3344">
        <f>ROUND(IF(E2="商业",IF(F16="增加",C6+C16,C6-C16)),0)</f>
        <v>0</v>
      </c>
      <c r="E5" s="1635"/>
      <c r="F5" s="1635"/>
      <c r="G5" s="1636"/>
      <c r="H5" s="1636"/>
      <c r="I5" s="1636"/>
      <c r="J5" s="1637"/>
      <c r="K5" s="2387"/>
      <c r="L5" s="1886" t="s">
        <v>1534</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1941</v>
      </c>
      <c r="B6" s="1640" t="s">
        <v>1798</v>
      </c>
      <c r="C6" s="1641">
        <f>SUMIF(L1:L12,G2,M1:M12)</f>
        <v>0</v>
      </c>
      <c r="D6" s="1642" t="s">
        <v>1799</v>
      </c>
      <c r="E6" s="1643"/>
      <c r="F6" s="1643"/>
      <c r="G6" s="1644"/>
      <c r="H6" s="1644"/>
      <c r="I6" s="1644"/>
      <c r="J6" s="1645"/>
      <c r="K6" s="2388"/>
      <c r="L6" s="1886" t="s">
        <v>200</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20" t="str">
        <f>IF(E2="商业",IF(C8="不临58条商业街","",2),"")</f>
        <v/>
      </c>
      <c r="B7" s="1646" t="s">
        <v>1800</v>
      </c>
      <c r="C7" s="1647" t="e">
        <f>IF(C8="不临58条商业街",1,ROUND(1+(1.6*E8+1.2*E9+0.8*E10+0.4*E11)*C9,4))</f>
        <v>#DIV/0!</v>
      </c>
      <c r="D7" s="1648" t="s">
        <v>1801</v>
      </c>
      <c r="E7" s="1787"/>
      <c r="F7" s="1649"/>
      <c r="G7" s="1650"/>
      <c r="H7" s="1650"/>
      <c r="I7" s="1650"/>
      <c r="J7" s="1651"/>
      <c r="K7" s="2388"/>
      <c r="L7" s="1886" t="s">
        <v>1537</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2883</v>
      </c>
      <c r="X7" s="3083">
        <f>G2</f>
        <v>0</v>
      </c>
      <c r="Y7" s="3083" t="s">
        <v>2884</v>
      </c>
      <c r="Z7" s="3084">
        <f>G3</f>
        <v>4.87</v>
      </c>
      <c r="AA7" s="3085"/>
      <c r="AB7" s="3085"/>
      <c r="AC7" s="3086"/>
      <c r="AD7" s="3087"/>
      <c r="AE7" s="3087"/>
      <c r="AF7" s="3087"/>
      <c r="AG7" s="3087"/>
      <c r="AH7" s="3087"/>
      <c r="AI7" s="3087"/>
      <c r="AJ7" s="3088"/>
    </row>
    <row r="8" spans="1:36" ht="15">
      <c r="A8" s="3721"/>
      <c r="B8" s="1632" t="s">
        <v>1802</v>
      </c>
      <c r="C8" s="1788"/>
      <c r="D8" s="1652" t="s">
        <v>1139</v>
      </c>
      <c r="E8" s="1653" t="e">
        <f>ROUND(C11/E7,4)</f>
        <v>#DIV/0!</v>
      </c>
      <c r="F8" s="1654" t="s">
        <v>1803</v>
      </c>
      <c r="G8" s="1655"/>
      <c r="H8" s="1655"/>
      <c r="I8" s="1655"/>
      <c r="J8" s="1656"/>
      <c r="K8" s="2382"/>
      <c r="L8" s="1886" t="s">
        <v>1539</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33" t="s">
        <v>2885</v>
      </c>
      <c r="X8" s="3734"/>
      <c r="Y8" s="3089" t="s">
        <v>162</v>
      </c>
      <c r="Z8" s="3089" t="s">
        <v>163</v>
      </c>
      <c r="AA8" s="3089" t="s">
        <v>158</v>
      </c>
      <c r="AB8" s="3089" t="s">
        <v>159</v>
      </c>
      <c r="AC8" s="3089" t="s">
        <v>160</v>
      </c>
      <c r="AD8" s="3089" t="s">
        <v>161</v>
      </c>
      <c r="AE8" s="3089" t="s">
        <v>1174</v>
      </c>
      <c r="AF8" s="3089" t="s">
        <v>1175</v>
      </c>
      <c r="AG8" s="3089" t="s">
        <v>1176</v>
      </c>
      <c r="AH8" s="3089" t="s">
        <v>1177</v>
      </c>
      <c r="AI8" s="3089" t="s">
        <v>1178</v>
      </c>
      <c r="AJ8" s="3089" t="s">
        <v>1179</v>
      </c>
    </row>
    <row r="9" spans="1:36" ht="15">
      <c r="A9" s="3721"/>
      <c r="B9" s="1632" t="s">
        <v>1804</v>
      </c>
      <c r="C9" s="1657">
        <f>SUMIF(修正!C59:C119,C8,修正!E59:E119)</f>
        <v>0</v>
      </c>
      <c r="D9" s="532" t="s">
        <v>1140</v>
      </c>
      <c r="E9" s="532" t="e">
        <f>ROUND(C11/E7,4)</f>
        <v>#DIV/0!</v>
      </c>
      <c r="F9" s="1654" t="s">
        <v>1805</v>
      </c>
      <c r="G9" s="1655"/>
      <c r="H9" s="1655"/>
      <c r="I9" s="1655"/>
      <c r="J9" s="1656"/>
      <c r="K9" s="2382"/>
      <c r="L9" s="1886" t="s">
        <v>1541</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35" t="s">
        <v>2886</v>
      </c>
      <c r="X9" s="3090" t="s">
        <v>1761</v>
      </c>
      <c r="Y9" s="3311"/>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21"/>
      <c r="B10" s="1632" t="s">
        <v>1806</v>
      </c>
      <c r="C10" s="532">
        <f>SUMIF(修正!C59:C119,C8,修正!F59:F119)</f>
        <v>0</v>
      </c>
      <c r="D10" s="532" t="s">
        <v>1141</v>
      </c>
      <c r="E10" s="532" t="e">
        <f>ROUND(C11/E7,4)</f>
        <v>#DIV/0!</v>
      </c>
      <c r="F10" s="1654" t="s">
        <v>1807</v>
      </c>
      <c r="G10" s="1655"/>
      <c r="H10" s="1655"/>
      <c r="I10" s="1655"/>
      <c r="J10" s="1656"/>
      <c r="K10" s="2382"/>
      <c r="L10" s="1886" t="s">
        <v>1545</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35"/>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21"/>
      <c r="B11" s="1658" t="s">
        <v>1808</v>
      </c>
      <c r="C11" s="1659">
        <f>C10/4</f>
        <v>0</v>
      </c>
      <c r="D11" s="1659" t="s">
        <v>1142</v>
      </c>
      <c r="E11" s="1659" t="e">
        <f>ROUND(C11/E7,4)</f>
        <v>#DIV/0!</v>
      </c>
      <c r="F11" s="1660" t="s">
        <v>1809</v>
      </c>
      <c r="G11" s="1661"/>
      <c r="H11" s="1661"/>
      <c r="I11" s="1661"/>
      <c r="J11" s="1662"/>
      <c r="K11" s="2382"/>
      <c r="L11" s="1886" t="s">
        <v>1944</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35" t="s">
        <v>2887</v>
      </c>
      <c r="X11" s="3093" t="s">
        <v>2884</v>
      </c>
      <c r="Y11" s="3094">
        <f>$G$3</f>
        <v>4.87</v>
      </c>
      <c r="Z11" s="3094">
        <f t="shared" ref="Z11:AJ11" si="3">$G$3</f>
        <v>4.87</v>
      </c>
      <c r="AA11" s="3094">
        <f t="shared" si="3"/>
        <v>4.87</v>
      </c>
      <c r="AB11" s="3094">
        <f t="shared" si="3"/>
        <v>4.87</v>
      </c>
      <c r="AC11" s="3094">
        <f t="shared" si="3"/>
        <v>4.87</v>
      </c>
      <c r="AD11" s="3094">
        <f t="shared" si="3"/>
        <v>4.87</v>
      </c>
      <c r="AE11" s="3094">
        <f t="shared" si="3"/>
        <v>4.87</v>
      </c>
      <c r="AF11" s="3094">
        <f t="shared" si="3"/>
        <v>4.87</v>
      </c>
      <c r="AG11" s="3094">
        <f t="shared" si="3"/>
        <v>4.87</v>
      </c>
      <c r="AH11" s="3094">
        <f t="shared" si="3"/>
        <v>4.87</v>
      </c>
      <c r="AI11" s="3094">
        <f t="shared" si="3"/>
        <v>4.87</v>
      </c>
      <c r="AJ11" s="3094">
        <f t="shared" si="3"/>
        <v>4.87</v>
      </c>
    </row>
    <row r="12" spans="1:36" ht="26.25" thickBot="1">
      <c r="A12" s="3720" t="s">
        <v>1942</v>
      </c>
      <c r="B12" s="1663" t="s">
        <v>1810</v>
      </c>
      <c r="C12" s="1647">
        <f>ROUND(C15*D15*E15*F15*G15*H15*I15*J15,4)</f>
        <v>1</v>
      </c>
      <c r="D12" s="1664" t="s">
        <v>1811</v>
      </c>
      <c r="E12" s="1665"/>
      <c r="F12" s="1665"/>
      <c r="G12" s="1666"/>
      <c r="H12" s="1666"/>
      <c r="I12" s="1666"/>
      <c r="J12" s="1667"/>
      <c r="K12" s="2382"/>
      <c r="L12" s="1887" t="s">
        <v>1945</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35"/>
      <c r="X12" s="3095" t="s">
        <v>1764</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40"/>
      <c r="B13" s="1668" t="s">
        <v>1812</v>
      </c>
      <c r="C13" s="1669" t="s">
        <v>1813</v>
      </c>
      <c r="D13" s="1670" t="s">
        <v>1814</v>
      </c>
      <c r="E13" s="1670" t="s">
        <v>1815</v>
      </c>
      <c r="F13" s="81" t="s">
        <v>1143</v>
      </c>
      <c r="G13" s="1789" t="s">
        <v>1866</v>
      </c>
      <c r="H13" s="1789" t="s">
        <v>1866</v>
      </c>
      <c r="I13" s="1789" t="s">
        <v>1866</v>
      </c>
      <c r="J13" s="1790" t="s">
        <v>1866</v>
      </c>
      <c r="K13" s="2382"/>
      <c r="L13" s="2382"/>
      <c r="M13" s="2382"/>
      <c r="N13" s="2382"/>
      <c r="O13" s="2382"/>
      <c r="P13" s="2382"/>
      <c r="Q13" s="2382"/>
      <c r="R13" s="3077">
        <v>12</v>
      </c>
      <c r="S13" s="3078"/>
      <c r="T13" s="3077" t="e">
        <f t="shared" si="0"/>
        <v>#DIV/0!</v>
      </c>
      <c r="U13" s="3078"/>
      <c r="V13" s="3077" t="e">
        <f t="shared" si="1"/>
        <v>#DIV/0!</v>
      </c>
      <c r="W13" s="3735"/>
      <c r="X13" s="3095"/>
      <c r="Y13" s="3092">
        <f>(-0.163*(Y12^2)-0.59*Y12+7617)*(10^(-4))/Y11</f>
        <v>0.15640657084188911</v>
      </c>
      <c r="Z13" s="3092">
        <f t="shared" ref="Z13:AJ13" si="5">(-0.163*(Z12^2)-0.59*Z12+7617)*(10^(-4))/Z11</f>
        <v>0.15640657084188911</v>
      </c>
      <c r="AA13" s="3092">
        <f t="shared" si="5"/>
        <v>0.15640657084188911</v>
      </c>
      <c r="AB13" s="3092">
        <f t="shared" si="5"/>
        <v>0.15640657084188911</v>
      </c>
      <c r="AC13" s="3092">
        <f t="shared" si="5"/>
        <v>0.15640657084188911</v>
      </c>
      <c r="AD13" s="3092">
        <f t="shared" si="5"/>
        <v>0.15640657084188911</v>
      </c>
      <c r="AE13" s="3092">
        <f t="shared" si="5"/>
        <v>0.15640657084188911</v>
      </c>
      <c r="AF13" s="3092">
        <f t="shared" si="5"/>
        <v>0.15640657084188911</v>
      </c>
      <c r="AG13" s="3092">
        <f t="shared" si="5"/>
        <v>0.15640657084188911</v>
      </c>
      <c r="AH13" s="3092">
        <f t="shared" si="5"/>
        <v>0.15640657084188911</v>
      </c>
      <c r="AI13" s="3092">
        <f t="shared" si="5"/>
        <v>0.15640657084188911</v>
      </c>
      <c r="AJ13" s="3092">
        <f t="shared" si="5"/>
        <v>0.15640657084188911</v>
      </c>
    </row>
    <row r="14" spans="1:36" ht="15">
      <c r="A14" s="3740"/>
      <c r="B14" s="1671"/>
      <c r="C14" s="1791"/>
      <c r="D14" s="1488"/>
      <c r="E14" s="1488"/>
      <c r="F14" s="1792"/>
      <c r="G14" s="1672" t="s">
        <v>1843</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41"/>
      <c r="B15" s="1676" t="s">
        <v>1816</v>
      </c>
      <c r="C15" s="561">
        <f>IF(C14="有",1.1,1)</f>
        <v>1</v>
      </c>
      <c r="D15" s="561">
        <f>IF(D14="有",1.1,1)</f>
        <v>1</v>
      </c>
      <c r="E15" s="561">
        <f>IF(E14="有",1.1,1)</f>
        <v>1</v>
      </c>
      <c r="F15" s="561">
        <f>IF(F14="500米范围内",1.2,IF(F14="500-1000米",1.1,1))</f>
        <v>1</v>
      </c>
      <c r="G15" s="1793">
        <v>1</v>
      </c>
      <c r="H15" s="1793">
        <v>1</v>
      </c>
      <c r="I15" s="1793">
        <v>1</v>
      </c>
      <c r="J15" s="1794">
        <v>1</v>
      </c>
      <c r="K15" s="2382"/>
      <c r="L15" s="1707" t="s">
        <v>1832</v>
      </c>
      <c r="M15" s="1708" t="s">
        <v>1833</v>
      </c>
      <c r="N15" s="1708" t="s">
        <v>1834</v>
      </c>
      <c r="O15" s="1708" t="s">
        <v>974</v>
      </c>
      <c r="P15" s="1709" t="s">
        <v>1835</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20" t="s">
        <v>1943</v>
      </c>
      <c r="B16" s="1646" t="s">
        <v>1817</v>
      </c>
      <c r="C16" s="1779" t="e">
        <f>ROUND(SUM(G17:J17)/C17,0)</f>
        <v>#DIV/0!</v>
      </c>
      <c r="D16" s="1677" t="s">
        <v>1818</v>
      </c>
      <c r="E16" s="1795"/>
      <c r="F16" s="1796"/>
      <c r="G16" s="1797"/>
      <c r="H16" s="1797"/>
      <c r="I16" s="1797"/>
      <c r="J16" s="1798"/>
      <c r="K16" s="2382"/>
      <c r="L16" s="1713" t="s">
        <v>1837</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21"/>
      <c r="B17" s="1678" t="s">
        <v>1819</v>
      </c>
      <c r="C17" s="1679">
        <f>SUMPRODUCT((修正!A2:A5=E2)*(修正!B1:M1=G2)*(修正!B2:M5))</f>
        <v>0</v>
      </c>
      <c r="D17" s="1680" t="s">
        <v>1820</v>
      </c>
      <c r="E17" s="1750" t="str">
        <f>IF(OR(G2="八级",G2="九级",G2="十级",G2="十一级",G2="十二级"),"五通一平","七通一平")</f>
        <v>七通一平</v>
      </c>
      <c r="F17" s="1681" t="s">
        <v>1821</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1935</v>
      </c>
      <c r="B18" s="1683" t="s">
        <v>1822</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1936</v>
      </c>
      <c r="B19" s="1683" t="s">
        <v>1823</v>
      </c>
      <c r="C19" s="1692" t="e">
        <f>ROUND(IF(H19="按公示增长率计算",SUMPRODUCT((地价!A3:A19=YEAR(G19)&amp;"-"&amp;ROUNDUP(MONTH(G19)/3,0))*(地价!X2:AB2=E2)*(地价!X3:AB19)),IF(H19="地价指数",M20/M19,(1+I19)^O19)),4)</f>
        <v>#DIV/0!</v>
      </c>
      <c r="D19" s="1693" t="s">
        <v>1144</v>
      </c>
      <c r="E19" s="1694">
        <v>41640</v>
      </c>
      <c r="F19" s="1693" t="s">
        <v>1145</v>
      </c>
      <c r="G19" s="1695">
        <f>'数据-取费表'!B2</f>
        <v>43026</v>
      </c>
      <c r="H19" s="3019" t="s">
        <v>2946</v>
      </c>
      <c r="I19" s="1696" t="str">
        <f>IF(H19="季度增幅（自定义）",SUMIF(N21:N24,E2,O21:O24),"")</f>
        <v/>
      </c>
      <c r="J19" s="1689"/>
      <c r="K19" s="2389"/>
      <c r="L19" s="3244" t="s">
        <v>2944</v>
      </c>
      <c r="M19" s="3246">
        <f>ROUND(SUMIF(地价!B2:F2,E2,地价!B19:F19),0)</f>
        <v>0</v>
      </c>
      <c r="N19" s="3242" t="s">
        <v>1868</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1937</v>
      </c>
      <c r="B20" s="1752" t="s">
        <v>1824</v>
      </c>
      <c r="C20" s="1699" t="e">
        <f>ROUND(POWER(1+G20,J20-I20)*(POWER(1+G20,I20)-1)/(POWER(1+G20,J20)-1),4)</f>
        <v>#DIV/0!</v>
      </c>
      <c r="D20" s="1753" t="s">
        <v>1825</v>
      </c>
      <c r="E20" s="3299">
        <f ca="1">存贷款利率!D4/100</f>
        <v>4.3499999999999997E-2</v>
      </c>
      <c r="F20" s="1753" t="s">
        <v>1826</v>
      </c>
      <c r="G20" s="1754">
        <f>SUMIF(M15:P15,E2,M17:P17)</f>
        <v>0</v>
      </c>
      <c r="H20" s="1753" t="s">
        <v>1827</v>
      </c>
      <c r="I20" s="1755" t="e">
        <f>SUMIF('数据-取费表'!C6:C15,E2,'数据-取费表'!F6:F15)/COUNTIF('数据-取费表'!C6:C15,E2)</f>
        <v>#DIV/0!</v>
      </c>
      <c r="J20" s="1756">
        <f>IF(E2="住宅",70,IF(E2="商业",40,50))</f>
        <v>50</v>
      </c>
      <c r="K20" s="2389"/>
      <c r="L20" s="3245" t="s">
        <v>2945</v>
      </c>
      <c r="M20" s="3247">
        <f>ROUND(SUMPRODUCT((地价!A4:A19=YEAR(G19)&amp;"-"&amp;ROUNDUP(MONTH(G19)/3,0))*(地价!B2:F2=E2)*(地价!B4:F19)),0)</f>
        <v>0</v>
      </c>
      <c r="N20" s="3243" t="s">
        <v>2774</v>
      </c>
      <c r="O20" s="3020" t="s">
        <v>2775</v>
      </c>
      <c r="P20" s="3021" t="s">
        <v>2784</v>
      </c>
      <c r="R20" s="2739"/>
      <c r="S20" s="2739"/>
      <c r="T20" s="2734"/>
      <c r="U20" s="2734"/>
      <c r="V20" s="2734"/>
      <c r="W20" s="2733"/>
      <c r="X20" s="2733"/>
      <c r="Y20" s="2733"/>
      <c r="Z20" s="2740"/>
      <c r="AA20" s="2741"/>
      <c r="AB20" s="2741"/>
      <c r="AC20" s="2741"/>
      <c r="AD20" s="2741"/>
      <c r="AE20" s="1690"/>
      <c r="AF20" s="1690"/>
    </row>
    <row r="21" spans="1:37" s="1639" customFormat="1" ht="14.25">
      <c r="A21" s="1882" t="s">
        <v>1938</v>
      </c>
      <c r="B21" s="1799" t="s">
        <v>2487</v>
      </c>
      <c r="C21" s="1757">
        <f>IF(B21="容积率修正",IF(G3&lt;=10,D22,J22),C23)</f>
        <v>0</v>
      </c>
      <c r="D21" s="1758"/>
      <c r="E21" s="1758"/>
      <c r="F21" s="1758"/>
      <c r="G21" s="1758"/>
      <c r="H21" s="1758"/>
      <c r="I21" s="1758"/>
      <c r="J21" s="1759"/>
      <c r="K21" s="2389"/>
      <c r="N21" s="3022" t="s">
        <v>2776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1941</v>
      </c>
      <c r="B22" s="1701" t="s">
        <v>1828</v>
      </c>
      <c r="C22" s="1780" t="s">
        <v>1841</v>
      </c>
      <c r="D22" s="1780">
        <f>IF(E22=G22,F22,IF(G3&lt;=10,ROUND(F22+(H22-F22)*(G3-E22)/(G22-E22),4),"——"))</f>
        <v>0</v>
      </c>
      <c r="E22" s="1631">
        <f>ROUNDDOWN(G3,1)</f>
        <v>4.8</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4.8999999999999995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1158</v>
      </c>
      <c r="J22" s="1760" t="str">
        <f>IF(G3&gt;10,D113,"——")</f>
        <v>——</v>
      </c>
      <c r="K22" s="2389"/>
      <c r="N22" s="3022" t="s">
        <v>2777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1942</v>
      </c>
      <c r="B23" s="1872" t="s">
        <v>1829</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1939</v>
      </c>
      <c r="B24" s="1683" t="s">
        <v>1830</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1940</v>
      </c>
      <c r="B25" s="1704" t="s">
        <v>1831</v>
      </c>
      <c r="C25" s="1705"/>
      <c r="D25" s="1650"/>
      <c r="E25" s="1650"/>
      <c r="F25" s="1706"/>
      <c r="G25" s="1650"/>
      <c r="H25" s="1650"/>
      <c r="I25" s="1650"/>
      <c r="J25" s="1651"/>
      <c r="K25" s="2382"/>
      <c r="N25" s="3029" t="s">
        <v>2778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1862</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1863</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1861</v>
      </c>
      <c r="C28" s="1722" t="s">
        <v>1836</v>
      </c>
      <c r="D28" s="1722" t="s">
        <v>1852</v>
      </c>
      <c r="E28" s="1723" t="s">
        <v>1853</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1856</v>
      </c>
      <c r="C29" s="538" t="e">
        <f>ROUND(C5*C18*C19*C20*C21*C24,0)</f>
        <v>#DIV/0!</v>
      </c>
      <c r="D29" s="1748"/>
      <c r="E29" s="1782" t="e">
        <f>ROUND(C29*D29/10000,0)</f>
        <v>#DIV/0!</v>
      </c>
      <c r="F29" s="1726" t="s">
        <v>1838</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1857</v>
      </c>
      <c r="C30" s="561" t="e">
        <f>ROUND(IF(E2="工业",C29*M39,C29*M38),0)</f>
        <v>#DIV/0!</v>
      </c>
      <c r="D30" s="1749"/>
      <c r="E30" s="1782" t="e">
        <f>ROUND(C30*D30/10000,0)</f>
        <v>#DIV/0!</v>
      </c>
      <c r="F30" s="1731" t="s">
        <v>1854</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1858</v>
      </c>
      <c r="C31" s="1736" t="s">
        <v>1859</v>
      </c>
      <c r="D31" s="1666"/>
      <c r="E31" s="1736"/>
      <c r="F31" s="1736"/>
      <c r="G31" s="1664" t="s">
        <v>1860</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1836</v>
      </c>
      <c r="D32" s="168" t="s">
        <v>1852</v>
      </c>
      <c r="E32" s="168" t="s">
        <v>1853</v>
      </c>
      <c r="F32" s="1739" t="s">
        <v>1840</v>
      </c>
      <c r="G32" s="1700" t="s">
        <v>1836</v>
      </c>
      <c r="H32" s="1700" t="s">
        <v>1852</v>
      </c>
      <c r="I32" s="1700" t="s">
        <v>1853</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30" t="s">
        <v>3052</v>
      </c>
      <c r="B33" s="1742" t="s">
        <v>1160</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31"/>
      <c r="B34" s="1669" t="s">
        <v>1161</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31"/>
      <c r="B35" s="1669" t="s">
        <v>1162</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32"/>
      <c r="B36" s="1669" t="s">
        <v>1163</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1164</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1855</v>
      </c>
      <c r="M37" s="2391"/>
      <c r="N37" s="2382"/>
      <c r="O37" s="2382"/>
      <c r="P37" s="2382"/>
      <c r="Q37" s="2382"/>
      <c r="R37" s="2382"/>
      <c r="S37" s="2382"/>
      <c r="T37" s="2382"/>
      <c r="U37" s="2382"/>
      <c r="V37" s="2382"/>
      <c r="W37" s="2382"/>
      <c r="X37" s="2382"/>
      <c r="Y37" s="2382"/>
      <c r="Z37" s="2383"/>
    </row>
    <row r="38" spans="1:37" ht="12.75">
      <c r="A38" s="1741"/>
      <c r="B38" s="1669" t="s">
        <v>1165</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1839</v>
      </c>
      <c r="M38" s="1764">
        <v>0.25</v>
      </c>
      <c r="N38" s="2382"/>
      <c r="O38" s="2382"/>
      <c r="P38" s="2382"/>
      <c r="Q38" s="2382"/>
      <c r="R38" s="2382"/>
      <c r="S38" s="2382"/>
      <c r="T38" s="2382"/>
      <c r="U38" s="2382"/>
      <c r="V38" s="2382"/>
      <c r="W38" s="2382"/>
      <c r="X38" s="2382"/>
      <c r="Y38" s="2382"/>
      <c r="Z38" s="2383"/>
    </row>
    <row r="39" spans="1:37" ht="13.5" thickBot="1">
      <c r="A39" s="1729"/>
      <c r="B39" s="1744" t="s">
        <v>1166</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1835</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2485</v>
      </c>
      <c r="G47" s="1501" t="s">
        <v>1847</v>
      </c>
      <c r="H47" s="2605" t="s">
        <v>2486</v>
      </c>
      <c r="I47" s="1501" t="s">
        <v>1850</v>
      </c>
      <c r="J47" s="946" t="s">
        <v>422</v>
      </c>
      <c r="K47" s="946" t="s">
        <v>423</v>
      </c>
      <c r="L47" s="946" t="s">
        <v>424</v>
      </c>
      <c r="M47" s="946" t="s">
        <v>425</v>
      </c>
      <c r="N47" s="946" t="s">
        <v>426</v>
      </c>
      <c r="AA47" s="2383"/>
      <c r="AB47" s="2383"/>
      <c r="AC47" s="2383"/>
      <c r="AD47" s="2383"/>
      <c r="AE47" s="2383"/>
      <c r="AF47" s="2383"/>
      <c r="AG47" s="2383"/>
      <c r="AH47" s="2383"/>
      <c r="AI47" s="2383"/>
      <c r="AJ47" s="2383"/>
      <c r="AK47" s="2383"/>
    </row>
    <row r="48" spans="1:37" s="2382" customFormat="1" ht="60">
      <c r="A48" s="1498" t="s">
        <v>1779</v>
      </c>
      <c r="B48" s="1503" t="str">
        <f>估价对象房地状况!C4</f>
        <v>估价对象位于西部建材城，周边商业大多为建材商业，商业氛围成熟一般，人流量一般，商业繁华度一般。</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8" t="s">
        <v>89</v>
      </c>
      <c r="B49" s="1507" t="str">
        <f>估价对象房地状况!C18</f>
        <v>估价对象周边有559路、575路等多条公交线路，临近轻轨园博园站，停车便捷程度较好，综合评价交通便捷度较好。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106</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2" t="s">
        <v>3014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城市主干道—金开大道</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1" t="s">
        <v>3013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1783</v>
      </c>
      <c r="B54" s="2599" t="str">
        <f>估价对象房地状况!C21</f>
        <v>估价对象所在区域公共配套设施齐备情况较好。</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估价对象所在区域基础设施水平达“六通”。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72.75" thickBot="1">
      <c r="A56" s="1511" t="s">
        <v>1785</v>
      </c>
      <c r="B56" s="1512" t="str">
        <f>估价对象房地状况!C20</f>
        <v>估价对象所在区域有重庆园博园，自然环境较好；所在区域有宝林博物馆、会仙阁艺术馆，人文环境较好；综合评价环境状况较好。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2283</v>
      </c>
      <c r="G58" s="1501" t="s">
        <v>1847</v>
      </c>
      <c r="H58" s="2605" t="s">
        <v>2486</v>
      </c>
      <c r="I58" s="1501" t="s">
        <v>1850</v>
      </c>
      <c r="J58" s="946" t="s">
        <v>422</v>
      </c>
      <c r="K58" s="946" t="s">
        <v>423</v>
      </c>
      <c r="L58" s="946" t="s">
        <v>424</v>
      </c>
      <c r="M58" s="946" t="s">
        <v>425</v>
      </c>
      <c r="N58" s="946" t="s">
        <v>426</v>
      </c>
      <c r="AA58" s="2383"/>
      <c r="AB58" s="2383"/>
      <c r="AC58" s="2383"/>
      <c r="AD58" s="2383"/>
      <c r="AE58" s="2383"/>
      <c r="AF58" s="2383"/>
      <c r="AG58" s="2383"/>
      <c r="AH58" s="2383"/>
      <c r="AI58" s="2383"/>
      <c r="AJ58" s="2383"/>
      <c r="AK58" s="2383"/>
    </row>
    <row r="59" spans="1:37" s="2382" customFormat="1" ht="36">
      <c r="A59" s="1498" t="s">
        <v>1090</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8" t="s">
        <v>89</v>
      </c>
      <c r="B60" s="1507" t="str">
        <f>估价对象房地状况!C18</f>
        <v>估价对象周边有559路、575路等多条公交线路，临近轻轨园博园站，停车便捷程度较好，综合评价交通便捷度较好。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106</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2" t="s">
        <v>3014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城市主干道—金开大道</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1" t="s">
        <v>3013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1783</v>
      </c>
      <c r="B65" s="2599" t="str">
        <f>估价对象房地状况!C21</f>
        <v>估价对象所在区域公共配套设施齐备情况较好。</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估价对象所在区域基础设施水平达“六通”。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72.75" thickBot="1">
      <c r="A67" s="1511" t="s">
        <v>1785</v>
      </c>
      <c r="B67" s="1516" t="str">
        <f>估价对象房地状况!C20</f>
        <v>估价对象所在区域有重庆园博园，自然环境较好；所在区域有宝林博物馆、会仙阁艺术馆，人文环境较好；综合评价环境状况较好。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974</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2283</v>
      </c>
      <c r="G69" s="1501" t="s">
        <v>1847</v>
      </c>
      <c r="H69" s="2605" t="s">
        <v>2486</v>
      </c>
      <c r="I69" s="1501" t="s">
        <v>1850</v>
      </c>
      <c r="J69" s="946" t="s">
        <v>422</v>
      </c>
      <c r="K69" s="946" t="s">
        <v>423</v>
      </c>
      <c r="L69" s="946" t="s">
        <v>424</v>
      </c>
      <c r="M69" s="946" t="s">
        <v>425</v>
      </c>
      <c r="N69" s="946" t="s">
        <v>426</v>
      </c>
      <c r="AA69" s="2383"/>
      <c r="AB69" s="2383"/>
      <c r="AC69" s="2383"/>
      <c r="AD69" s="2383"/>
      <c r="AE69" s="2383"/>
      <c r="AF69" s="2383"/>
      <c r="AG69" s="2383"/>
      <c r="AH69" s="2383"/>
      <c r="AI69" s="2383"/>
      <c r="AJ69" s="2383"/>
      <c r="AK69" s="2383"/>
    </row>
    <row r="70" spans="1:37" s="2382" customFormat="1" ht="48">
      <c r="A70" s="1498" t="s">
        <v>107</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8" t="s">
        <v>89</v>
      </c>
      <c r="B71" s="1507" t="str">
        <f>估价对象房地状况!C18</f>
        <v>估价对象周边有559路、575路等多条公交线路，临近轻轨园博园站，停车便捷程度较好，综合评价交通便捷度较好。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106</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城市主干道—金开大道</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1783</v>
      </c>
      <c r="B74" s="2599" t="str">
        <f>估价对象房地状况!C21</f>
        <v>估价对象所在区域公共配套设施齐备情况较好。</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估价对象所在区域基础设施水平达“六通”。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1" t="s">
        <v>3013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72">
      <c r="A77" s="1498" t="s">
        <v>1785</v>
      </c>
      <c r="B77" s="1503" t="str">
        <f>估价对象房地状况!C20</f>
        <v>估价对象所在区域有重庆园博园，自然环境较好；所在区域有宝林博物馆、会仙阁艺术馆，人文环境较好；综合评价环境状况较好。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0"/>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2283</v>
      </c>
      <c r="G80" s="1501" t="s">
        <v>1847</v>
      </c>
      <c r="H80" s="2605" t="s">
        <v>2486</v>
      </c>
      <c r="I80" s="1501" t="s">
        <v>1850</v>
      </c>
      <c r="J80" s="946" t="s">
        <v>422</v>
      </c>
      <c r="K80" s="946" t="s">
        <v>423</v>
      </c>
      <c r="L80" s="946" t="s">
        <v>424</v>
      </c>
      <c r="M80" s="946" t="s">
        <v>425</v>
      </c>
      <c r="N80" s="946" t="s">
        <v>426</v>
      </c>
      <c r="Z80" s="1628"/>
      <c r="AA80" s="1627"/>
      <c r="AG80" s="1626"/>
      <c r="AK80" s="1627"/>
    </row>
    <row r="81" spans="1:37" ht="36">
      <c r="A81" s="1498" t="s">
        <v>156</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89</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106</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1" t="s">
        <v>2484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22" t="s">
        <v>1757</v>
      </c>
      <c r="B90" s="3722"/>
      <c r="C90" s="3722"/>
      <c r="D90" s="3722"/>
      <c r="E90" s="3722"/>
      <c r="F90" s="3722"/>
      <c r="G90" s="3722"/>
      <c r="H90" s="3722"/>
      <c r="I90" s="3722"/>
      <c r="J90" s="3722"/>
      <c r="K90" s="2608"/>
      <c r="L90" s="2608"/>
      <c r="M90" s="2608"/>
      <c r="N90" s="2608"/>
    </row>
    <row r="91" spans="1:37">
      <c r="A91" s="3724" t="s">
        <v>65</v>
      </c>
      <c r="B91" s="3724" t="s">
        <v>1758</v>
      </c>
      <c r="C91" s="1587" t="s">
        <v>1759</v>
      </c>
      <c r="D91" s="1588"/>
      <c r="E91" s="1588"/>
      <c r="F91" s="1588"/>
      <c r="G91" s="1588"/>
      <c r="H91" s="1588"/>
      <c r="I91" s="1588"/>
      <c r="J91" s="1589"/>
      <c r="K91" s="1577"/>
      <c r="L91" s="1577"/>
      <c r="M91" s="1577"/>
      <c r="N91" s="1577"/>
    </row>
    <row r="92" spans="1:37">
      <c r="A92" s="3724"/>
      <c r="B92" s="3724"/>
      <c r="C92" s="2607" t="s">
        <v>162</v>
      </c>
      <c r="D92" s="2607" t="s">
        <v>163</v>
      </c>
      <c r="E92" s="2607" t="s">
        <v>158</v>
      </c>
      <c r="F92" s="2607" t="s">
        <v>159</v>
      </c>
      <c r="G92" s="2607" t="s">
        <v>160</v>
      </c>
      <c r="H92" s="2607" t="s">
        <v>161</v>
      </c>
      <c r="I92" s="2607" t="s">
        <v>1174</v>
      </c>
      <c r="J92" s="2607" t="s">
        <v>1175</v>
      </c>
      <c r="K92" s="2607" t="s">
        <v>1176</v>
      </c>
      <c r="L92" s="2607" t="s">
        <v>1177</v>
      </c>
      <c r="M92" s="2607" t="s">
        <v>1178</v>
      </c>
      <c r="N92" s="2607" t="s">
        <v>1179</v>
      </c>
    </row>
    <row r="93" spans="1:37">
      <c r="A93" s="3725"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6"/>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5" t="s">
        <v>1762</v>
      </c>
      <c r="B101" s="1594" t="s">
        <v>90</v>
      </c>
      <c r="C101" s="1595">
        <f>$G$3</f>
        <v>4.87</v>
      </c>
      <c r="D101" s="1595">
        <f t="shared" ref="D101:N101" si="31">$G$3</f>
        <v>4.87</v>
      </c>
      <c r="E101" s="1595">
        <f t="shared" si="31"/>
        <v>4.87</v>
      </c>
      <c r="F101" s="1595">
        <f t="shared" si="31"/>
        <v>4.87</v>
      </c>
      <c r="G101" s="1595">
        <f t="shared" si="31"/>
        <v>4.87</v>
      </c>
      <c r="H101" s="1595">
        <f t="shared" si="31"/>
        <v>4.87</v>
      </c>
      <c r="I101" s="1595">
        <f t="shared" si="31"/>
        <v>4.87</v>
      </c>
      <c r="J101" s="1595">
        <f t="shared" si="31"/>
        <v>4.87</v>
      </c>
      <c r="K101" s="1595">
        <f t="shared" si="31"/>
        <v>4.87</v>
      </c>
      <c r="L101" s="1595">
        <f t="shared" si="31"/>
        <v>4.87</v>
      </c>
      <c r="M101" s="1595">
        <f t="shared" si="31"/>
        <v>4.87</v>
      </c>
      <c r="N101" s="1595">
        <f t="shared" si="31"/>
        <v>4.87</v>
      </c>
    </row>
    <row r="102" spans="1:14">
      <c r="A102" s="3726"/>
      <c r="B102" s="1590">
        <v>1</v>
      </c>
      <c r="C102" s="1591">
        <f>1.9362/C101</f>
        <v>0.39757700205338808</v>
      </c>
      <c r="D102" s="1591">
        <f>1.9362/D101</f>
        <v>0.39757700205338808</v>
      </c>
      <c r="E102" s="1591">
        <f>1.8629/E101</f>
        <v>0.38252566735112936</v>
      </c>
      <c r="F102" s="1591">
        <f>1.8629/F101</f>
        <v>0.38252566735112936</v>
      </c>
      <c r="G102" s="1591">
        <f>1.8629/G101</f>
        <v>0.38252566735112936</v>
      </c>
      <c r="H102" s="1591">
        <f>1.8629/H101</f>
        <v>0.38252566735112936</v>
      </c>
      <c r="I102" s="1591">
        <f>1.8629/I101</f>
        <v>0.38252566735112936</v>
      </c>
      <c r="J102" s="1591">
        <f>1.942/J101</f>
        <v>0.39876796714579055</v>
      </c>
      <c r="K102" s="1591">
        <f>1.942/K101</f>
        <v>0.39876796714579055</v>
      </c>
      <c r="L102" s="1591">
        <f>1.942/L101</f>
        <v>0.39876796714579055</v>
      </c>
      <c r="M102" s="1591">
        <f>1.942/M101</f>
        <v>0.39876796714579055</v>
      </c>
      <c r="N102" s="1591">
        <f>1.942/N101</f>
        <v>0.39876796714579055</v>
      </c>
    </row>
    <row r="103" spans="1:14">
      <c r="A103" s="3726"/>
      <c r="B103" s="1590">
        <v>2</v>
      </c>
      <c r="C103" s="1591">
        <f>1.4198/C101</f>
        <v>0.29154004106776177</v>
      </c>
      <c r="D103" s="1591">
        <f>1.4198/D101</f>
        <v>0.29154004106776177</v>
      </c>
      <c r="E103" s="1591">
        <f>1.3372/E101</f>
        <v>0.27457905544147843</v>
      </c>
      <c r="F103" s="1591">
        <f>1.3372/F101</f>
        <v>0.27457905544147843</v>
      </c>
      <c r="G103" s="1591">
        <f>1.3372/G101</f>
        <v>0.27457905544147843</v>
      </c>
      <c r="H103" s="1591">
        <f>1.3372/H101</f>
        <v>0.27457905544147843</v>
      </c>
      <c r="I103" s="1591">
        <f>1.3372/I101</f>
        <v>0.27457905544147843</v>
      </c>
      <c r="J103" s="1591">
        <f>1.2799/J101</f>
        <v>0.26281314168377823</v>
      </c>
      <c r="K103" s="1591">
        <f>1.2799/K101</f>
        <v>0.26281314168377823</v>
      </c>
      <c r="L103" s="1591">
        <f>1.2799/L101</f>
        <v>0.26281314168377823</v>
      </c>
      <c r="M103" s="1591">
        <f>1.2799/M101</f>
        <v>0.26281314168377823</v>
      </c>
      <c r="N103" s="1591">
        <f>1.2799/N101</f>
        <v>0.26281314168377823</v>
      </c>
    </row>
    <row r="104" spans="1:14">
      <c r="A104" s="3726"/>
      <c r="B104" s="1590">
        <v>3</v>
      </c>
      <c r="C104" s="1591">
        <f>1.1594/C101</f>
        <v>0.23806981519507187</v>
      </c>
      <c r="D104" s="1591">
        <f>1.1594/D101</f>
        <v>0.23806981519507187</v>
      </c>
      <c r="E104" s="1591">
        <f>1.0788/E101</f>
        <v>0.22151950718685831</v>
      </c>
      <c r="F104" s="1591">
        <f>1.0788/F101</f>
        <v>0.22151950718685831</v>
      </c>
      <c r="G104" s="1591">
        <f>1.0788/G101</f>
        <v>0.22151950718685831</v>
      </c>
      <c r="H104" s="1591">
        <f>1.0788/H101</f>
        <v>0.22151950718685831</v>
      </c>
      <c r="I104" s="1591">
        <f>1.0788/I101</f>
        <v>0.22151950718685831</v>
      </c>
      <c r="J104" s="1591">
        <f>1.0072/J101</f>
        <v>0.20681724845995894</v>
      </c>
      <c r="K104" s="1591">
        <f>1.0072/K101</f>
        <v>0.20681724845995894</v>
      </c>
      <c r="L104" s="1591">
        <f>1.0072/L101</f>
        <v>0.20681724845995894</v>
      </c>
      <c r="M104" s="1591">
        <f>1.0072/M101</f>
        <v>0.20681724845995894</v>
      </c>
      <c r="N104" s="1591">
        <f>1.0072/N101</f>
        <v>0.20681724845995894</v>
      </c>
    </row>
    <row r="105" spans="1:14">
      <c r="A105" s="3726"/>
      <c r="B105" s="1590">
        <v>4</v>
      </c>
      <c r="C105" s="1591">
        <f>0.9622/C101</f>
        <v>0.1975770020533881</v>
      </c>
      <c r="D105" s="1591">
        <f>0.9622/D101</f>
        <v>0.1975770020533881</v>
      </c>
      <c r="E105" s="1591">
        <f>0.8656/E101</f>
        <v>0.17774127310061602</v>
      </c>
      <c r="F105" s="1591">
        <f>0.8656/F101</f>
        <v>0.17774127310061602</v>
      </c>
      <c r="G105" s="1591">
        <f>0.8656/G101</f>
        <v>0.17774127310061602</v>
      </c>
      <c r="H105" s="1591">
        <f>0.8656/H101</f>
        <v>0.17774127310061602</v>
      </c>
      <c r="I105" s="1591">
        <f>0.8656/I101</f>
        <v>0.17774127310061602</v>
      </c>
      <c r="J105" s="1591">
        <f>0.7525/J101</f>
        <v>0.15451745379876794</v>
      </c>
      <c r="K105" s="1591">
        <f>0.7525/K101</f>
        <v>0.15451745379876794</v>
      </c>
      <c r="L105" s="1591">
        <f>0.7525/L101</f>
        <v>0.15451745379876794</v>
      </c>
      <c r="M105" s="1591">
        <f>0.7525/M101</f>
        <v>0.15451745379876794</v>
      </c>
      <c r="N105" s="1591">
        <f>0.7525/N101</f>
        <v>0.15451745379876794</v>
      </c>
    </row>
    <row r="106" spans="1:14">
      <c r="A106" s="3726"/>
      <c r="B106" s="1590">
        <v>5</v>
      </c>
      <c r="C106" s="1591">
        <f>0.8417/C101</f>
        <v>0.17283367556468171</v>
      </c>
      <c r="D106" s="1591">
        <f>0.8417/D101</f>
        <v>0.17283367556468171</v>
      </c>
      <c r="E106" s="1591">
        <f>0.7371/E101</f>
        <v>0.15135523613963039</v>
      </c>
      <c r="F106" s="1591">
        <f>0.7371/F101</f>
        <v>0.15135523613963039</v>
      </c>
      <c r="G106" s="1591">
        <f>0.7371/G101</f>
        <v>0.15135523613963039</v>
      </c>
      <c r="H106" s="1591">
        <f>0.7371/H101</f>
        <v>0.15135523613963039</v>
      </c>
      <c r="I106" s="1591">
        <f>0.7371/I101</f>
        <v>0.15135523613963039</v>
      </c>
      <c r="J106" s="1591">
        <f>0.5659/J101</f>
        <v>0.11620123203285419</v>
      </c>
      <c r="K106" s="1591">
        <f>0.5659/K101</f>
        <v>0.11620123203285419</v>
      </c>
      <c r="L106" s="1591">
        <f>0.5659/L101</f>
        <v>0.11620123203285419</v>
      </c>
      <c r="M106" s="1591">
        <f>0.5659/M101</f>
        <v>0.11620123203285419</v>
      </c>
      <c r="N106" s="1591">
        <f>0.5659/N101</f>
        <v>0.11620123203285419</v>
      </c>
    </row>
    <row r="107" spans="1:14">
      <c r="A107" s="3726"/>
      <c r="B107" s="1590">
        <v>6</v>
      </c>
      <c r="C107" s="1591">
        <f>0.7608/C101</f>
        <v>0.15622176591375769</v>
      </c>
      <c r="D107" s="1591">
        <f>0.7608/D101</f>
        <v>0.15622176591375769</v>
      </c>
      <c r="E107" s="1591">
        <f>0.6482/E101</f>
        <v>0.13310061601642711</v>
      </c>
      <c r="F107" s="1591">
        <f>0.6482/F101</f>
        <v>0.13310061601642711</v>
      </c>
      <c r="G107" s="1591">
        <f>0.6482/G101</f>
        <v>0.13310061601642711</v>
      </c>
      <c r="H107" s="1591">
        <f>0.6482/H101</f>
        <v>0.13310061601642711</v>
      </c>
      <c r="I107" s="1591">
        <f>0.6482/I101</f>
        <v>0.13310061601642711</v>
      </c>
      <c r="J107" s="1591">
        <f>0.4525/J101</f>
        <v>9.2915811088295691E-2</v>
      </c>
      <c r="K107" s="1591">
        <f>0.4525/K101</f>
        <v>9.2915811088295691E-2</v>
      </c>
      <c r="L107" s="1591">
        <f>0.4525/L101</f>
        <v>9.2915811088295691E-2</v>
      </c>
      <c r="M107" s="1591">
        <f>0.4525/M101</f>
        <v>9.2915811088295691E-2</v>
      </c>
      <c r="N107" s="1591">
        <f>0.4525/N101</f>
        <v>9.2915811088295691E-2</v>
      </c>
    </row>
    <row r="108" spans="1:14">
      <c r="A108" s="3726"/>
      <c r="B108" s="3728"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7"/>
      <c r="B109" s="3729"/>
      <c r="C109" s="1593">
        <f>(-0.163*(C108^2)-0.59*C108+7617)*(10^(-4))/C101</f>
        <v>0.15640657084188911</v>
      </c>
      <c r="D109" s="1593">
        <f>(-0.163*(D108^2)-0.59*D108+7617)*(10^(-4))/D101</f>
        <v>0.15640657084188911</v>
      </c>
      <c r="E109" s="1593">
        <f>(-0.161*(E108^2)-7.509*E108+6533)*(10^(-4))/E101</f>
        <v>0.13414784394250512</v>
      </c>
      <c r="F109" s="1593">
        <f>(-0.161*(F108^2)-7.509*F108+6533)*(10^(-4))/F101</f>
        <v>0.13414784394250512</v>
      </c>
      <c r="G109" s="1593">
        <f>(-0.161*(G108^2)-7.509*G108+6533)*(10^(-4))/G101</f>
        <v>0.13414784394250512</v>
      </c>
      <c r="H109" s="1593">
        <f>(-0.161*(H108^2)-7.509*H108+6533)*(10^(-4))/H101</f>
        <v>0.13414784394250512</v>
      </c>
      <c r="I109" s="1593">
        <f>(-0.161*(I108^2)-7.509*I108+6533)*(10^(-4))/I101</f>
        <v>0.13414784394250512</v>
      </c>
      <c r="J109" s="1593">
        <f>(-0.214*(J108^2)-21.991*J108+4665)*(10^(-4))/J101</f>
        <v>9.5790554414784401E-2</v>
      </c>
      <c r="K109" s="1593">
        <f>(-0.214*(K108^2)-21.991*K108+4665)*(10^(-4))/K101</f>
        <v>9.5790554414784401E-2</v>
      </c>
      <c r="L109" s="1593">
        <f>(-0.214*(L108^2)-21.991*L108+4665)*(10^(-4))/L101</f>
        <v>9.5790554414784401E-2</v>
      </c>
      <c r="M109" s="1593">
        <f>(-0.214*(M108^2)-21.991*M108+4665)*(10^(-4))/M101</f>
        <v>9.5790554414784401E-2</v>
      </c>
      <c r="N109" s="1593">
        <f>(-0.214*(N108^2)-21.991*N108+4665)*(10^(-4))/N101</f>
        <v>9.5790554414784401E-2</v>
      </c>
    </row>
    <row r="110" spans="1:14">
      <c r="A110" s="3723" t="s">
        <v>1765</v>
      </c>
      <c r="B110" s="3723"/>
      <c r="C110" s="3723"/>
      <c r="D110" s="3723"/>
      <c r="E110" s="3723"/>
      <c r="F110" s="3723"/>
      <c r="G110" s="3723"/>
      <c r="H110" s="3723"/>
      <c r="I110" s="3723"/>
      <c r="J110" s="3723"/>
      <c r="K110" s="2606"/>
      <c r="L110" s="2606"/>
      <c r="M110" s="2606"/>
      <c r="N110" s="2606"/>
    </row>
    <row r="112" spans="1:14" ht="12.75" thickBot="1"/>
    <row r="113" spans="1:13" ht="25.5" thickBot="1">
      <c r="A113" s="1603" t="s">
        <v>1767</v>
      </c>
      <c r="B113" s="2609">
        <f>G3</f>
        <v>4.87</v>
      </c>
      <c r="C113" s="1604" t="s">
        <v>1768</v>
      </c>
      <c r="D113" s="1605">
        <f>SUMPRODUCT((A115:A118=F113)*(B114:M114=H113)*B115:M118)</f>
        <v>0</v>
      </c>
      <c r="E113" s="1606" t="s">
        <v>65</v>
      </c>
      <c r="F113" s="1607">
        <f>E2</f>
        <v>0</v>
      </c>
      <c r="G113" s="1606" t="s">
        <v>1557</v>
      </c>
      <c r="H113" s="1607">
        <f>G2</f>
        <v>0</v>
      </c>
      <c r="I113" s="1606"/>
      <c r="J113" s="1598"/>
      <c r="K113" s="1598"/>
      <c r="L113" s="1598"/>
      <c r="M113" s="1598"/>
    </row>
    <row r="114" spans="1:13" ht="12.75">
      <c r="A114" s="1610"/>
      <c r="B114" s="1611" t="s">
        <v>162</v>
      </c>
      <c r="C114" s="1611" t="s">
        <v>163</v>
      </c>
      <c r="D114" s="1611" t="s">
        <v>158</v>
      </c>
      <c r="E114" s="1612" t="s">
        <v>159</v>
      </c>
      <c r="F114" s="1612" t="s">
        <v>160</v>
      </c>
      <c r="G114" s="1612" t="s">
        <v>161</v>
      </c>
      <c r="H114" s="1613" t="s">
        <v>1174</v>
      </c>
      <c r="I114" s="1613" t="s">
        <v>1175</v>
      </c>
      <c r="J114" s="1614" t="s">
        <v>1176</v>
      </c>
      <c r="K114" s="1614" t="s">
        <v>1177</v>
      </c>
      <c r="L114" s="1614" t="s">
        <v>1178</v>
      </c>
      <c r="M114" s="1615" t="s">
        <v>1179</v>
      </c>
    </row>
    <row r="115" spans="1:13" ht="12.75">
      <c r="A115" s="1616" t="s">
        <v>1769</v>
      </c>
      <c r="B115" s="1617">
        <f>ROUND(0.9335-0.0094*B113,4)</f>
        <v>0.88770000000000004</v>
      </c>
      <c r="C115" s="1617">
        <f>B115</f>
        <v>0.88770000000000004</v>
      </c>
      <c r="D115" s="1617">
        <f>ROUND(0.8331-0.0109*B113,4)</f>
        <v>0.78</v>
      </c>
      <c r="E115" s="1617">
        <f>D115</f>
        <v>0.78</v>
      </c>
      <c r="F115" s="1617">
        <f>E115</f>
        <v>0.78</v>
      </c>
      <c r="G115" s="1617">
        <f>F115</f>
        <v>0.78</v>
      </c>
      <c r="H115" s="1617">
        <f>G115</f>
        <v>0.78</v>
      </c>
      <c r="I115" s="1617">
        <f>ROUND(0.689-0.0155*B113,4)</f>
        <v>0.61350000000000005</v>
      </c>
      <c r="J115" s="1617">
        <f t="shared" ref="J115:M118" si="33">I115</f>
        <v>0.61350000000000005</v>
      </c>
      <c r="K115" s="1617">
        <f t="shared" si="33"/>
        <v>0.61350000000000005</v>
      </c>
      <c r="L115" s="1617">
        <f t="shared" si="33"/>
        <v>0.61350000000000005</v>
      </c>
      <c r="M115" s="1618">
        <f t="shared" si="33"/>
        <v>0.61350000000000005</v>
      </c>
    </row>
    <row r="116" spans="1:13" ht="12.75">
      <c r="A116" s="1616" t="s">
        <v>1770</v>
      </c>
      <c r="B116" s="1617">
        <f>ROUND(0.949-0.012*B113,4)</f>
        <v>0.89059999999999995</v>
      </c>
      <c r="C116" s="1617">
        <f>B116</f>
        <v>0.89059999999999995</v>
      </c>
      <c r="D116" s="1617">
        <f>ROUND(0.8567-0.013*B113,4)</f>
        <v>0.79339999999999999</v>
      </c>
      <c r="E116" s="1617">
        <f t="shared" ref="E116:H117" si="34">D116</f>
        <v>0.79339999999999999</v>
      </c>
      <c r="F116" s="1617">
        <f t="shared" si="34"/>
        <v>0.79339999999999999</v>
      </c>
      <c r="G116" s="1617">
        <f t="shared" si="34"/>
        <v>0.79339999999999999</v>
      </c>
      <c r="H116" s="1617">
        <f t="shared" si="34"/>
        <v>0.79339999999999999</v>
      </c>
      <c r="I116" s="1617">
        <f>ROUND(0.7694-0.014*B113,4)</f>
        <v>0.70120000000000005</v>
      </c>
      <c r="J116" s="1617">
        <f t="shared" si="33"/>
        <v>0.70120000000000005</v>
      </c>
      <c r="K116" s="1617">
        <f t="shared" si="33"/>
        <v>0.70120000000000005</v>
      </c>
      <c r="L116" s="1617">
        <f t="shared" si="33"/>
        <v>0.70120000000000005</v>
      </c>
      <c r="M116" s="1618">
        <f t="shared" si="33"/>
        <v>0.70120000000000005</v>
      </c>
    </row>
    <row r="117" spans="1:13" ht="12.75">
      <c r="A117" s="1619" t="s">
        <v>974</v>
      </c>
      <c r="B117" s="1617">
        <f>ROUND(0.8808-0.006*B113,4)</f>
        <v>0.85160000000000002</v>
      </c>
      <c r="C117" s="1617">
        <f>B117</f>
        <v>0.85160000000000002</v>
      </c>
      <c r="D117" s="1617">
        <f>ROUND(0.8748-0.008*B113,4)</f>
        <v>0.83579999999999999</v>
      </c>
      <c r="E117" s="1617">
        <f t="shared" si="34"/>
        <v>0.83579999999999999</v>
      </c>
      <c r="F117" s="1617">
        <f t="shared" si="34"/>
        <v>0.83579999999999999</v>
      </c>
      <c r="G117" s="1617">
        <f t="shared" si="34"/>
        <v>0.83579999999999999</v>
      </c>
      <c r="H117" s="1617">
        <f t="shared" si="34"/>
        <v>0.83579999999999999</v>
      </c>
      <c r="I117" s="1617">
        <f>ROUND(0.7412-0.0095*B113,4)</f>
        <v>0.69489999999999996</v>
      </c>
      <c r="J117" s="1617">
        <f t="shared" si="33"/>
        <v>0.69489999999999996</v>
      </c>
      <c r="K117" s="1617">
        <f t="shared" si="33"/>
        <v>0.69489999999999996</v>
      </c>
      <c r="L117" s="1617">
        <f t="shared" si="33"/>
        <v>0.69489999999999996</v>
      </c>
      <c r="M117" s="1618">
        <f t="shared" si="33"/>
        <v>0.69489999999999996</v>
      </c>
    </row>
    <row r="118" spans="1:13" ht="13.5" thickBot="1">
      <c r="A118" s="1123" t="s">
        <v>1771</v>
      </c>
      <c r="B118" s="1620">
        <f>ROUND(0.7275-0.01*B113,4)</f>
        <v>0.67879999999999996</v>
      </c>
      <c r="C118" s="1620">
        <f>B118</f>
        <v>0.67879999999999996</v>
      </c>
      <c r="D118" s="1620">
        <f>ROUND(0.7043-0.012*B113,4)</f>
        <v>0.64590000000000003</v>
      </c>
      <c r="E118" s="1620">
        <f>D118</f>
        <v>0.64590000000000003</v>
      </c>
      <c r="F118" s="1620">
        <f>E118</f>
        <v>0.64590000000000003</v>
      </c>
      <c r="G118" s="1620">
        <f>ROUND(0.6299-0.0122*B113,4)</f>
        <v>0.57050000000000001</v>
      </c>
      <c r="H118" s="1620">
        <f>G118</f>
        <v>0.57050000000000001</v>
      </c>
      <c r="I118" s="1620">
        <f>ROUND(0.5667-0.0136*B113,4)</f>
        <v>0.50049999999999994</v>
      </c>
      <c r="J118" s="1620">
        <f t="shared" si="33"/>
        <v>0.50049999999999994</v>
      </c>
      <c r="K118" s="1620">
        <f t="shared" si="33"/>
        <v>0.50049999999999994</v>
      </c>
      <c r="L118" s="1620">
        <f t="shared" si="33"/>
        <v>0.50049999999999994</v>
      </c>
      <c r="M118" s="1621">
        <f t="shared" si="33"/>
        <v>0.50049999999999994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1" t="s">
        <v>1867</v>
      </c>
      <c r="D17" s="1571"/>
      <c r="E17" s="1499" t="s">
        <v>1570</v>
      </c>
      <c r="F17" s="1572"/>
      <c r="G17" s="1572"/>
    </row>
    <row r="18" spans="1:9" s="1578" customFormat="1" ht="19.5" customHeight="1">
      <c r="A18" s="3724" t="s">
        <v>1194</v>
      </c>
      <c r="B18" s="1573" t="s">
        <v>1571</v>
      </c>
      <c r="C18" s="1574" t="s">
        <v>1572</v>
      </c>
      <c r="D18" s="1575"/>
      <c r="E18" s="1573">
        <v>1</v>
      </c>
      <c r="F18" s="1576" t="s">
        <v>1573</v>
      </c>
      <c r="G18" s="1577"/>
      <c r="H18" s="1569"/>
      <c r="I18" s="1569"/>
    </row>
    <row r="19" spans="1:9" s="1578" customFormat="1" ht="19.5" customHeight="1">
      <c r="A19" s="3724"/>
      <c r="B19" s="3724" t="s">
        <v>1574</v>
      </c>
      <c r="C19" s="1574" t="s">
        <v>1575</v>
      </c>
      <c r="D19" s="1575"/>
      <c r="E19" s="1573">
        <v>0.9</v>
      </c>
      <c r="F19" s="1576" t="s">
        <v>1576</v>
      </c>
      <c r="G19" s="1577"/>
      <c r="H19" s="1569"/>
      <c r="I19" s="1569"/>
    </row>
    <row r="20" spans="1:9" s="1578" customFormat="1" ht="19.5" customHeight="1">
      <c r="A20" s="3724"/>
      <c r="B20" s="3724"/>
      <c r="C20" s="1574" t="s">
        <v>1577</v>
      </c>
      <c r="D20" s="1575"/>
      <c r="E20" s="1573">
        <v>1.1000000000000001</v>
      </c>
      <c r="F20" s="1576" t="s">
        <v>1578</v>
      </c>
      <c r="G20" s="1577"/>
      <c r="H20" s="1569"/>
      <c r="I20" s="1569"/>
    </row>
    <row r="21" spans="1:9" s="1578" customFormat="1" ht="19.5" customHeight="1">
      <c r="A21" s="3724"/>
      <c r="B21" s="3724"/>
      <c r="C21" s="1574" t="s">
        <v>1579</v>
      </c>
      <c r="D21" s="1575"/>
      <c r="E21" s="1573">
        <v>0.8</v>
      </c>
      <c r="F21" s="1576" t="s">
        <v>1580</v>
      </c>
      <c r="G21" s="1577"/>
      <c r="H21" s="1569"/>
      <c r="I21" s="1569"/>
    </row>
    <row r="22" spans="1:9" s="1578" customFormat="1" ht="19.5" customHeight="1">
      <c r="A22" s="3724"/>
      <c r="B22" s="3724"/>
      <c r="C22" s="1574" t="s">
        <v>1581</v>
      </c>
      <c r="D22" s="1575"/>
      <c r="E22" s="1573">
        <v>0.5</v>
      </c>
      <c r="F22" s="1576"/>
      <c r="G22" s="1577"/>
      <c r="H22" s="1569"/>
      <c r="I22" s="1569"/>
    </row>
    <row r="23" spans="1:9" s="1578" customFormat="1" ht="19.5" customHeight="1">
      <c r="A23" s="3724" t="s">
        <v>1195</v>
      </c>
      <c r="B23" s="1573" t="s">
        <v>1571</v>
      </c>
      <c r="C23" s="1574" t="s">
        <v>1582</v>
      </c>
      <c r="D23" s="1575"/>
      <c r="E23" s="1573">
        <v>1</v>
      </c>
      <c r="F23" s="1576" t="s">
        <v>1583</v>
      </c>
      <c r="G23" s="1577"/>
      <c r="H23" s="1569"/>
      <c r="I23" s="1569"/>
    </row>
    <row r="24" spans="1:9" s="1578" customFormat="1" ht="19.5" customHeight="1">
      <c r="A24" s="3724"/>
      <c r="B24" s="3724" t="s">
        <v>1574</v>
      </c>
      <c r="C24" s="1574" t="s">
        <v>1584</v>
      </c>
      <c r="D24" s="1575"/>
      <c r="E24" s="1573">
        <v>0.5</v>
      </c>
      <c r="F24" s="1576"/>
      <c r="G24" s="1577"/>
      <c r="H24" s="1569"/>
      <c r="I24" s="1569"/>
    </row>
    <row r="25" spans="1:9" s="1578" customFormat="1" ht="19.5" customHeight="1">
      <c r="A25" s="3724"/>
      <c r="B25" s="3724"/>
      <c r="C25" s="1574" t="s">
        <v>1585</v>
      </c>
      <c r="D25" s="1575"/>
      <c r="E25" s="1573">
        <v>1.1000000000000001</v>
      </c>
      <c r="F25" s="1576"/>
      <c r="G25" s="1577"/>
      <c r="H25" s="1569"/>
      <c r="I25" s="1569"/>
    </row>
    <row r="26" spans="1:9" s="1578" customFormat="1" ht="19.5" customHeight="1">
      <c r="A26" s="3724"/>
      <c r="B26" s="3724"/>
      <c r="C26" s="1574" t="s">
        <v>1586</v>
      </c>
      <c r="D26" s="1575"/>
      <c r="E26" s="1573">
        <v>1.1000000000000001</v>
      </c>
      <c r="F26" s="1576"/>
      <c r="G26" s="1577"/>
      <c r="H26" s="1569"/>
      <c r="I26" s="1569"/>
    </row>
    <row r="27" spans="1:9" s="1578" customFormat="1" ht="19.5" customHeight="1">
      <c r="A27" s="3724"/>
      <c r="B27" s="3724"/>
      <c r="C27" s="1574" t="s">
        <v>1587</v>
      </c>
      <c r="D27" s="1575"/>
      <c r="E27" s="1573">
        <v>0.9</v>
      </c>
      <c r="F27" s="1576" t="s">
        <v>1588</v>
      </c>
      <c r="G27" s="1577"/>
      <c r="H27" s="1569"/>
      <c r="I27" s="1569"/>
    </row>
    <row r="28" spans="1:9" s="1578" customFormat="1" ht="19.5" customHeight="1">
      <c r="A28" s="3724"/>
      <c r="B28" s="3724"/>
      <c r="C28" s="1574" t="s">
        <v>1589</v>
      </c>
      <c r="D28" s="1575"/>
      <c r="E28" s="1573">
        <v>0.9</v>
      </c>
      <c r="F28" s="1576" t="s">
        <v>1590</v>
      </c>
      <c r="G28" s="1577"/>
      <c r="H28" s="1569"/>
      <c r="I28" s="1569"/>
    </row>
    <row r="29" spans="1:9" s="1578" customFormat="1" ht="19.5" customHeight="1">
      <c r="A29" s="3724"/>
      <c r="B29" s="3724"/>
      <c r="C29" s="1574" t="s">
        <v>1591</v>
      </c>
      <c r="D29" s="1575"/>
      <c r="E29" s="1573">
        <v>0.9</v>
      </c>
      <c r="F29" s="1576" t="s">
        <v>1592</v>
      </c>
      <c r="G29" s="1577"/>
      <c r="H29" s="1569"/>
      <c r="I29" s="1569"/>
    </row>
    <row r="30" spans="1:9" s="1578" customFormat="1" ht="19.5" customHeight="1">
      <c r="A30" s="3724"/>
      <c r="B30" s="3724"/>
      <c r="C30" s="1574" t="s">
        <v>1593</v>
      </c>
      <c r="D30" s="1575"/>
      <c r="E30" s="1573">
        <v>0.9</v>
      </c>
      <c r="F30" s="1576" t="s">
        <v>1594</v>
      </c>
      <c r="G30" s="1577"/>
      <c r="H30" s="1569"/>
      <c r="I30" s="1569"/>
    </row>
    <row r="31" spans="1:9" s="1578" customFormat="1" ht="19.5" customHeight="1">
      <c r="A31" s="3724"/>
      <c r="B31" s="3724"/>
      <c r="C31" s="1574" t="s">
        <v>1595</v>
      </c>
      <c r="D31" s="1575"/>
      <c r="E31" s="1573">
        <v>0.8</v>
      </c>
      <c r="F31" s="1576" t="s">
        <v>1596</v>
      </c>
      <c r="G31" s="1577"/>
      <c r="H31" s="1569"/>
      <c r="I31" s="1569"/>
    </row>
    <row r="32" spans="1:9" s="1578" customFormat="1" ht="19.5" customHeight="1">
      <c r="A32" s="3724"/>
      <c r="B32" s="3724"/>
      <c r="C32" s="1574" t="s">
        <v>1597</v>
      </c>
      <c r="D32" s="1575"/>
      <c r="E32" s="1573">
        <v>0.8</v>
      </c>
      <c r="F32" s="1576" t="s">
        <v>1598</v>
      </c>
      <c r="G32" s="1577"/>
      <c r="H32" s="1569"/>
      <c r="I32" s="1569"/>
    </row>
    <row r="33" spans="1:9" s="1578" customFormat="1" ht="19.5" customHeight="1">
      <c r="A33" s="3724" t="s">
        <v>1196</v>
      </c>
      <c r="B33" s="1573" t="s">
        <v>1571</v>
      </c>
      <c r="C33" s="1574" t="s">
        <v>1599</v>
      </c>
      <c r="D33" s="1575"/>
      <c r="E33" s="1573">
        <v>1</v>
      </c>
      <c r="F33" s="1576" t="s">
        <v>1600</v>
      </c>
      <c r="G33" s="1577"/>
      <c r="H33" s="1569"/>
      <c r="I33" s="1569"/>
    </row>
    <row r="34" spans="1:9" s="1578" customFormat="1" ht="19.5" customHeight="1">
      <c r="A34" s="3724"/>
      <c r="B34" s="1573" t="s">
        <v>1574</v>
      </c>
      <c r="C34" s="1574" t="s">
        <v>1601</v>
      </c>
      <c r="D34" s="1575"/>
      <c r="E34" s="1573">
        <v>1.5</v>
      </c>
      <c r="F34" s="1576" t="s">
        <v>1602</v>
      </c>
      <c r="G34" s="1577"/>
      <c r="H34" s="1569"/>
      <c r="I34" s="1569"/>
    </row>
    <row r="35" spans="1:9" s="1578" customFormat="1" ht="19.5" customHeight="1">
      <c r="A35" s="3724" t="s">
        <v>1197</v>
      </c>
      <c r="B35" s="1573" t="s">
        <v>1571</v>
      </c>
      <c r="C35" s="1574" t="s">
        <v>1603</v>
      </c>
      <c r="D35" s="1575"/>
      <c r="E35" s="1573">
        <v>1</v>
      </c>
      <c r="F35" s="1576" t="s">
        <v>1604</v>
      </c>
      <c r="G35" s="1577"/>
      <c r="H35" s="1569"/>
      <c r="I35" s="1569"/>
    </row>
    <row r="36" spans="1:9" s="1578" customFormat="1" ht="19.5" customHeight="1">
      <c r="A36" s="3724"/>
      <c r="B36" s="3724" t="s">
        <v>1574</v>
      </c>
      <c r="C36" s="1574" t="s">
        <v>1605</v>
      </c>
      <c r="D36" s="1575"/>
      <c r="E36" s="1573">
        <v>1</v>
      </c>
      <c r="F36" s="1576" t="s">
        <v>1606</v>
      </c>
      <c r="G36" s="1577"/>
      <c r="H36" s="1569"/>
      <c r="I36" s="1569"/>
    </row>
    <row r="37" spans="1:9" s="1578" customFormat="1" ht="19.5" customHeight="1">
      <c r="A37" s="3724"/>
      <c r="B37" s="3724"/>
      <c r="C37" s="1574" t="s">
        <v>1607</v>
      </c>
      <c r="D37" s="1575"/>
      <c r="E37" s="1573">
        <v>1.5</v>
      </c>
      <c r="F37" s="1576" t="s">
        <v>1608</v>
      </c>
      <c r="G37" s="1577"/>
      <c r="H37" s="1569"/>
      <c r="I37" s="1569"/>
    </row>
    <row r="38" spans="1:9" s="1578" customFormat="1" ht="19.5" customHeight="1">
      <c r="A38" s="3724"/>
      <c r="B38" s="3724"/>
      <c r="C38" s="1574" t="s">
        <v>1609</v>
      </c>
      <c r="D38" s="1575"/>
      <c r="E38" s="1573">
        <v>1</v>
      </c>
      <c r="F38" s="1576" t="s">
        <v>1610</v>
      </c>
      <c r="G38" s="1577"/>
      <c r="H38" s="1569"/>
      <c r="I38" s="1569"/>
    </row>
    <row r="39" spans="1:9" s="1578" customFormat="1" ht="19.5" customHeight="1">
      <c r="A39" s="3724"/>
      <c r="B39" s="3724"/>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8"/>
      <c r="B60" s="1768"/>
      <c r="C60" s="1768" t="s">
        <v>1756</v>
      </c>
      <c r="D60" s="1768"/>
      <c r="E60" s="1586" t="s">
        <v>23</v>
      </c>
      <c r="F60" s="1768" t="s">
        <v>23</v>
      </c>
    </row>
    <row r="61" spans="1:8" s="1569" customFormat="1" ht="24">
      <c r="A61" s="1573">
        <v>1</v>
      </c>
      <c r="B61" s="3724" t="s">
        <v>1625</v>
      </c>
      <c r="C61" s="1499" t="s">
        <v>1626</v>
      </c>
      <c r="D61" s="1499" t="s">
        <v>1627</v>
      </c>
      <c r="E61" s="1586">
        <v>0.5</v>
      </c>
      <c r="F61" s="1573">
        <v>80</v>
      </c>
    </row>
    <row r="62" spans="1:8" s="1569" customFormat="1" ht="24">
      <c r="A62" s="1573">
        <v>2</v>
      </c>
      <c r="B62" s="3724"/>
      <c r="C62" s="1499" t="s">
        <v>1628</v>
      </c>
      <c r="D62" s="1499" t="s">
        <v>1629</v>
      </c>
      <c r="E62" s="1586">
        <v>0.5</v>
      </c>
      <c r="F62" s="1573">
        <v>80</v>
      </c>
    </row>
    <row r="63" spans="1:8" s="1569" customFormat="1" ht="36">
      <c r="A63" s="1573">
        <v>3</v>
      </c>
      <c r="B63" s="3724"/>
      <c r="C63" s="1499" t="s">
        <v>1630</v>
      </c>
      <c r="D63" s="1499" t="s">
        <v>1631</v>
      </c>
      <c r="E63" s="1586">
        <v>0.5</v>
      </c>
      <c r="F63" s="1573">
        <v>80</v>
      </c>
    </row>
    <row r="64" spans="1:8" s="1569" customFormat="1" ht="36">
      <c r="A64" s="1573">
        <v>4</v>
      </c>
      <c r="B64" s="3724"/>
      <c r="C64" s="1499" t="s">
        <v>1632</v>
      </c>
      <c r="D64" s="1499" t="s">
        <v>1633</v>
      </c>
      <c r="E64" s="1586">
        <v>0.4</v>
      </c>
      <c r="F64" s="1573">
        <v>60</v>
      </c>
    </row>
    <row r="65" spans="1:6" s="1569" customFormat="1" ht="36">
      <c r="A65" s="1573">
        <v>5</v>
      </c>
      <c r="B65" s="3724"/>
      <c r="C65" s="1499" t="s">
        <v>1634</v>
      </c>
      <c r="D65" s="1499" t="s">
        <v>1635</v>
      </c>
      <c r="E65" s="1586">
        <v>0.2</v>
      </c>
      <c r="F65" s="1573">
        <v>30</v>
      </c>
    </row>
    <row r="66" spans="1:6" s="1569" customFormat="1" ht="36">
      <c r="A66" s="1573">
        <v>6</v>
      </c>
      <c r="B66" s="3724"/>
      <c r="C66" s="1499" t="s">
        <v>1636</v>
      </c>
      <c r="D66" s="1499" t="s">
        <v>1637</v>
      </c>
      <c r="E66" s="1586">
        <v>0.3</v>
      </c>
      <c r="F66" s="1573">
        <v>50</v>
      </c>
    </row>
    <row r="67" spans="1:6" s="1569" customFormat="1" ht="36">
      <c r="A67" s="1573">
        <v>7</v>
      </c>
      <c r="B67" s="3724"/>
      <c r="C67" s="1499" t="s">
        <v>1638</v>
      </c>
      <c r="D67" s="1499" t="s">
        <v>1639</v>
      </c>
      <c r="E67" s="1586">
        <v>0.2</v>
      </c>
      <c r="F67" s="1573">
        <v>30</v>
      </c>
    </row>
    <row r="68" spans="1:6" s="1569" customFormat="1" ht="36">
      <c r="A68" s="1573">
        <v>8</v>
      </c>
      <c r="B68" s="3724"/>
      <c r="C68" s="1499" t="s">
        <v>1640</v>
      </c>
      <c r="D68" s="1499" t="s">
        <v>1641</v>
      </c>
      <c r="E68" s="1586">
        <v>0.2</v>
      </c>
      <c r="F68" s="1573">
        <v>30</v>
      </c>
    </row>
    <row r="69" spans="1:6" s="1569" customFormat="1" ht="36">
      <c r="A69" s="1573">
        <v>9</v>
      </c>
      <c r="B69" s="3724"/>
      <c r="C69" s="1499" t="s">
        <v>1642</v>
      </c>
      <c r="D69" s="1499" t="s">
        <v>1643</v>
      </c>
      <c r="E69" s="1586">
        <v>0.2</v>
      </c>
      <c r="F69" s="1573">
        <v>30</v>
      </c>
    </row>
    <row r="70" spans="1:6" s="1569" customFormat="1" ht="48">
      <c r="A70" s="1573">
        <v>10</v>
      </c>
      <c r="B70" s="3724"/>
      <c r="C70" s="1499" t="s">
        <v>1644</v>
      </c>
      <c r="D70" s="1499" t="s">
        <v>1645</v>
      </c>
      <c r="E70" s="1586">
        <v>0.2</v>
      </c>
      <c r="F70" s="1573">
        <v>30</v>
      </c>
    </row>
    <row r="71" spans="1:6" s="1569" customFormat="1" ht="48">
      <c r="A71" s="1573">
        <v>11</v>
      </c>
      <c r="B71" s="3724"/>
      <c r="C71" s="1499" t="s">
        <v>1646</v>
      </c>
      <c r="D71" s="1499" t="s">
        <v>1647</v>
      </c>
      <c r="E71" s="1586">
        <v>0.2</v>
      </c>
      <c r="F71" s="1573">
        <v>30</v>
      </c>
    </row>
    <row r="72" spans="1:6" s="1569" customFormat="1" ht="36">
      <c r="A72" s="1573">
        <v>12</v>
      </c>
      <c r="B72" s="3724"/>
      <c r="C72" s="1499" t="s">
        <v>1648</v>
      </c>
      <c r="D72" s="1499" t="s">
        <v>1649</v>
      </c>
      <c r="E72" s="1586">
        <v>0.5</v>
      </c>
      <c r="F72" s="1573">
        <v>80</v>
      </c>
    </row>
    <row r="73" spans="1:6" s="1569" customFormat="1" ht="24">
      <c r="A73" s="1573">
        <v>13</v>
      </c>
      <c r="B73" s="3724"/>
      <c r="C73" s="1499" t="s">
        <v>1650</v>
      </c>
      <c r="D73" s="1499" t="s">
        <v>1651</v>
      </c>
      <c r="E73" s="1586">
        <v>0.4</v>
      </c>
      <c r="F73" s="1573">
        <v>60</v>
      </c>
    </row>
    <row r="74" spans="1:6" s="1569" customFormat="1" ht="24">
      <c r="A74" s="1573">
        <v>14</v>
      </c>
      <c r="B74" s="3724"/>
      <c r="C74" s="1499" t="s">
        <v>1652</v>
      </c>
      <c r="D74" s="1499" t="s">
        <v>1653</v>
      </c>
      <c r="E74" s="1586">
        <v>0.2</v>
      </c>
      <c r="F74" s="1573">
        <v>30</v>
      </c>
    </row>
    <row r="75" spans="1:6" s="1569" customFormat="1" ht="24">
      <c r="A75" s="1573">
        <v>15</v>
      </c>
      <c r="B75" s="3724"/>
      <c r="C75" s="1499" t="s">
        <v>1654</v>
      </c>
      <c r="D75" s="1499" t="s">
        <v>1655</v>
      </c>
      <c r="E75" s="1586">
        <v>0.2</v>
      </c>
      <c r="F75" s="1573">
        <v>30</v>
      </c>
    </row>
    <row r="76" spans="1:6" s="1569" customFormat="1" ht="24">
      <c r="A76" s="1573">
        <v>16</v>
      </c>
      <c r="B76" s="3724" t="s">
        <v>1656</v>
      </c>
      <c r="C76" s="1499" t="s">
        <v>1657</v>
      </c>
      <c r="D76" s="1499" t="s">
        <v>1658</v>
      </c>
      <c r="E76" s="1586">
        <v>0.5</v>
      </c>
      <c r="F76" s="1573">
        <v>80</v>
      </c>
    </row>
    <row r="77" spans="1:6" s="1569" customFormat="1" ht="24">
      <c r="A77" s="1573">
        <v>17</v>
      </c>
      <c r="B77" s="3724"/>
      <c r="C77" s="1499" t="s">
        <v>1659</v>
      </c>
      <c r="D77" s="1499" t="s">
        <v>1660</v>
      </c>
      <c r="E77" s="1586">
        <v>0.5</v>
      </c>
      <c r="F77" s="1573">
        <v>80</v>
      </c>
    </row>
    <row r="78" spans="1:6" s="1569" customFormat="1" ht="24">
      <c r="A78" s="1573">
        <v>18</v>
      </c>
      <c r="B78" s="3724"/>
      <c r="C78" s="1499" t="s">
        <v>1661</v>
      </c>
      <c r="D78" s="1499" t="s">
        <v>1662</v>
      </c>
      <c r="E78" s="1586">
        <v>0.2</v>
      </c>
      <c r="F78" s="1573">
        <v>30</v>
      </c>
    </row>
    <row r="79" spans="1:6" s="1569" customFormat="1" ht="24">
      <c r="A79" s="1573">
        <v>19</v>
      </c>
      <c r="B79" s="3724"/>
      <c r="C79" s="1499" t="s">
        <v>1663</v>
      </c>
      <c r="D79" s="1499" t="s">
        <v>1664</v>
      </c>
      <c r="E79" s="1586">
        <v>0.5</v>
      </c>
      <c r="F79" s="1573">
        <v>80</v>
      </c>
    </row>
    <row r="80" spans="1:6" s="1569" customFormat="1" ht="36">
      <c r="A80" s="1573">
        <v>20</v>
      </c>
      <c r="B80" s="3724"/>
      <c r="C80" s="1499" t="s">
        <v>1665</v>
      </c>
      <c r="D80" s="1499" t="s">
        <v>1666</v>
      </c>
      <c r="E80" s="1586">
        <v>0.2</v>
      </c>
      <c r="F80" s="1573">
        <v>30</v>
      </c>
    </row>
    <row r="81" spans="1:6" s="1569" customFormat="1" ht="36">
      <c r="A81" s="1573">
        <v>21</v>
      </c>
      <c r="B81" s="3724"/>
      <c r="C81" s="1499" t="s">
        <v>1667</v>
      </c>
      <c r="D81" s="1499" t="s">
        <v>1668</v>
      </c>
      <c r="E81" s="1586">
        <v>0.2</v>
      </c>
      <c r="F81" s="1573">
        <v>30</v>
      </c>
    </row>
    <row r="82" spans="1:6" s="1569" customFormat="1" ht="48">
      <c r="A82" s="1573">
        <v>22</v>
      </c>
      <c r="B82" s="3724"/>
      <c r="C82" s="1499" t="s">
        <v>1669</v>
      </c>
      <c r="D82" s="1499" t="s">
        <v>1670</v>
      </c>
      <c r="E82" s="1586">
        <v>0.2</v>
      </c>
      <c r="F82" s="1573">
        <v>30</v>
      </c>
    </row>
    <row r="83" spans="1:6" s="1569" customFormat="1" ht="48">
      <c r="A83" s="1573">
        <v>23</v>
      </c>
      <c r="B83" s="3724"/>
      <c r="C83" s="1499" t="s">
        <v>1671</v>
      </c>
      <c r="D83" s="1499" t="s">
        <v>1672</v>
      </c>
      <c r="E83" s="1586">
        <v>0.2</v>
      </c>
      <c r="F83" s="1573">
        <v>30</v>
      </c>
    </row>
    <row r="84" spans="1:6" s="1569" customFormat="1" ht="36">
      <c r="A84" s="1573">
        <v>24</v>
      </c>
      <c r="B84" s="3724"/>
      <c r="C84" s="1499" t="s">
        <v>1673</v>
      </c>
      <c r="D84" s="1499" t="s">
        <v>1674</v>
      </c>
      <c r="E84" s="1586">
        <v>0.2</v>
      </c>
      <c r="F84" s="1573">
        <v>30</v>
      </c>
    </row>
    <row r="85" spans="1:6" s="1569" customFormat="1" ht="36">
      <c r="A85" s="1573">
        <v>25</v>
      </c>
      <c r="B85" s="3724"/>
      <c r="C85" s="1499" t="s">
        <v>1675</v>
      </c>
      <c r="D85" s="1499" t="s">
        <v>1676</v>
      </c>
      <c r="E85" s="1586">
        <v>0.5</v>
      </c>
      <c r="F85" s="1573">
        <v>80</v>
      </c>
    </row>
    <row r="86" spans="1:6" s="1569" customFormat="1" ht="36">
      <c r="A86" s="1573">
        <v>26</v>
      </c>
      <c r="B86" s="3724"/>
      <c r="C86" s="1499" t="s">
        <v>1677</v>
      </c>
      <c r="D86" s="1499" t="s">
        <v>1678</v>
      </c>
      <c r="E86" s="1586">
        <v>0.2</v>
      </c>
      <c r="F86" s="1573">
        <v>30</v>
      </c>
    </row>
    <row r="87" spans="1:6" s="1569" customFormat="1" ht="36">
      <c r="A87" s="1573">
        <v>27</v>
      </c>
      <c r="B87" s="3724"/>
      <c r="C87" s="1499" t="s">
        <v>1679</v>
      </c>
      <c r="D87" s="1499" t="s">
        <v>1680</v>
      </c>
      <c r="E87" s="1586">
        <v>0.2</v>
      </c>
      <c r="F87" s="1573">
        <v>30</v>
      </c>
    </row>
    <row r="88" spans="1:6" s="1569" customFormat="1" ht="36">
      <c r="A88" s="1573">
        <v>28</v>
      </c>
      <c r="B88" s="3724"/>
      <c r="C88" s="1499" t="s">
        <v>1681</v>
      </c>
      <c r="D88" s="1499" t="s">
        <v>1682</v>
      </c>
      <c r="E88" s="1586">
        <v>0.2</v>
      </c>
      <c r="F88" s="1573">
        <v>30</v>
      </c>
    </row>
    <row r="89" spans="1:6" s="1569" customFormat="1" ht="24">
      <c r="A89" s="1573">
        <v>29</v>
      </c>
      <c r="B89" s="3724"/>
      <c r="C89" s="1499" t="s">
        <v>1683</v>
      </c>
      <c r="D89" s="1499" t="s">
        <v>1684</v>
      </c>
      <c r="E89" s="1586">
        <v>0.2</v>
      </c>
      <c r="F89" s="1573">
        <v>30</v>
      </c>
    </row>
    <row r="90" spans="1:6" s="1569" customFormat="1" ht="24">
      <c r="A90" s="1573">
        <v>30</v>
      </c>
      <c r="B90" s="3724"/>
      <c r="C90" s="1499" t="s">
        <v>1685</v>
      </c>
      <c r="D90" s="1499" t="s">
        <v>1686</v>
      </c>
      <c r="E90" s="1586">
        <v>0.2</v>
      </c>
      <c r="F90" s="1573">
        <v>30</v>
      </c>
    </row>
    <row r="91" spans="1:6" s="1569" customFormat="1" ht="36">
      <c r="A91" s="1573">
        <v>31</v>
      </c>
      <c r="B91" s="3724"/>
      <c r="C91" s="1499" t="s">
        <v>1687</v>
      </c>
      <c r="D91" s="1499" t="s">
        <v>1688</v>
      </c>
      <c r="E91" s="1586">
        <v>0.2</v>
      </c>
      <c r="F91" s="1573">
        <v>30</v>
      </c>
    </row>
    <row r="92" spans="1:6" s="1569" customFormat="1" ht="24">
      <c r="A92" s="1573">
        <v>32</v>
      </c>
      <c r="B92" s="3724" t="s">
        <v>1689</v>
      </c>
      <c r="C92" s="1573" t="s">
        <v>1690</v>
      </c>
      <c r="D92" s="1499" t="s">
        <v>1691</v>
      </c>
      <c r="E92" s="1586">
        <v>0.2</v>
      </c>
      <c r="F92" s="1573">
        <v>30</v>
      </c>
    </row>
    <row r="93" spans="1:6" s="1569" customFormat="1" ht="36">
      <c r="A93" s="1573">
        <v>33</v>
      </c>
      <c r="B93" s="3724"/>
      <c r="C93" s="1573" t="s">
        <v>1692</v>
      </c>
      <c r="D93" s="1499" t="s">
        <v>1693</v>
      </c>
      <c r="E93" s="1586">
        <v>0.2</v>
      </c>
      <c r="F93" s="1573">
        <v>30</v>
      </c>
    </row>
    <row r="94" spans="1:6" s="1569" customFormat="1" ht="48">
      <c r="A94" s="1573">
        <v>34</v>
      </c>
      <c r="B94" s="3724"/>
      <c r="C94" s="1573" t="s">
        <v>1694</v>
      </c>
      <c r="D94" s="1499" t="s">
        <v>1695</v>
      </c>
      <c r="E94" s="1586">
        <v>0.2</v>
      </c>
      <c r="F94" s="1573">
        <v>30</v>
      </c>
    </row>
    <row r="95" spans="1:6" s="1569" customFormat="1" ht="36">
      <c r="A95" s="1573">
        <v>35</v>
      </c>
      <c r="B95" s="3724"/>
      <c r="C95" s="1573" t="s">
        <v>1696</v>
      </c>
      <c r="D95" s="1499" t="s">
        <v>1697</v>
      </c>
      <c r="E95" s="1586">
        <v>0.2</v>
      </c>
      <c r="F95" s="1573">
        <v>30</v>
      </c>
    </row>
    <row r="96" spans="1:6" s="1569" customFormat="1" ht="48">
      <c r="A96" s="1573">
        <v>36</v>
      </c>
      <c r="B96" s="3724"/>
      <c r="C96" s="1499" t="s">
        <v>1698</v>
      </c>
      <c r="D96" s="1499" t="s">
        <v>1699</v>
      </c>
      <c r="E96" s="1586">
        <v>0.2</v>
      </c>
      <c r="F96" s="1573">
        <v>30</v>
      </c>
    </row>
    <row r="97" spans="1:6" s="1569" customFormat="1" ht="36">
      <c r="A97" s="1573">
        <v>37</v>
      </c>
      <c r="B97" s="3724"/>
      <c r="C97" s="1573" t="s">
        <v>1700</v>
      </c>
      <c r="D97" s="1499" t="s">
        <v>1701</v>
      </c>
      <c r="E97" s="1586">
        <v>0.2</v>
      </c>
      <c r="F97" s="1573">
        <v>30</v>
      </c>
    </row>
    <row r="98" spans="1:6" s="1569" customFormat="1" ht="36">
      <c r="A98" s="1573">
        <v>38</v>
      </c>
      <c r="B98" s="3724"/>
      <c r="C98" s="1573" t="s">
        <v>1702</v>
      </c>
      <c r="D98" s="1499" t="s">
        <v>1703</v>
      </c>
      <c r="E98" s="1586">
        <v>0.2</v>
      </c>
      <c r="F98" s="1573">
        <v>30</v>
      </c>
    </row>
    <row r="99" spans="1:6" s="1569" customFormat="1" ht="36">
      <c r="A99" s="1573">
        <v>39</v>
      </c>
      <c r="B99" s="3724" t="s">
        <v>1704</v>
      </c>
      <c r="C99" s="1573" t="s">
        <v>1705</v>
      </c>
      <c r="D99" s="1499" t="s">
        <v>1706</v>
      </c>
      <c r="E99" s="1586">
        <v>0.3</v>
      </c>
      <c r="F99" s="1573">
        <v>50</v>
      </c>
    </row>
    <row r="100" spans="1:6" s="1569" customFormat="1" ht="24">
      <c r="A100" s="1573">
        <v>40</v>
      </c>
      <c r="B100" s="3724"/>
      <c r="C100" s="1573" t="s">
        <v>1707</v>
      </c>
      <c r="D100" s="1499" t="s">
        <v>1708</v>
      </c>
      <c r="E100" s="1586">
        <v>0.2</v>
      </c>
      <c r="F100" s="1573">
        <v>30</v>
      </c>
    </row>
    <row r="101" spans="1:6" s="1569" customFormat="1" ht="36">
      <c r="A101" s="1573">
        <v>41</v>
      </c>
      <c r="B101" s="3724"/>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724" t="s">
        <v>1719</v>
      </c>
      <c r="C105" s="1573" t="s">
        <v>1720</v>
      </c>
      <c r="D105" s="1499" t="s">
        <v>1721</v>
      </c>
      <c r="E105" s="1586">
        <v>0.2</v>
      </c>
      <c r="F105" s="1573">
        <v>30</v>
      </c>
    </row>
    <row r="106" spans="1:6" s="1569" customFormat="1" ht="36">
      <c r="A106" s="1573">
        <v>46</v>
      </c>
      <c r="B106" s="3724"/>
      <c r="C106" s="1573" t="s">
        <v>1722</v>
      </c>
      <c r="D106" s="1499" t="s">
        <v>1723</v>
      </c>
      <c r="E106" s="1586">
        <v>0.2</v>
      </c>
      <c r="F106" s="1573">
        <v>30</v>
      </c>
    </row>
    <row r="107" spans="1:6" s="1569" customFormat="1" ht="36">
      <c r="A107" s="1573">
        <v>47</v>
      </c>
      <c r="B107" s="3724" t="s">
        <v>1724</v>
      </c>
      <c r="C107" s="1573" t="s">
        <v>1725</v>
      </c>
      <c r="D107" s="1499" t="s">
        <v>1726</v>
      </c>
      <c r="E107" s="1586">
        <v>0.3</v>
      </c>
      <c r="F107" s="1573">
        <v>50</v>
      </c>
    </row>
    <row r="108" spans="1:6" s="1569" customFormat="1" ht="36">
      <c r="A108" s="1573">
        <v>48</v>
      </c>
      <c r="B108" s="3724"/>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724" t="s">
        <v>1735</v>
      </c>
      <c r="C111" s="1573" t="s">
        <v>1736</v>
      </c>
      <c r="D111" s="1499" t="s">
        <v>1737</v>
      </c>
      <c r="E111" s="1586">
        <v>0.2</v>
      </c>
      <c r="F111" s="1573">
        <v>30</v>
      </c>
    </row>
    <row r="112" spans="1:6" s="1569" customFormat="1" ht="24">
      <c r="A112" s="1573">
        <v>52</v>
      </c>
      <c r="B112" s="3724"/>
      <c r="C112" s="1573" t="s">
        <v>1738</v>
      </c>
      <c r="D112" s="1499" t="s">
        <v>1739</v>
      </c>
      <c r="E112" s="1586">
        <v>0.2</v>
      </c>
      <c r="F112" s="1573">
        <v>30</v>
      </c>
    </row>
    <row r="113" spans="1:6" s="1569" customFormat="1" ht="24">
      <c r="A113" s="1573">
        <v>53</v>
      </c>
      <c r="B113" s="3724"/>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724" t="s">
        <v>1748</v>
      </c>
      <c r="C116" s="1573" t="s">
        <v>1749</v>
      </c>
      <c r="D116" s="1499" t="s">
        <v>1750</v>
      </c>
      <c r="E116" s="1586">
        <v>0.2</v>
      </c>
      <c r="F116" s="1573">
        <v>30</v>
      </c>
    </row>
    <row r="117" spans="1:6" ht="36">
      <c r="A117" s="1573">
        <v>57</v>
      </c>
      <c r="B117" s="3724"/>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3049</v>
      </c>
    </row>
    <row r="2" spans="1:5" ht="14.25">
      <c r="A2" s="3340" t="s">
        <v>207</v>
      </c>
      <c r="B2" s="3337" t="e">
        <f ca="1">SUMIF(B6:B13,"&lt;&gt;#ref!",B6:B13)</f>
        <v>#DIV/0!</v>
      </c>
      <c r="C2" s="3340" t="s">
        <v>2660</v>
      </c>
      <c r="D2" s="3340" t="s">
        <v>3044</v>
      </c>
      <c r="E2" s="3337" t="e">
        <f ca="1">SUM(E6:E13)</f>
        <v>#REF!</v>
      </c>
    </row>
    <row r="3" spans="1:5" ht="14.25">
      <c r="A3" s="3340" t="s">
        <v>8</v>
      </c>
      <c r="B3" s="3337" t="e">
        <f ca="1">ROUND(B2*10000/E2,0)</f>
        <v>#DIV/0!</v>
      </c>
      <c r="C3" s="3340" t="s">
        <v>2661</v>
      </c>
      <c r="D3" s="3338"/>
      <c r="E3" s="3338"/>
    </row>
    <row r="4" spans="1:5" ht="14.25">
      <c r="A4" s="3341"/>
      <c r="B4" s="3338"/>
      <c r="C4" s="3338"/>
      <c r="D4" s="3338"/>
      <c r="E4" s="3338"/>
    </row>
    <row r="5" spans="1:5" ht="28.5">
      <c r="A5" s="3342" t="s">
        <v>3047</v>
      </c>
      <c r="B5" s="3340" t="s">
        <v>3045</v>
      </c>
      <c r="C5" s="3337"/>
      <c r="D5" s="3338"/>
      <c r="E5" s="3340" t="s">
        <v>3046</v>
      </c>
    </row>
    <row r="6" spans="1:5" ht="14.25">
      <c r="A6" s="3343" t="s">
        <v>3048</v>
      </c>
      <c r="B6" s="3339" t="e">
        <f ca="1">SUMIF(INDIRECT("'"&amp;A6&amp;"'"&amp;"!A:A"),"总价",INDIRECT("'"&amp;A6&amp;"'"&amp;"!B:B"))</f>
        <v>#DIV/0!</v>
      </c>
      <c r="C6" s="3340" t="s">
        <v>2660</v>
      </c>
      <c r="D6" s="3338"/>
      <c r="E6" s="2789">
        <f ca="1">SUMIF(INDIRECT("'"&amp;A6&amp;"'"&amp;"!C:C"),"建筑面积",INDIRECT("'"&amp;A6&amp;"'"&amp;"!D:D"))</f>
        <v>0</v>
      </c>
    </row>
    <row r="7" spans="1:5" ht="14.25">
      <c r="A7" s="3343"/>
      <c r="B7" s="3339" t="e">
        <f ca="1">SUMIF(INDIRECT("'"&amp;A7&amp;"'"&amp;"!A:A"),"总价",INDIRECT("'"&amp;A7&amp;"'"&amp;"!B:B"))</f>
        <v>#REF!</v>
      </c>
      <c r="C7" s="3340" t="s">
        <v>2660</v>
      </c>
      <c r="D7" s="3338"/>
      <c r="E7" s="2789" t="e">
        <f t="shared" ref="E7:E13" ca="1" si="0">SUMIF(INDIRECT("'"&amp;A7&amp;"'"&amp;"!C:C"),"建筑面积",INDIRECT("'"&amp;A7&amp;"'"&amp;"!D:D"))</f>
        <v>#REF!</v>
      </c>
    </row>
    <row r="8" spans="1:5" ht="14.25">
      <c r="A8" s="3343"/>
      <c r="B8" s="3339" t="e">
        <f t="shared" ref="B8:B13" ca="1" si="1">SUMIF(INDIRECT("'"&amp;A8&amp;"'"&amp;"!A:A"),"总价",INDIRECT("'"&amp;A8&amp;"'"&amp;"!B:B"))</f>
        <v>#REF!</v>
      </c>
      <c r="C8" s="3340" t="s">
        <v>2660</v>
      </c>
      <c r="D8" s="3338"/>
      <c r="E8" s="2789" t="e">
        <f t="shared" ca="1" si="0"/>
        <v>#REF!</v>
      </c>
    </row>
    <row r="9" spans="1:5" ht="14.25">
      <c r="A9" s="3343"/>
      <c r="B9" s="3339" t="e">
        <f t="shared" ca="1" si="1"/>
        <v>#REF!</v>
      </c>
      <c r="C9" s="3340" t="s">
        <v>2660</v>
      </c>
      <c r="D9" s="3338"/>
      <c r="E9" s="2789" t="e">
        <f t="shared" ca="1" si="0"/>
        <v>#REF!</v>
      </c>
    </row>
    <row r="10" spans="1:5" ht="14.25">
      <c r="A10" s="3343"/>
      <c r="B10" s="3339" t="e">
        <f t="shared" ca="1" si="1"/>
        <v>#REF!</v>
      </c>
      <c r="C10" s="3340" t="s">
        <v>2660</v>
      </c>
      <c r="D10" s="3338"/>
      <c r="E10" s="2789" t="e">
        <f t="shared" ca="1" si="0"/>
        <v>#REF!</v>
      </c>
    </row>
    <row r="11" spans="1:5" ht="14.25">
      <c r="A11" s="3343"/>
      <c r="B11" s="3339" t="e">
        <f t="shared" ca="1" si="1"/>
        <v>#REF!</v>
      </c>
      <c r="C11" s="3340" t="s">
        <v>2660</v>
      </c>
      <c r="D11" s="3338"/>
      <c r="E11" s="2789" t="e">
        <f t="shared" ca="1" si="0"/>
        <v>#REF!</v>
      </c>
    </row>
    <row r="12" spans="1:5" ht="14.25">
      <c r="A12" s="3343"/>
      <c r="B12" s="3339" t="e">
        <f t="shared" ca="1" si="1"/>
        <v>#REF!</v>
      </c>
      <c r="C12" s="3340" t="s">
        <v>2660</v>
      </c>
      <c r="D12" s="3338"/>
      <c r="E12" s="2789" t="e">
        <f t="shared" ca="1" si="0"/>
        <v>#REF!</v>
      </c>
    </row>
    <row r="13" spans="1:5" ht="14.25">
      <c r="A13" s="3343"/>
      <c r="B13" s="3339" t="e">
        <f t="shared" ca="1" si="1"/>
        <v>#REF!</v>
      </c>
      <c r="C13" s="3340" t="s">
        <v>2660</v>
      </c>
      <c r="D13" s="3338"/>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7" t="s">
        <v>2702</v>
      </c>
      <c r="C1" s="3747"/>
      <c r="D1" s="3747"/>
      <c r="E1" s="3747"/>
      <c r="F1" s="3747"/>
      <c r="G1" s="3743" t="s">
        <v>2703</v>
      </c>
      <c r="H1" s="3743"/>
      <c r="I1" s="3743"/>
      <c r="J1" s="3743"/>
      <c r="K1" s="3743"/>
      <c r="L1" s="3743"/>
      <c r="N1" s="3743" t="s">
        <v>2704</v>
      </c>
      <c r="O1" s="3743"/>
      <c r="P1" s="3743"/>
      <c r="Q1" s="3743"/>
      <c r="R1" s="2900"/>
      <c r="S1" s="3743" t="s">
        <v>2705</v>
      </c>
      <c r="T1" s="3743"/>
      <c r="U1" s="3743"/>
      <c r="V1" s="3743"/>
      <c r="X1" s="3742" t="s">
        <v>2706</v>
      </c>
      <c r="Y1" s="3743"/>
      <c r="Z1" s="3743"/>
      <c r="AA1" s="3743"/>
      <c r="AB1" s="3743"/>
      <c r="AD1" s="3742" t="s">
        <v>2707</v>
      </c>
      <c r="AE1" s="3743"/>
      <c r="AF1" s="3743"/>
      <c r="AG1" s="3743"/>
      <c r="AH1" s="3743"/>
    </row>
    <row r="2" spans="1:34" s="2901" customFormat="1" ht="14.25" thickBot="1">
      <c r="B2" s="2902" t="s">
        <v>2708</v>
      </c>
      <c r="C2" s="2902" t="s">
        <v>2709</v>
      </c>
      <c r="D2" s="2903" t="s">
        <v>2710</v>
      </c>
      <c r="E2" s="2903" t="s">
        <v>2711</v>
      </c>
      <c r="F2" s="2902" t="s">
        <v>2712</v>
      </c>
      <c r="G2" s="2904"/>
      <c r="H2" s="2905"/>
      <c r="I2" s="2902" t="s">
        <v>2708</v>
      </c>
      <c r="J2" s="2903" t="s">
        <v>3050</v>
      </c>
      <c r="K2" s="2903" t="s">
        <v>1842</v>
      </c>
      <c r="L2" s="2902" t="s">
        <v>2712</v>
      </c>
      <c r="N2" s="2902" t="s">
        <v>2708</v>
      </c>
      <c r="O2" s="2903" t="s">
        <v>3050</v>
      </c>
      <c r="P2" s="2903" t="s">
        <v>1842</v>
      </c>
      <c r="Q2" s="2902" t="s">
        <v>2712</v>
      </c>
      <c r="R2" s="2906"/>
      <c r="S2" s="2902" t="s">
        <v>2708</v>
      </c>
      <c r="T2" s="2903" t="s">
        <v>3050</v>
      </c>
      <c r="U2" s="2903" t="s">
        <v>1842</v>
      </c>
      <c r="V2" s="2902" t="s">
        <v>2712</v>
      </c>
      <c r="X2" s="2902" t="s">
        <v>2708</v>
      </c>
      <c r="Y2" s="2902" t="s">
        <v>2709</v>
      </c>
      <c r="Z2" s="2903" t="s">
        <v>2710</v>
      </c>
      <c r="AA2" s="2903" t="s">
        <v>2711</v>
      </c>
      <c r="AB2" s="2902" t="s">
        <v>2712</v>
      </c>
      <c r="AD2" s="2902" t="s">
        <v>2708</v>
      </c>
      <c r="AE2" s="2902" t="s">
        <v>2709</v>
      </c>
      <c r="AF2" s="2903" t="s">
        <v>2710</v>
      </c>
      <c r="AG2" s="2903" t="s">
        <v>2711</v>
      </c>
      <c r="AH2" s="2902" t="s">
        <v>2712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2713</v>
      </c>
      <c r="B4" s="2916"/>
      <c r="C4" s="2916"/>
      <c r="D4" s="2916"/>
      <c r="E4" s="2916"/>
      <c r="F4" s="2916"/>
      <c r="G4" s="3748">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2714</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45"/>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2716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3051</v>
      </c>
      <c r="B6" s="2935">
        <f t="shared" si="2"/>
        <v>419.31181600000002</v>
      </c>
      <c r="C6" s="2935">
        <f t="shared" si="3"/>
        <v>313.95436800000004</v>
      </c>
      <c r="D6" s="2935">
        <f t="shared" si="4"/>
        <v>313.95436800000004</v>
      </c>
      <c r="E6" s="2935">
        <f t="shared" si="5"/>
        <v>596.63028431999999</v>
      </c>
      <c r="F6" s="2935">
        <f t="shared" si="6"/>
        <v>274.74220703999998</v>
      </c>
      <c r="G6" s="3745"/>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7"/>
      <c r="AD6" s="3346">
        <f>ROUND(AVERAGE(I6:I$19)/100,4)</f>
        <v>2.46E-2</v>
      </c>
      <c r="AE6" s="3346">
        <f>ROUND(AVERAGE(J6:J$19)/100,4)</f>
        <v>1.6E-2</v>
      </c>
      <c r="AF6" s="3346">
        <f t="shared" si="1"/>
        <v>1.6E-2</v>
      </c>
      <c r="AG6" s="3346">
        <f>ROUND(AVERAGE(K6:K$19)/100,4)</f>
        <v>2.75E-2</v>
      </c>
      <c r="AH6" s="3346">
        <f>ROUND(AVERAGE(L6:L$19)/100,4)</f>
        <v>1.37E-2</v>
      </c>
    </row>
    <row r="7" spans="1:34" s="2923" customFormat="1" ht="13.5" thickBot="1">
      <c r="A7" s="2915" t="s">
        <v>2715</v>
      </c>
      <c r="B7" s="2935">
        <f>B8*(1+N7)</f>
        <v>405.524</v>
      </c>
      <c r="C7" s="2935">
        <f>C8*(1+O7)</f>
        <v>307.79840000000002</v>
      </c>
      <c r="D7" s="2935">
        <f>C7</f>
        <v>307.79840000000002</v>
      </c>
      <c r="E7" s="2935">
        <f>E8*(1+P7)</f>
        <v>574.67759999999998</v>
      </c>
      <c r="F7" s="2935">
        <f>F8*(1+Q7)</f>
        <v>270.20280000000002</v>
      </c>
      <c r="G7" s="3746"/>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5" t="s">
        <v>1157</v>
      </c>
      <c r="B8" s="2927">
        <v>392</v>
      </c>
      <c r="C8" s="2927">
        <v>302</v>
      </c>
      <c r="D8" s="2927">
        <f>C8</f>
        <v>302</v>
      </c>
      <c r="E8" s="2927">
        <v>553</v>
      </c>
      <c r="F8" s="2928">
        <v>266</v>
      </c>
      <c r="G8" s="3748">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1156</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45"/>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1146</v>
      </c>
      <c r="B10" s="2935">
        <f t="shared" si="15"/>
        <v>360.06949782209392</v>
      </c>
      <c r="C10" s="2935">
        <f t="shared" si="15"/>
        <v>289.84672674747821</v>
      </c>
      <c r="D10" s="2935">
        <f t="shared" si="16"/>
        <v>289.84672674747821</v>
      </c>
      <c r="E10" s="2935">
        <f t="shared" si="17"/>
        <v>501.06543001181495</v>
      </c>
      <c r="F10" s="2935">
        <f t="shared" si="17"/>
        <v>256.82882500744967</v>
      </c>
      <c r="G10" s="3745"/>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1155</v>
      </c>
      <c r="B11" s="2935">
        <f t="shared" si="15"/>
        <v>346.720748986128</v>
      </c>
      <c r="C11" s="2935">
        <f t="shared" si="15"/>
        <v>284.30282172386285</v>
      </c>
      <c r="D11" s="2935">
        <f t="shared" si="16"/>
        <v>284.30282172386285</v>
      </c>
      <c r="E11" s="2935">
        <f t="shared" si="17"/>
        <v>479.58023546306947</v>
      </c>
      <c r="F11" s="2935">
        <f t="shared" si="17"/>
        <v>253.25788877571213</v>
      </c>
      <c r="G11" s="3746"/>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1154</v>
      </c>
      <c r="B12" s="2927">
        <v>333</v>
      </c>
      <c r="C12" s="2927">
        <v>277</v>
      </c>
      <c r="D12" s="2927">
        <f t="shared" si="16"/>
        <v>277</v>
      </c>
      <c r="E12" s="2927">
        <v>459</v>
      </c>
      <c r="F12" s="2928">
        <v>249</v>
      </c>
      <c r="G12" s="3744">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1153</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45"/>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1152</v>
      </c>
      <c r="B14" s="2935">
        <f t="shared" si="19"/>
        <v>322.34053690220776</v>
      </c>
      <c r="C14" s="2935">
        <f t="shared" si="19"/>
        <v>271.46160770422546</v>
      </c>
      <c r="D14" s="2935">
        <f t="shared" si="16"/>
        <v>271.46160770422546</v>
      </c>
      <c r="E14" s="2935">
        <f t="shared" si="20"/>
        <v>442.69434542172456</v>
      </c>
      <c r="F14" s="2935">
        <f t="shared" si="20"/>
        <v>241.34030753190925</v>
      </c>
      <c r="G14" s="3745"/>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1151</v>
      </c>
      <c r="B15" s="2935">
        <f t="shared" si="19"/>
        <v>319.87748030386797</v>
      </c>
      <c r="C15" s="2935">
        <f t="shared" si="19"/>
        <v>269.60135833173649</v>
      </c>
      <c r="D15" s="2935">
        <f t="shared" si="16"/>
        <v>269.60135833173649</v>
      </c>
      <c r="E15" s="2935">
        <f t="shared" si="20"/>
        <v>439.18089823583784</v>
      </c>
      <c r="F15" s="2935">
        <f t="shared" si="20"/>
        <v>239.23503918706311</v>
      </c>
      <c r="G15" s="3746"/>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1150</v>
      </c>
      <c r="B16" s="2948">
        <v>318</v>
      </c>
      <c r="C16" s="2948">
        <v>268</v>
      </c>
      <c r="D16" s="2948">
        <f t="shared" si="16"/>
        <v>268</v>
      </c>
      <c r="E16" s="2948">
        <v>437</v>
      </c>
      <c r="F16" s="2949">
        <v>237</v>
      </c>
      <c r="G16" s="3744">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1149</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45"/>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1148</v>
      </c>
      <c r="B18" s="2935">
        <f t="shared" si="21"/>
        <v>314.72141172386546</v>
      </c>
      <c r="C18" s="2935">
        <f t="shared" si="21"/>
        <v>263.03901319069001</v>
      </c>
      <c r="D18" s="2935">
        <f t="shared" si="16"/>
        <v>263.03901319069001</v>
      </c>
      <c r="E18" s="2935">
        <f t="shared" si="22"/>
        <v>433.65745506782821</v>
      </c>
      <c r="F18" s="2935">
        <f t="shared" si="22"/>
        <v>233.23005080045735</v>
      </c>
      <c r="G18" s="3745"/>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1147</v>
      </c>
      <c r="B19" s="2953">
        <f t="shared" si="21"/>
        <v>307.34512863658733</v>
      </c>
      <c r="C19" s="2953">
        <f t="shared" si="21"/>
        <v>257.80556031626975</v>
      </c>
      <c r="D19" s="2953">
        <f t="shared" si="16"/>
        <v>257.80556031626975</v>
      </c>
      <c r="E19" s="2953">
        <f t="shared" si="22"/>
        <v>422.70928459677179</v>
      </c>
      <c r="F19" s="2953">
        <f t="shared" si="22"/>
        <v>229.73803270336617</v>
      </c>
      <c r="G19" s="3746"/>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2718</v>
      </c>
      <c r="B20" s="2927">
        <v>299</v>
      </c>
      <c r="C20" s="2927">
        <v>252</v>
      </c>
      <c r="D20" s="2927">
        <f t="shared" si="16"/>
        <v>252</v>
      </c>
      <c r="E20" s="2927">
        <v>409</v>
      </c>
      <c r="F20" s="2928">
        <v>227</v>
      </c>
      <c r="G20" s="3749">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0"/>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2720</v>
      </c>
      <c r="B22" s="2935">
        <f t="shared" si="25"/>
        <v>288.2649053828776</v>
      </c>
      <c r="C22" s="2935">
        <f t="shared" si="25"/>
        <v>243.64564425013293</v>
      </c>
      <c r="D22" s="2935">
        <f t="shared" si="16"/>
        <v>243.64564425013293</v>
      </c>
      <c r="E22" s="2935">
        <f t="shared" si="26"/>
        <v>393.31080825986544</v>
      </c>
      <c r="F22" s="2935">
        <f t="shared" si="26"/>
        <v>223.07903790551154</v>
      </c>
      <c r="G22" s="3750"/>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2721</v>
      </c>
      <c r="B23" s="2935">
        <f t="shared" si="25"/>
        <v>282.50186729015837</v>
      </c>
      <c r="C23" s="2935">
        <f t="shared" si="25"/>
        <v>238.09796174155468</v>
      </c>
      <c r="D23" s="2935">
        <f t="shared" si="16"/>
        <v>238.09796174155468</v>
      </c>
      <c r="E23" s="2935">
        <f t="shared" si="26"/>
        <v>385.33438646014054</v>
      </c>
      <c r="F23" s="2935">
        <f t="shared" si="26"/>
        <v>221.55034055567739</v>
      </c>
      <c r="G23" s="3751"/>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2722</v>
      </c>
      <c r="B24" s="2969">
        <v>278</v>
      </c>
      <c r="C24" s="2969">
        <v>234</v>
      </c>
      <c r="D24" s="2969">
        <f t="shared" si="16"/>
        <v>234</v>
      </c>
      <c r="E24" s="2969">
        <v>379</v>
      </c>
      <c r="F24" s="2970">
        <v>220</v>
      </c>
      <c r="G24" s="3744">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2723</v>
      </c>
      <c r="B25" s="2935">
        <f>B24/(1+N24)</f>
        <v>275.49301357645425</v>
      </c>
      <c r="C25" s="2935">
        <f>C24/(1+O24)</f>
        <v>232.41954707985698</v>
      </c>
      <c r="D25" s="2935">
        <f t="shared" si="16"/>
        <v>232.41954707985698</v>
      </c>
      <c r="E25" s="2935">
        <f t="shared" ref="E25:F27" si="27">E24/(1+P24)</f>
        <v>375.32184591008121</v>
      </c>
      <c r="F25" s="2935">
        <f t="shared" si="27"/>
        <v>218.03766105054513</v>
      </c>
      <c r="G25" s="3745"/>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2724</v>
      </c>
      <c r="B26" s="2935">
        <f>B25/(1+N25)</f>
        <v>275.24529281292263</v>
      </c>
      <c r="C26" s="2935">
        <f>C25/(1+O25)</f>
        <v>231.74747938962707</v>
      </c>
      <c r="D26" s="2935">
        <f t="shared" si="16"/>
        <v>231.74747938962707</v>
      </c>
      <c r="E26" s="2935">
        <f t="shared" si="27"/>
        <v>375.35938184826603</v>
      </c>
      <c r="F26" s="2935">
        <f t="shared" si="27"/>
        <v>216.78033510692495</v>
      </c>
      <c r="G26" s="3745"/>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2725</v>
      </c>
      <c r="B27" s="2935">
        <f>B26/(1+N26)</f>
        <v>275.19025476197027</v>
      </c>
      <c r="C27" s="2971">
        <v>232</v>
      </c>
      <c r="D27" s="2971">
        <f t="shared" si="16"/>
        <v>232</v>
      </c>
      <c r="E27" s="2935">
        <f t="shared" si="27"/>
        <v>375.65990977608692</v>
      </c>
      <c r="F27" s="2935">
        <f t="shared" si="27"/>
        <v>214.12518283971252</v>
      </c>
      <c r="G27" s="3746"/>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2726</v>
      </c>
      <c r="B28" s="2927">
        <v>275</v>
      </c>
      <c r="C28" s="2927">
        <v>232</v>
      </c>
      <c r="D28" s="2927">
        <f t="shared" si="16"/>
        <v>232</v>
      </c>
      <c r="E28" s="2927">
        <v>376</v>
      </c>
      <c r="F28" s="2928">
        <v>213</v>
      </c>
      <c r="G28" s="3744">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45">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2728</v>
      </c>
      <c r="B30" s="2935">
        <f t="shared" si="28"/>
        <v>275.19335084830601</v>
      </c>
      <c r="C30" s="2935">
        <f t="shared" si="28"/>
        <v>230.18088050139744</v>
      </c>
      <c r="D30" s="2935">
        <f t="shared" si="16"/>
        <v>230.18088050139744</v>
      </c>
      <c r="E30" s="2935">
        <f t="shared" si="29"/>
        <v>377.58482925212331</v>
      </c>
      <c r="F30" s="2935">
        <f t="shared" si="29"/>
        <v>210.90687997847917</v>
      </c>
      <c r="G30" s="3745">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2729</v>
      </c>
      <c r="B31" s="2935">
        <f t="shared" si="28"/>
        <v>276.29854502841971</v>
      </c>
      <c r="C31" s="2935">
        <f t="shared" si="28"/>
        <v>229.79023709833027</v>
      </c>
      <c r="D31" s="2935">
        <f t="shared" si="16"/>
        <v>229.79023709833027</v>
      </c>
      <c r="E31" s="2935">
        <f t="shared" si="29"/>
        <v>379.78759731655936</v>
      </c>
      <c r="F31" s="2935">
        <f t="shared" si="29"/>
        <v>211.32953905659235</v>
      </c>
      <c r="G31" s="3746">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2730</v>
      </c>
      <c r="B32" s="2927">
        <v>269</v>
      </c>
      <c r="C32" s="2927">
        <v>221</v>
      </c>
      <c r="D32" s="2927">
        <f t="shared" si="16"/>
        <v>221</v>
      </c>
      <c r="E32" s="2927">
        <v>373</v>
      </c>
      <c r="F32" s="2928">
        <v>196</v>
      </c>
      <c r="G32" s="3744">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45">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2732</v>
      </c>
      <c r="B34" s="2935">
        <f t="shared" si="30"/>
        <v>242.95398227588385</v>
      </c>
      <c r="C34" s="2935">
        <f t="shared" si="30"/>
        <v>199.59137053614126</v>
      </c>
      <c r="D34" s="2935">
        <f t="shared" si="16"/>
        <v>199.59137053614126</v>
      </c>
      <c r="E34" s="2935">
        <f t="shared" si="31"/>
        <v>335.92189522342125</v>
      </c>
      <c r="F34" s="2935">
        <f t="shared" si="31"/>
        <v>183.10139991109489</v>
      </c>
      <c r="G34" s="3745">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2733</v>
      </c>
      <c r="B35" s="2935">
        <f t="shared" si="30"/>
        <v>232.06990378821649</v>
      </c>
      <c r="C35" s="2935">
        <f t="shared" si="30"/>
        <v>192.74878854286936</v>
      </c>
      <c r="D35" s="2935">
        <f t="shared" si="16"/>
        <v>192.74878854286936</v>
      </c>
      <c r="E35" s="2935">
        <f t="shared" si="31"/>
        <v>319.71247284992984</v>
      </c>
      <c r="F35" s="2935">
        <f t="shared" si="31"/>
        <v>175.67053622862409</v>
      </c>
      <c r="G35" s="3746">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2734</v>
      </c>
      <c r="B36" s="2927">
        <v>220</v>
      </c>
      <c r="C36" s="2927">
        <v>187</v>
      </c>
      <c r="D36" s="2927">
        <f t="shared" si="16"/>
        <v>187</v>
      </c>
      <c r="E36" s="2927">
        <v>301</v>
      </c>
      <c r="F36" s="2928">
        <v>168</v>
      </c>
      <c r="G36" s="3744">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45">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2736</v>
      </c>
      <c r="B38" s="2935">
        <f t="shared" si="32"/>
        <v>210.630522469011</v>
      </c>
      <c r="C38" s="2935">
        <f t="shared" si="32"/>
        <v>181.69567812247232</v>
      </c>
      <c r="D38" s="2935">
        <f t="shared" si="16"/>
        <v>181.69567812247232</v>
      </c>
      <c r="E38" s="2935">
        <f t="shared" si="33"/>
        <v>286.13517466736738</v>
      </c>
      <c r="F38" s="2935">
        <f t="shared" si="33"/>
        <v>165.47535084591149</v>
      </c>
      <c r="G38" s="3745">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2737</v>
      </c>
      <c r="B39" s="2935">
        <f t="shared" si="32"/>
        <v>208.83454537875372</v>
      </c>
      <c r="C39" s="2935">
        <f t="shared" si="32"/>
        <v>183.77230517090351</v>
      </c>
      <c r="D39" s="2935">
        <f t="shared" si="16"/>
        <v>183.77230517090351</v>
      </c>
      <c r="E39" s="2935">
        <f t="shared" si="33"/>
        <v>281.10342338870947</v>
      </c>
      <c r="F39" s="2935">
        <f t="shared" si="33"/>
        <v>168.97309388942256</v>
      </c>
      <c r="G39" s="3746">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2738</v>
      </c>
      <c r="B40" s="2969">
        <v>214</v>
      </c>
      <c r="C40" s="2969">
        <v>188</v>
      </c>
      <c r="D40" s="2969">
        <f t="shared" si="16"/>
        <v>188</v>
      </c>
      <c r="E40" s="2969">
        <v>289</v>
      </c>
      <c r="F40" s="2970">
        <v>166</v>
      </c>
      <c r="G40" s="3744">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45">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2740</v>
      </c>
      <c r="B42" s="2935">
        <f t="shared" si="34"/>
        <v>206.31694671589116</v>
      </c>
      <c r="C42" s="2935">
        <f t="shared" si="34"/>
        <v>183.61041121036101</v>
      </c>
      <c r="D42" s="2935">
        <f t="shared" si="16"/>
        <v>183.61041121036101</v>
      </c>
      <c r="E42" s="2935">
        <f t="shared" si="35"/>
        <v>276.66850301795557</v>
      </c>
      <c r="F42" s="2935">
        <f t="shared" si="35"/>
        <v>165.1360938278614</v>
      </c>
      <c r="G42" s="3745">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2741</v>
      </c>
      <c r="B43" s="2972">
        <f t="shared" si="34"/>
        <v>196.62341248059772</v>
      </c>
      <c r="C43" s="2972">
        <f t="shared" si="34"/>
        <v>170.99125648199012</v>
      </c>
      <c r="D43" s="2972">
        <f t="shared" si="16"/>
        <v>170.99125648199012</v>
      </c>
      <c r="E43" s="2972">
        <f t="shared" si="35"/>
        <v>266.07857570490052</v>
      </c>
      <c r="F43" s="2972">
        <f t="shared" si="35"/>
        <v>154.53499328828505</v>
      </c>
      <c r="G43" s="3746">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2742</v>
      </c>
      <c r="B44" s="2927">
        <v>188</v>
      </c>
      <c r="C44" s="2927">
        <v>165</v>
      </c>
      <c r="D44" s="2927">
        <f t="shared" si="16"/>
        <v>165</v>
      </c>
      <c r="E44" s="2927">
        <v>254</v>
      </c>
      <c r="F44" s="2928">
        <v>148</v>
      </c>
      <c r="G44" s="3744">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45">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2744</v>
      </c>
      <c r="B46" s="2935">
        <f t="shared" si="38"/>
        <v>168.82017748715555</v>
      </c>
      <c r="C46" s="2935">
        <f t="shared" si="38"/>
        <v>148.06267029972753</v>
      </c>
      <c r="D46" s="2935">
        <f t="shared" si="16"/>
        <v>148.06267029972753</v>
      </c>
      <c r="E46" s="2935">
        <f t="shared" si="39"/>
        <v>216.46288379323747</v>
      </c>
      <c r="F46" s="2935">
        <f t="shared" si="39"/>
        <v>134.23529411764704</v>
      </c>
      <c r="G46" s="3745">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2745</v>
      </c>
      <c r="B47" s="2935">
        <f t="shared" si="38"/>
        <v>163.84913591779542</v>
      </c>
      <c r="C47" s="2935">
        <f t="shared" si="38"/>
        <v>145.0283378746594</v>
      </c>
      <c r="D47" s="2935">
        <f t="shared" si="16"/>
        <v>145.0283378746594</v>
      </c>
      <c r="E47" s="2935">
        <f t="shared" si="39"/>
        <v>204.95180722891567</v>
      </c>
      <c r="F47" s="2935">
        <f t="shared" si="39"/>
        <v>125.95920303605313</v>
      </c>
      <c r="G47" s="3746">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2746</v>
      </c>
      <c r="B48" s="2948">
        <v>159</v>
      </c>
      <c r="C48" s="2948">
        <v>141</v>
      </c>
      <c r="D48" s="2948">
        <f t="shared" si="16"/>
        <v>141</v>
      </c>
      <c r="E48" s="2948">
        <v>195</v>
      </c>
      <c r="F48" s="2949">
        <v>122</v>
      </c>
      <c r="G48" s="3744">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45">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2748</v>
      </c>
      <c r="B50" s="2935">
        <f t="shared" si="42"/>
        <v>146.57412060301507</v>
      </c>
      <c r="C50" s="2935">
        <f t="shared" si="42"/>
        <v>136.46831955922866</v>
      </c>
      <c r="D50" s="2935">
        <f t="shared" si="16"/>
        <v>136.46831955922866</v>
      </c>
      <c r="E50" s="2935">
        <f t="shared" si="43"/>
        <v>166.73864894795128</v>
      </c>
      <c r="F50" s="2935">
        <f t="shared" si="43"/>
        <v>115.05882352941177</v>
      </c>
      <c r="G50" s="3745">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2749</v>
      </c>
      <c r="B51" s="2935">
        <f t="shared" si="42"/>
        <v>144.04145728643215</v>
      </c>
      <c r="C51" s="2935">
        <f t="shared" si="42"/>
        <v>136.12396694214877</v>
      </c>
      <c r="D51" s="2935">
        <f t="shared" si="16"/>
        <v>136.12396694214877</v>
      </c>
      <c r="E51" s="2935">
        <f t="shared" si="43"/>
        <v>158.32225913621264</v>
      </c>
      <c r="F51" s="2935">
        <f t="shared" si="43"/>
        <v>114.04278074866311</v>
      </c>
      <c r="G51" s="3746">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2750</v>
      </c>
      <c r="B52" s="2948">
        <v>138</v>
      </c>
      <c r="C52" s="2948">
        <v>131</v>
      </c>
      <c r="D52" s="2948">
        <f t="shared" si="16"/>
        <v>131</v>
      </c>
      <c r="E52" s="2948">
        <v>155</v>
      </c>
      <c r="F52" s="2949">
        <v>114</v>
      </c>
      <c r="G52" s="3744">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45">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2752</v>
      </c>
      <c r="B54" s="2935">
        <f t="shared" si="46"/>
        <v>124.29032258064517</v>
      </c>
      <c r="C54" s="2935">
        <f t="shared" si="46"/>
        <v>123.8968609865471</v>
      </c>
      <c r="D54" s="2935">
        <f t="shared" si="16"/>
        <v>123.8968609865471</v>
      </c>
      <c r="E54" s="2935">
        <f t="shared" si="47"/>
        <v>138.00507614213197</v>
      </c>
      <c r="F54" s="2935">
        <f t="shared" si="47"/>
        <v>107.96106557377048</v>
      </c>
      <c r="G54" s="3745">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2753</v>
      </c>
      <c r="B55" s="2935">
        <f t="shared" si="46"/>
        <v>122.57204301075269</v>
      </c>
      <c r="C55" s="2935">
        <f t="shared" si="46"/>
        <v>123.4932735426009</v>
      </c>
      <c r="D55" s="2935">
        <f t="shared" si="16"/>
        <v>123.4932735426009</v>
      </c>
      <c r="E55" s="2935">
        <f t="shared" si="47"/>
        <v>129.82233502538071</v>
      </c>
      <c r="F55" s="2935">
        <f t="shared" si="47"/>
        <v>107.39446721311475</v>
      </c>
      <c r="G55" s="3746">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2754</v>
      </c>
      <c r="B56" s="2969">
        <v>121</v>
      </c>
      <c r="C56" s="2969">
        <v>122</v>
      </c>
      <c r="D56" s="2969">
        <f t="shared" si="16"/>
        <v>122</v>
      </c>
      <c r="E56" s="2969">
        <v>124</v>
      </c>
      <c r="F56" s="2970">
        <v>107</v>
      </c>
      <c r="G56" s="3744">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45">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2756</v>
      </c>
      <c r="B58" s="2935">
        <f t="shared" si="50"/>
        <v>116.99099099099099</v>
      </c>
      <c r="C58" s="2935">
        <f t="shared" si="50"/>
        <v>118.84848484848486</v>
      </c>
      <c r="D58" s="2935">
        <f t="shared" si="16"/>
        <v>118.84848484848486</v>
      </c>
      <c r="E58" s="2935">
        <f t="shared" si="51"/>
        <v>117.60960960960961</v>
      </c>
      <c r="F58" s="2935">
        <f t="shared" si="51"/>
        <v>104</v>
      </c>
      <c r="G58" s="3745">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2757</v>
      </c>
      <c r="B59" s="2972">
        <f t="shared" si="50"/>
        <v>112.48648648648648</v>
      </c>
      <c r="C59" s="2972">
        <f t="shared" si="50"/>
        <v>115.21212121212122</v>
      </c>
      <c r="D59" s="2972">
        <f t="shared" si="16"/>
        <v>115.21212121212122</v>
      </c>
      <c r="E59" s="2972">
        <f t="shared" si="51"/>
        <v>110.4024024024024</v>
      </c>
      <c r="F59" s="2972">
        <f t="shared" si="51"/>
        <v>104</v>
      </c>
      <c r="G59" s="3746">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2758</v>
      </c>
      <c r="B60" s="2990">
        <v>111</v>
      </c>
      <c r="C60" s="2990">
        <v>114</v>
      </c>
      <c r="D60" s="2990">
        <f t="shared" si="16"/>
        <v>114</v>
      </c>
      <c r="E60" s="2990">
        <v>108</v>
      </c>
      <c r="F60" s="2991">
        <v>104</v>
      </c>
      <c r="G60" s="3744">
        <v>2003</v>
      </c>
      <c r="H60" s="2980">
        <v>4</v>
      </c>
      <c r="I60" s="2992"/>
      <c r="J60" s="2992"/>
      <c r="K60" s="2992"/>
      <c r="L60" s="2992"/>
      <c r="N60" s="2993"/>
      <c r="O60" s="2992"/>
      <c r="P60" s="2992"/>
      <c r="Q60" s="2992"/>
      <c r="S60" s="2993"/>
      <c r="T60" s="2992"/>
      <c r="U60" s="2992"/>
      <c r="V60" s="2992"/>
      <c r="X60" s="2984"/>
      <c r="Y60" s="2984"/>
      <c r="Z60" s="2984"/>
    </row>
    <row r="61" spans="1:26">
      <c r="A61" s="2915" t="s">
        <v>2759</v>
      </c>
      <c r="B61" s="2994">
        <f t="shared" ref="B61:C63" si="52">B62+(B$60-B$64)/4</f>
        <v>109.75</v>
      </c>
      <c r="C61" s="2994">
        <f t="shared" si="52"/>
        <v>112.25</v>
      </c>
      <c r="D61" s="2994">
        <f t="shared" si="16"/>
        <v>112.25</v>
      </c>
      <c r="E61" s="2994">
        <f t="shared" ref="E61:F63" si="53">E62+(E$60-E$64)/4</f>
        <v>107.25</v>
      </c>
      <c r="F61" s="2994">
        <f t="shared" si="53"/>
        <v>103.5</v>
      </c>
      <c r="G61" s="3745">
        <v>2003</v>
      </c>
      <c r="H61" s="2945">
        <v>3</v>
      </c>
      <c r="I61" s="2992"/>
      <c r="J61" s="2992"/>
      <c r="K61" s="2992"/>
      <c r="L61" s="2992"/>
      <c r="X61" s="2984"/>
      <c r="Y61" s="2984"/>
      <c r="Z61" s="2984"/>
    </row>
    <row r="62" spans="1:26">
      <c r="A62" s="2915" t="s">
        <v>2760</v>
      </c>
      <c r="B62" s="2994">
        <f t="shared" si="52"/>
        <v>108.5</v>
      </c>
      <c r="C62" s="2994">
        <f t="shared" si="52"/>
        <v>110.5</v>
      </c>
      <c r="D62" s="2994">
        <f t="shared" si="16"/>
        <v>110.5</v>
      </c>
      <c r="E62" s="2994">
        <f t="shared" si="53"/>
        <v>106.5</v>
      </c>
      <c r="F62" s="2994">
        <f t="shared" si="53"/>
        <v>103</v>
      </c>
      <c r="G62" s="3745">
        <v>2003</v>
      </c>
      <c r="H62" s="2921">
        <v>2</v>
      </c>
      <c r="I62" s="2992"/>
      <c r="J62" s="2992"/>
      <c r="K62" s="2992"/>
      <c r="L62" s="2992"/>
      <c r="X62" s="2984"/>
      <c r="Y62" s="2984"/>
      <c r="Z62" s="2984"/>
    </row>
    <row r="63" spans="1:26" ht="13.5" thickBot="1">
      <c r="A63" s="2915" t="s">
        <v>2761</v>
      </c>
      <c r="B63" s="2994">
        <f t="shared" si="52"/>
        <v>107.25</v>
      </c>
      <c r="C63" s="2994">
        <f t="shared" si="52"/>
        <v>108.75</v>
      </c>
      <c r="D63" s="2994">
        <f t="shared" si="16"/>
        <v>108.75</v>
      </c>
      <c r="E63" s="2994">
        <f t="shared" si="53"/>
        <v>105.75</v>
      </c>
      <c r="F63" s="2994">
        <f t="shared" si="53"/>
        <v>102.5</v>
      </c>
      <c r="G63" s="3746">
        <v>2003</v>
      </c>
      <c r="H63" s="2995">
        <v>1</v>
      </c>
      <c r="I63" s="2992"/>
      <c r="J63" s="2992"/>
      <c r="K63" s="2992"/>
      <c r="L63" s="2992"/>
      <c r="S63" s="2930"/>
      <c r="T63" s="2931"/>
      <c r="U63" s="2931"/>
      <c r="X63" s="2984"/>
      <c r="Y63" s="2984"/>
      <c r="Z63" s="2984"/>
    </row>
    <row r="64" spans="1:26" ht="13.5" thickBot="1">
      <c r="A64" s="2915" t="s">
        <v>2762</v>
      </c>
      <c r="B64" s="2996">
        <v>106</v>
      </c>
      <c r="C64" s="2996">
        <v>107</v>
      </c>
      <c r="D64" s="2996">
        <f t="shared" si="16"/>
        <v>107</v>
      </c>
      <c r="E64" s="2996">
        <v>105</v>
      </c>
      <c r="F64" s="2997">
        <v>102</v>
      </c>
      <c r="G64" s="3744">
        <v>2002</v>
      </c>
      <c r="H64" s="2940">
        <v>4</v>
      </c>
      <c r="I64" s="2992"/>
      <c r="J64" s="2992"/>
      <c r="K64" s="2992"/>
      <c r="L64" s="2992"/>
      <c r="N64" s="2993"/>
      <c r="O64" s="2992"/>
      <c r="P64" s="2992"/>
      <c r="Q64" s="2992"/>
      <c r="S64" s="2993"/>
      <c r="T64" s="2992"/>
      <c r="U64" s="2992"/>
      <c r="V64" s="2992"/>
      <c r="X64" s="2984"/>
      <c r="Y64" s="2984"/>
      <c r="Z64" s="2984"/>
    </row>
    <row r="65" spans="1:26">
      <c r="A65" s="2915" t="s">
        <v>2763</v>
      </c>
      <c r="B65" s="2994">
        <f t="shared" ref="B65:C67" si="54">B66+(B$64-B$68)/4</f>
        <v>105</v>
      </c>
      <c r="C65" s="2994">
        <f t="shared" si="54"/>
        <v>106</v>
      </c>
      <c r="D65" s="2994">
        <f t="shared" si="16"/>
        <v>106</v>
      </c>
      <c r="E65" s="2994">
        <f t="shared" ref="E65:F67" si="55">E66+(E$64-E$68)/4</f>
        <v>104.5</v>
      </c>
      <c r="F65" s="2994">
        <f t="shared" si="55"/>
        <v>101.5</v>
      </c>
      <c r="G65" s="3745">
        <v>2002</v>
      </c>
      <c r="H65" s="2945">
        <v>3</v>
      </c>
      <c r="I65" s="2992"/>
      <c r="J65" s="2992"/>
      <c r="K65" s="2992"/>
      <c r="L65" s="2992"/>
      <c r="X65" s="2984"/>
      <c r="Y65" s="2984"/>
      <c r="Z65" s="2984"/>
    </row>
    <row r="66" spans="1:26">
      <c r="A66" s="2915" t="s">
        <v>2764</v>
      </c>
      <c r="B66" s="2994">
        <f t="shared" si="54"/>
        <v>104</v>
      </c>
      <c r="C66" s="2994">
        <f t="shared" si="54"/>
        <v>105</v>
      </c>
      <c r="D66" s="2994">
        <f t="shared" si="16"/>
        <v>105</v>
      </c>
      <c r="E66" s="2994">
        <f t="shared" si="55"/>
        <v>104</v>
      </c>
      <c r="F66" s="2994">
        <f t="shared" si="55"/>
        <v>101</v>
      </c>
      <c r="G66" s="3745">
        <v>2002</v>
      </c>
      <c r="H66" s="2921">
        <v>2</v>
      </c>
      <c r="I66" s="2992"/>
      <c r="J66" s="2992"/>
      <c r="K66" s="2992"/>
      <c r="L66" s="2992"/>
      <c r="X66" s="2984"/>
      <c r="Y66" s="2984"/>
      <c r="Z66" s="2984"/>
    </row>
    <row r="67" spans="1:26" s="2956" customFormat="1" ht="13.5" thickBot="1">
      <c r="A67" s="2952" t="s">
        <v>2765</v>
      </c>
      <c r="B67" s="2998">
        <f t="shared" si="54"/>
        <v>103</v>
      </c>
      <c r="C67" s="2998">
        <f t="shared" si="54"/>
        <v>104</v>
      </c>
      <c r="D67" s="2998">
        <f t="shared" si="16"/>
        <v>104</v>
      </c>
      <c r="E67" s="2998">
        <f t="shared" si="55"/>
        <v>103.5</v>
      </c>
      <c r="F67" s="2998">
        <f t="shared" si="55"/>
        <v>100.5</v>
      </c>
      <c r="G67" s="3746">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2766</v>
      </c>
      <c r="G70" s="3008"/>
      <c r="N70" s="3008"/>
      <c r="S70" s="3008"/>
    </row>
    <row r="71" spans="1:26" s="3007" customFormat="1">
      <c r="A71" s="3007" t="s">
        <v>2767</v>
      </c>
      <c r="G71" s="3008"/>
      <c r="N71" s="3008"/>
      <c r="S71" s="3008"/>
    </row>
    <row r="72" spans="1:26" s="3007" customFormat="1">
      <c r="A72" s="3007" t="s">
        <v>2768</v>
      </c>
      <c r="G72" s="3008"/>
      <c r="I72" s="3009"/>
      <c r="J72" s="3009"/>
      <c r="K72" s="3009"/>
      <c r="L72" s="3009"/>
      <c r="N72" s="3010"/>
      <c r="O72" s="3009"/>
      <c r="P72" s="3009"/>
      <c r="Q72" s="3009"/>
      <c r="S72" s="3010"/>
      <c r="T72" s="3009"/>
      <c r="U72" s="3009"/>
      <c r="V72" s="3009"/>
    </row>
    <row r="73" spans="1:26" s="3007" customFormat="1">
      <c r="A73" s="3007" t="s">
        <v>2769</v>
      </c>
      <c r="G73" s="3008"/>
      <c r="N73" s="3008"/>
      <c r="S73" s="3008"/>
    </row>
    <row r="80" spans="1:26" ht="13.5" thickBot="1"/>
    <row r="81" spans="14:22" s="2929" customFormat="1">
      <c r="N81" s="2944"/>
      <c r="S81" s="3011" t="s">
        <v>2770</v>
      </c>
      <c r="T81" s="3012" t="s">
        <v>2771</v>
      </c>
      <c r="U81" s="3012" t="s">
        <v>2772</v>
      </c>
      <c r="V81" s="3012" t="s">
        <v>2773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2373</v>
      </c>
      <c r="C1" s="3755" t="s">
        <v>2374</v>
      </c>
      <c r="D1" s="3756"/>
      <c r="E1" s="3756"/>
      <c r="F1" s="3756"/>
      <c r="G1" s="3756"/>
      <c r="H1" s="3756"/>
      <c r="I1" s="3756"/>
      <c r="J1" s="3756"/>
      <c r="K1" s="3756"/>
      <c r="L1" s="3756"/>
      <c r="M1" s="3756"/>
      <c r="N1" s="3756"/>
      <c r="O1" s="3756"/>
      <c r="P1" s="3756"/>
      <c r="Q1" s="3756"/>
      <c r="R1" s="3756"/>
      <c r="S1" s="3757"/>
      <c r="T1" s="2441" t="s">
        <v>2375</v>
      </c>
    </row>
    <row r="2" spans="1:45" s="1116" customFormat="1">
      <c r="A2" s="2442"/>
      <c r="B2" s="1112" t="s">
        <v>2376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3" t="s">
        <v>3020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4" t="s">
        <v>3019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4" t="s">
        <v>3018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3" t="s">
        <v>3017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3" t="s">
        <v>3016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3" t="s">
        <v>3015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2377</v>
      </c>
      <c r="B17" s="2485" t="s">
        <v>2378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4" t="s">
        <v>3053</v>
      </c>
      <c r="E19" s="3349"/>
      <c r="F19" s="3349"/>
      <c r="G19" s="3349"/>
      <c r="H19" s="2538"/>
      <c r="I19" s="500"/>
      <c r="J19" s="500"/>
      <c r="K19" s="500"/>
      <c r="L19" s="500"/>
      <c r="M19" s="500"/>
      <c r="N19" s="500"/>
      <c r="O19" s="500"/>
      <c r="P19" s="500"/>
      <c r="Q19" s="500"/>
      <c r="R19" s="1416"/>
      <c r="S19" s="469"/>
    </row>
    <row r="20" spans="1:45" ht="16.5" thickBot="1">
      <c r="A20" s="1124" t="s">
        <v>518</v>
      </c>
      <c r="B20" s="673" t="e">
        <f ca="1">IF(D20="——",S22,S22-F20)</f>
        <v>#REF!</v>
      </c>
      <c r="C20" s="500"/>
      <c r="D20" s="3350" t="s">
        <v>3054</v>
      </c>
      <c r="E20" s="3351"/>
      <c r="F20" s="2441" t="e">
        <f ca="1">SUMIF(INDIRECT("'"&amp;H20&amp;"'"&amp;"!A:A"),"承租人权益价值",INDIRECT("'"&amp;H20&amp;"'"&amp;"!c:c"))</f>
        <v>#REF!</v>
      </c>
      <c r="G20" s="3352" t="s">
        <v>3041</v>
      </c>
      <c r="H20" s="3353"/>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52" t="s">
        <v>166</v>
      </c>
      <c r="D22" s="3753"/>
      <c r="E22" s="3753"/>
      <c r="F22" s="3753"/>
      <c r="G22" s="3753"/>
      <c r="H22" s="3753"/>
      <c r="I22" s="3753"/>
      <c r="J22" s="3753"/>
      <c r="K22" s="3753"/>
      <c r="L22" s="3753"/>
      <c r="M22" s="3753"/>
      <c r="N22" s="3753"/>
      <c r="O22" s="3753"/>
      <c r="P22" s="3753"/>
      <c r="Q22" s="3754"/>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0" sqref="C20"/>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7"/>
      <c r="C2" s="3387"/>
      <c r="D2" s="3387"/>
      <c r="E2" s="3387"/>
    </row>
    <row r="3" spans="1:5" ht="18.75">
      <c r="A3" s="3388" t="str">
        <f>IF(项目基本情况!B9="房地产市场价值","估价结果一览表（市场价值不需“结果表-1”）","估价结果一览表")</f>
        <v>估价结果一览表</v>
      </c>
      <c r="B3" s="3388"/>
      <c r="C3" s="3388"/>
      <c r="D3" s="3388"/>
      <c r="E3" s="3388"/>
    </row>
    <row r="4" spans="1:5" ht="19.5" thickBot="1">
      <c r="A4" s="1976"/>
      <c r="B4" s="3386" t="s">
        <v>2029</v>
      </c>
      <c r="C4" s="3386"/>
      <c r="D4" s="3386"/>
      <c r="E4" s="1976"/>
    </row>
    <row r="5" spans="1:5" ht="16.5" thickTop="1">
      <c r="A5" s="1964"/>
      <c r="B5" s="3384" t="s">
        <v>2025</v>
      </c>
      <c r="C5" s="1966" t="s">
        <v>2030</v>
      </c>
      <c r="D5" s="1967">
        <f ca="1">结果表!H101</f>
        <v>56443</v>
      </c>
      <c r="E5" s="1964"/>
    </row>
    <row r="6" spans="1:5" ht="15.75">
      <c r="A6" s="1964"/>
      <c r="B6" s="3384"/>
      <c r="C6" s="1966" t="s">
        <v>2862</v>
      </c>
      <c r="D6" s="1967" t="str">
        <f ca="1">NUMBERSTRING(INT(D5*10000),2)&amp;"元整"</f>
        <v>伍亿陆仟肆佰肆拾叁万元整</v>
      </c>
      <c r="E6" s="1964"/>
    </row>
    <row r="7" spans="1:5" ht="15.75">
      <c r="A7" s="1964"/>
      <c r="B7" s="3389"/>
      <c r="C7" s="1968" t="s">
        <v>2031</v>
      </c>
      <c r="D7" s="1969">
        <f ca="1">结果表!H102</f>
        <v>14904</v>
      </c>
      <c r="E7" s="1964"/>
    </row>
    <row r="8" spans="1:5" ht="15.75">
      <c r="A8" s="1964"/>
      <c r="B8" s="3390" t="str">
        <f>结果表!E103</f>
        <v>2.估价师知悉的法定优先受偿款</v>
      </c>
      <c r="C8" s="1970" t="s">
        <v>2032</v>
      </c>
      <c r="D8" s="1969">
        <f>结果表!H103</f>
        <v>0</v>
      </c>
      <c r="E8" s="1964"/>
    </row>
    <row r="9" spans="1:5" ht="15.75">
      <c r="A9" s="1964"/>
      <c r="B9" s="3392"/>
      <c r="C9" s="1966" t="s">
        <v>2862</v>
      </c>
      <c r="D9" s="1967" t="str">
        <f>NUMBERSTRING(INT(D8*10000),2)&amp;"元整"</f>
        <v>零元整</v>
      </c>
      <c r="E9" s="1964"/>
    </row>
    <row r="10" spans="1:5" ht="15">
      <c r="A10" s="1964"/>
      <c r="B10" s="1971" t="s">
        <v>2026</v>
      </c>
      <c r="C10" s="1972" t="s">
        <v>2032</v>
      </c>
      <c r="D10" s="1973">
        <f>结果表!H104</f>
        <v>20000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83" t="str">
        <f>结果表!E107</f>
        <v>3.房地产抵押价值</v>
      </c>
      <c r="C13" s="1974" t="s">
        <v>2030</v>
      </c>
      <c r="D13" s="1977">
        <f ca="1">结果表!H107</f>
        <v>56443</v>
      </c>
      <c r="E13" s="1964"/>
    </row>
    <row r="14" spans="1:5" ht="15.75">
      <c r="A14" s="1964"/>
      <c r="B14" s="3384"/>
      <c r="C14" s="1966" t="s">
        <v>2862</v>
      </c>
      <c r="D14" s="1967" t="str">
        <f ca="1">NUMBERSTRING(INT(D13*10000),2)&amp;"元整"</f>
        <v>伍亿陆仟肆佰肆拾叁万元整</v>
      </c>
      <c r="E14" s="1964"/>
    </row>
    <row r="15" spans="1:5" ht="15">
      <c r="A15" s="1964"/>
      <c r="B15" s="3389"/>
      <c r="C15" s="1968" t="s">
        <v>2031</v>
      </c>
      <c r="D15" s="2078">
        <f ca="1">结果表!H108</f>
        <v>14904</v>
      </c>
      <c r="E15" s="1964"/>
    </row>
    <row r="16" spans="1:5" ht="14.25">
      <c r="A16" s="1964"/>
      <c r="B16" s="3390" t="str">
        <f>结果表!E109</f>
        <v>——</v>
      </c>
      <c r="C16" s="1974" t="s">
        <v>2030</v>
      </c>
      <c r="D16" s="2079" t="str">
        <f>结果表!H109</f>
        <v>——</v>
      </c>
      <c r="E16" s="1964"/>
    </row>
    <row r="17" spans="1:5" ht="15.75">
      <c r="A17" s="1964"/>
      <c r="B17" s="3391"/>
      <c r="C17" s="1966" t="s">
        <v>2862</v>
      </c>
      <c r="D17" s="1967" t="e">
        <f>NUMBERSTRING(INT(D16*10000),2)&amp;"元整"</f>
        <v>#VALUE!</v>
      </c>
      <c r="E17" s="1964"/>
    </row>
    <row r="18" spans="1:5" ht="15">
      <c r="A18" s="1964"/>
      <c r="B18" s="3392"/>
      <c r="C18" s="1968" t="s">
        <v>2031</v>
      </c>
      <c r="D18" s="2078" t="str">
        <f>结果表!H110</f>
        <v>——</v>
      </c>
      <c r="E18" s="1964"/>
    </row>
    <row r="19" spans="1:5" ht="15.75">
      <c r="A19" s="1964"/>
      <c r="B19" s="3383" t="str">
        <f>结果表!E111</f>
        <v>——</v>
      </c>
      <c r="C19" s="1974" t="s">
        <v>2030</v>
      </c>
      <c r="D19" s="1969" t="str">
        <f>结果表!H111</f>
        <v>——</v>
      </c>
      <c r="E19" s="1964"/>
    </row>
    <row r="20" spans="1:5" ht="15.75">
      <c r="A20" s="1964"/>
      <c r="B20" s="3384"/>
      <c r="C20" s="1966" t="s">
        <v>2862</v>
      </c>
      <c r="D20" s="1967" t="e">
        <f>NUMBERSTRING(INT(D19*10000),2)&amp;"元整"</f>
        <v>#VALUE!</v>
      </c>
      <c r="E20" s="1964"/>
    </row>
    <row r="21" spans="1:5" ht="15.75" thickBot="1">
      <c r="A21" s="1964"/>
      <c r="B21" s="3385"/>
      <c r="C21" s="2080" t="s">
        <v>2031</v>
      </c>
      <c r="D21" s="2081" t="str">
        <f>结果表!H112</f>
        <v>——</v>
      </c>
      <c r="E21" s="1964"/>
    </row>
    <row r="22" spans="1:5" ht="14.25" thickTop="1">
      <c r="A22" s="1964"/>
      <c r="B22" s="1975" t="s">
        <v>2053</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44053</v>
      </c>
      <c r="C2" s="85" t="s">
        <v>862</v>
      </c>
      <c r="D2" s="575"/>
      <c r="E2" s="575"/>
      <c r="F2" s="575"/>
      <c r="G2" s="575"/>
    </row>
    <row r="3" spans="1:7" s="576" customFormat="1" ht="18" customHeight="1" thickBot="1">
      <c r="A3" s="579" t="s">
        <v>814</v>
      </c>
      <c r="B3" s="580">
        <f ca="1">ROUND(B2*10000/'数据-汇总表'!E3,0)</f>
        <v>11632</v>
      </c>
      <c r="C3" s="85" t="s">
        <v>863</v>
      </c>
      <c r="D3" s="575"/>
      <c r="E3" s="575"/>
      <c r="F3" s="575"/>
      <c r="G3" s="575"/>
    </row>
    <row r="4" spans="1:7" s="584" customFormat="1" ht="15.75">
      <c r="A4" s="581" t="s">
        <v>815</v>
      </c>
      <c r="B4" s="582"/>
      <c r="C4" s="582"/>
      <c r="D4" s="582"/>
      <c r="E4" s="582"/>
      <c r="F4" s="582"/>
      <c r="G4" s="583"/>
    </row>
    <row r="5" spans="1:7" s="590" customFormat="1" ht="13.5" customHeight="1">
      <c r="A5" s="631" t="s">
        <v>2496</v>
      </c>
      <c r="B5" s="586" t="s">
        <v>816</v>
      </c>
      <c r="C5" s="587">
        <f>C6+C7+C8</f>
        <v>20610</v>
      </c>
      <c r="D5" s="587" t="s">
        <v>817</v>
      </c>
      <c r="E5" s="588" t="s">
        <v>818</v>
      </c>
      <c r="F5" s="588" t="s">
        <v>819</v>
      </c>
      <c r="G5" s="589"/>
    </row>
    <row r="6" spans="1:7" s="590" customFormat="1" ht="13.5" customHeight="1">
      <c r="A6" s="1804" t="s">
        <v>1918</v>
      </c>
      <c r="B6" s="591" t="s">
        <v>820</v>
      </c>
      <c r="C6" s="592">
        <v>20000</v>
      </c>
      <c r="D6" s="593"/>
      <c r="E6" s="594"/>
      <c r="F6" s="594"/>
      <c r="G6" s="595"/>
    </row>
    <row r="7" spans="1:7" s="590" customFormat="1" ht="13.5" customHeight="1">
      <c r="A7" s="1804" t="s">
        <v>1919</v>
      </c>
      <c r="B7" s="591" t="s">
        <v>344</v>
      </c>
      <c r="C7" s="596">
        <f>ROUND(C6*F7,0)</f>
        <v>610</v>
      </c>
      <c r="D7" s="596"/>
      <c r="E7" s="594"/>
      <c r="F7" s="597">
        <f>'数据-取费表'!B48+'数据-取费表'!B49</f>
        <v>3.0499999999999999E-2</v>
      </c>
      <c r="G7" s="595"/>
    </row>
    <row r="8" spans="1:7" s="599" customFormat="1">
      <c r="A8" s="1804" t="s">
        <v>1920</v>
      </c>
      <c r="B8" s="591" t="s">
        <v>821</v>
      </c>
      <c r="C8" s="596" t="str">
        <f>IF(G8="已包含在土地购买价格中","0",'数据-取费表'!B29)</f>
        <v>0</v>
      </c>
      <c r="D8" s="598"/>
      <c r="E8" s="596"/>
      <c r="F8" s="597"/>
      <c r="G8" s="84" t="s">
        <v>2673</v>
      </c>
    </row>
    <row r="9" spans="1:7" s="590" customFormat="1" ht="13.5" customHeight="1">
      <c r="A9" s="1805" t="s">
        <v>1927</v>
      </c>
      <c r="B9" s="600" t="s">
        <v>822</v>
      </c>
      <c r="C9" s="601">
        <f>ROUND(D9*E9/10000,0)</f>
        <v>0</v>
      </c>
      <c r="D9" s="1909">
        <f>'数据-汇总表'!E5</f>
        <v>0</v>
      </c>
      <c r="E9" s="601">
        <f>'数据-取费表'!B27</f>
        <v>0</v>
      </c>
      <c r="F9" s="597"/>
      <c r="G9" s="602"/>
    </row>
    <row r="10" spans="1:7" s="590" customFormat="1" ht="13.5" customHeight="1">
      <c r="A10" s="1805" t="s">
        <v>1928</v>
      </c>
      <c r="B10" s="600" t="s">
        <v>823</v>
      </c>
      <c r="C10" s="601">
        <f>ROUND(D10*E10/10000,0)</f>
        <v>1098</v>
      </c>
      <c r="D10" s="1909">
        <f>'数据-汇总表'!E6</f>
        <v>37870.639999999999</v>
      </c>
      <c r="E10" s="601">
        <f>'数据-取费表'!B28</f>
        <v>290</v>
      </c>
      <c r="F10" s="597"/>
      <c r="G10" s="602"/>
    </row>
    <row r="11" spans="1:7" s="590" customFormat="1" ht="13.5" hidden="1" customHeight="1">
      <c r="A11" s="603" t="s">
        <v>42</v>
      </c>
      <c r="B11" s="591" t="s">
        <v>824</v>
      </c>
      <c r="C11" s="587"/>
      <c r="D11" s="1911"/>
      <c r="E11" s="594"/>
      <c r="F11" s="594"/>
      <c r="G11" s="595"/>
    </row>
    <row r="12" spans="1:7" s="590" customFormat="1" ht="13.5" hidden="1" customHeight="1">
      <c r="A12" s="603" t="s">
        <v>43</v>
      </c>
      <c r="B12" s="591" t="s">
        <v>825</v>
      </c>
      <c r="C12" s="587">
        <v>0</v>
      </c>
      <c r="D12" s="1911"/>
      <c r="E12" s="604"/>
      <c r="F12" s="597">
        <v>3.0499999999999999E-2</v>
      </c>
      <c r="G12" s="595"/>
    </row>
    <row r="13" spans="1:7" s="590" customFormat="1" ht="13.5" hidden="1" customHeight="1">
      <c r="A13" s="603" t="s">
        <v>44</v>
      </c>
      <c r="B13" s="591" t="s">
        <v>826</v>
      </c>
      <c r="C13" s="587"/>
      <c r="D13" s="1911"/>
      <c r="E13" s="594"/>
      <c r="F13" s="594"/>
      <c r="G13" s="595"/>
    </row>
    <row r="14" spans="1:7" s="590" customFormat="1" ht="13.5" hidden="1" customHeight="1">
      <c r="A14" s="603" t="s">
        <v>45</v>
      </c>
      <c r="B14" s="591" t="s">
        <v>821</v>
      </c>
      <c r="C14" s="587"/>
      <c r="D14" s="1911"/>
      <c r="E14" s="594"/>
      <c r="F14" s="594"/>
      <c r="G14" s="595" t="s">
        <v>827</v>
      </c>
    </row>
    <row r="15" spans="1:7" s="590" customFormat="1" ht="13.5" hidden="1" customHeight="1">
      <c r="A15" s="603" t="s">
        <v>46</v>
      </c>
      <c r="B15" s="591" t="s">
        <v>828</v>
      </c>
      <c r="C15" s="596"/>
      <c r="D15" s="1911"/>
      <c r="E15" s="594"/>
      <c r="F15" s="594"/>
      <c r="G15" s="595" t="s">
        <v>829</v>
      </c>
    </row>
    <row r="16" spans="1:7"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IF(G19="已包含在土地取得成本中","0",ROUND(D19*E19/10000,0))</f>
        <v>757</v>
      </c>
      <c r="D19" s="1913">
        <f>'数据-汇总表'!E3</f>
        <v>37870.639999999999</v>
      </c>
      <c r="E19" s="587">
        <f>'数据-取费表'!B31</f>
        <v>200</v>
      </c>
      <c r="F19" s="607"/>
      <c r="G19" s="84" t="s">
        <v>2519</v>
      </c>
    </row>
    <row r="20" spans="1:7" s="590" customFormat="1" ht="13.5" customHeight="1">
      <c r="A20" s="1803" t="s">
        <v>2499</v>
      </c>
      <c r="B20" s="586" t="s">
        <v>833</v>
      </c>
      <c r="C20" s="608">
        <f>ROUND((C5+C19)*F20,0)</f>
        <v>641</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944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1921</v>
      </c>
      <c r="B23" s="591" t="s">
        <v>2503</v>
      </c>
      <c r="C23" s="2700">
        <f ca="1">ROUND(IF('数据-取费表'!B22&lt;=1,C5*F22*'数据-取费表'!B23,C5*(POWER((1+F22),'数据-取费表'!B23)-1)),0)</f>
        <v>897</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14</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C28</f>
        <v>4402</v>
      </c>
      <c r="D27" s="611">
        <f>C29</f>
        <v>6.0000000000000001E-3</v>
      </c>
      <c r="E27" s="612" t="s">
        <v>855</v>
      </c>
      <c r="F27" s="622">
        <f>'数据-取费表'!Q16</f>
        <v>0.2</v>
      </c>
      <c r="G27" s="623" t="s">
        <v>2511</v>
      </c>
    </row>
    <row r="28" spans="1:7" s="590" customFormat="1" ht="13.5" customHeight="1">
      <c r="A28" s="1806" t="s">
        <v>1921</v>
      </c>
      <c r="B28" s="624" t="s">
        <v>2504</v>
      </c>
      <c r="C28" s="625">
        <f>ROUND((C5+C19+C20)*F27*'数据-取费表'!B21/'数据-取费表'!B20,0)</f>
        <v>4402</v>
      </c>
      <c r="D28" s="611"/>
      <c r="E28" s="612"/>
      <c r="F28" s="622"/>
      <c r="G28" s="623"/>
    </row>
    <row r="29" spans="1:7" s="590" customFormat="1" ht="13.5" customHeight="1">
      <c r="A29" s="1806" t="s">
        <v>1919</v>
      </c>
      <c r="B29" s="624" t="s">
        <v>2505</v>
      </c>
      <c r="C29" s="614">
        <f>ROUND(C21*F27*'数据-取费表'!B21/'数据-取费表'!B20,4)</f>
        <v>6.0000000000000001E-3</v>
      </c>
      <c r="D29" s="611"/>
      <c r="E29" s="612"/>
      <c r="F29" s="622"/>
      <c r="G29" s="623"/>
    </row>
    <row r="30" spans="1:7" s="590" customFormat="1" ht="13.5" customHeight="1">
      <c r="A30" s="1803" t="s">
        <v>1915</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30060</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SUM(C34:C38)</f>
        <v>11243</v>
      </c>
      <c r="D33" s="608"/>
      <c r="E33" s="588"/>
      <c r="F33" s="617"/>
      <c r="G33" s="610"/>
    </row>
    <row r="34" spans="1:7" s="634" customFormat="1" ht="13.5" customHeight="1">
      <c r="A34" s="1806" t="s">
        <v>1921</v>
      </c>
      <c r="B34" s="591" t="s">
        <v>346</v>
      </c>
      <c r="C34" s="596">
        <f>IF(F34=100%,'数据-取费表'!M16-SUMIF('数据-取费表'!C:C,"公共配套",'数据-取费表'!M:M),'数据-取费表'!O16-SUMIF('数据-取费表'!C:C,"公共配套",'数据-取费表'!O:O))</f>
        <v>9846</v>
      </c>
      <c r="D34" s="593"/>
      <c r="E34" s="596"/>
      <c r="F34" s="633">
        <f>IF('数据-取费表'!B24=0,1,'数据-取费表'!N16)</f>
        <v>1</v>
      </c>
      <c r="G34" s="595" t="s">
        <v>845</v>
      </c>
    </row>
    <row r="35" spans="1:7" ht="13.5" customHeight="1">
      <c r="A35" s="1806" t="s">
        <v>1923</v>
      </c>
      <c r="B35" s="591" t="s">
        <v>347</v>
      </c>
      <c r="C35" s="596">
        <f>ROUND(C34*F35,0)</f>
        <v>492</v>
      </c>
      <c r="D35" s="596"/>
      <c r="E35" s="596"/>
      <c r="F35" s="635">
        <f>'数据-取费表'!B33</f>
        <v>0.05</v>
      </c>
      <c r="G35" s="595" t="s">
        <v>846</v>
      </c>
    </row>
    <row r="36" spans="1:7" ht="24">
      <c r="A36" s="1806" t="s">
        <v>1924</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6" t="s">
        <v>1925</v>
      </c>
      <c r="B37" s="591" t="s">
        <v>847</v>
      </c>
      <c r="C37" s="625">
        <f>ROUND(E37*D37*F34/10000,0)</f>
        <v>757</v>
      </c>
      <c r="D37" s="593">
        <f>'数据-汇总表'!E3</f>
        <v>37870.639999999999</v>
      </c>
      <c r="E37" s="625">
        <f>'数据-取费表'!B35</f>
        <v>200</v>
      </c>
      <c r="F37" s="635"/>
      <c r="G37" s="637" t="s">
        <v>848</v>
      </c>
    </row>
    <row r="38" spans="1:7" ht="13.5" customHeight="1">
      <c r="A38" s="1806" t="s">
        <v>1926</v>
      </c>
      <c r="B38" s="591" t="s">
        <v>350</v>
      </c>
      <c r="C38" s="596">
        <f>ROUND(C34*F38,0)</f>
        <v>148</v>
      </c>
      <c r="D38" s="596"/>
      <c r="E38" s="596"/>
      <c r="F38" s="635">
        <f>'数据-取费表'!B36</f>
        <v>1.4999999999999999E-2</v>
      </c>
      <c r="G38" s="595" t="s">
        <v>846</v>
      </c>
    </row>
    <row r="39" spans="1:7" s="590" customFormat="1" ht="13.5" customHeight="1">
      <c r="A39" s="1803" t="s">
        <v>1910</v>
      </c>
      <c r="B39" s="586" t="s">
        <v>833</v>
      </c>
      <c r="C39" s="608">
        <f>ROUND(C33*F20,0)</f>
        <v>337</v>
      </c>
      <c r="D39" s="608"/>
      <c r="E39" s="608"/>
      <c r="F39" s="609"/>
      <c r="G39" s="2620" t="s">
        <v>2513</v>
      </c>
    </row>
    <row r="40" spans="1:7" s="590" customFormat="1" ht="13.5" customHeight="1">
      <c r="A40" s="1803" t="s">
        <v>1911</v>
      </c>
      <c r="B40" s="586" t="s">
        <v>834</v>
      </c>
      <c r="C40" s="638">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1921</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C46</f>
        <v>2316</v>
      </c>
      <c r="D45" s="611">
        <f>C47</f>
        <v>6.0000000000000001E-3</v>
      </c>
      <c r="E45" s="612" t="s">
        <v>858</v>
      </c>
      <c r="F45" s="622"/>
      <c r="G45" s="623" t="s">
        <v>2514</v>
      </c>
    </row>
    <row r="46" spans="1:7" s="590" customFormat="1" ht="13.5" customHeight="1">
      <c r="A46" s="1806" t="s">
        <v>1921</v>
      </c>
      <c r="B46" s="624" t="s">
        <v>2507</v>
      </c>
      <c r="C46" s="625">
        <f>ROUND((C33+C39)*F27,0)</f>
        <v>2316</v>
      </c>
      <c r="D46" s="639"/>
      <c r="E46" s="612"/>
      <c r="F46" s="622"/>
      <c r="G46" s="623"/>
    </row>
    <row r="47" spans="1:7" s="590" customFormat="1" ht="13.5" customHeight="1">
      <c r="A47" s="1806" t="s">
        <v>1919</v>
      </c>
      <c r="B47" s="624" t="s">
        <v>2509</v>
      </c>
      <c r="C47" s="614">
        <f>ROUND(C40*F27,4)</f>
        <v>6.0000000000000001E-3</v>
      </c>
      <c r="D47" s="639"/>
      <c r="E47" s="612"/>
      <c r="F47" s="622"/>
      <c r="G47" s="623"/>
    </row>
    <row r="48" spans="1:7" s="590" customFormat="1" ht="13.5" customHeight="1">
      <c r="A48" s="1803" t="s">
        <v>1914</v>
      </c>
      <c r="B48" s="586" t="s">
        <v>851</v>
      </c>
      <c r="C48" s="638">
        <f>F30</f>
        <v>5.6000000000000001E-2</v>
      </c>
      <c r="D48" s="612" t="s">
        <v>859</v>
      </c>
      <c r="E48" s="608"/>
      <c r="F48" s="613"/>
      <c r="G48" s="610" t="s">
        <v>852</v>
      </c>
    </row>
    <row r="49" spans="1:7" ht="16.5" customHeight="1">
      <c r="A49" s="1803" t="s">
        <v>1915</v>
      </c>
      <c r="B49" s="586" t="s">
        <v>860</v>
      </c>
      <c r="C49" s="608">
        <f ca="1">ROUND((C33+C39+C41+C45)/(1-C40-D41-D45-C48/(1+'数据-取费表'!B42)),0)</f>
        <v>15548</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13993</v>
      </c>
      <c r="D51" s="608"/>
      <c r="E51" s="608"/>
      <c r="F51" s="640"/>
      <c r="G51" s="610" t="s">
        <v>351</v>
      </c>
    </row>
    <row r="52" spans="1:7" s="584" customFormat="1" ht="16.5" thickBot="1">
      <c r="A52" s="641" t="s">
        <v>352</v>
      </c>
      <c r="B52" s="642"/>
      <c r="C52" s="643">
        <f ca="1">C31+C51</f>
        <v>44053</v>
      </c>
      <c r="D52" s="642"/>
      <c r="E52" s="642"/>
      <c r="F52" s="642"/>
      <c r="G52" s="644"/>
    </row>
    <row r="55" spans="1:7" ht="15">
      <c r="B55" s="646" t="s">
        <v>353</v>
      </c>
      <c r="C55" s="647"/>
    </row>
    <row r="56" spans="1:7">
      <c r="B56" s="649" t="s">
        <v>354</v>
      </c>
      <c r="C56" s="650">
        <f ca="1">ROUND(C51/C52,3)</f>
        <v>0.318</v>
      </c>
    </row>
    <row r="57" spans="1:7">
      <c r="B57" s="649" t="s">
        <v>355</v>
      </c>
      <c r="C57" s="651">
        <f ca="1">1-C56</f>
        <v>0.68199999999999994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8" t="s">
        <v>1167</v>
      </c>
      <c r="B1" s="3758"/>
      <c r="C1" s="3758"/>
      <c r="D1" s="3758"/>
      <c r="E1" s="3758"/>
      <c r="F1" s="3758"/>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59" t="s">
        <v>1180</v>
      </c>
      <c r="B2" s="3759"/>
      <c r="C2" s="3759"/>
      <c r="D2" s="3759"/>
      <c r="E2" s="3759"/>
      <c r="F2" s="3759"/>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60"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61"/>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2488</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200</v>
      </c>
      <c r="B110" s="1532" t="s">
        <v>1536</v>
      </c>
      <c r="C110" s="1532">
        <v>10520</v>
      </c>
      <c r="D110" s="1532">
        <v>10490</v>
      </c>
      <c r="E110" s="1532">
        <v>10760</v>
      </c>
      <c r="F110" s="1533">
        <v>2160</v>
      </c>
    </row>
    <row r="111" spans="1:6" s="1519" customFormat="1" ht="14.25" customHeight="1" thickBot="1">
      <c r="A111" s="1531" t="s">
        <v>200</v>
      </c>
      <c r="B111" s="1525" t="s">
        <v>1203</v>
      </c>
      <c r="C111" s="1525">
        <v>10090</v>
      </c>
      <c r="D111" s="1525">
        <v>10060</v>
      </c>
      <c r="E111" s="1525">
        <v>10300</v>
      </c>
      <c r="F111" s="1539">
        <v>2010</v>
      </c>
    </row>
    <row r="112" spans="1:6" s="1519" customFormat="1" ht="14.25" customHeight="1" thickBot="1">
      <c r="A112" s="1531" t="s">
        <v>200</v>
      </c>
      <c r="B112" s="1525" t="s">
        <v>1216</v>
      </c>
      <c r="C112" s="1525">
        <v>9910</v>
      </c>
      <c r="D112" s="1525">
        <v>9850</v>
      </c>
      <c r="E112" s="1525">
        <v>9960</v>
      </c>
      <c r="F112" s="1539">
        <v>2090</v>
      </c>
    </row>
    <row r="113" spans="1:6" s="1519" customFormat="1" ht="14.25" customHeight="1" thickBot="1">
      <c r="A113" s="1531" t="s">
        <v>200</v>
      </c>
      <c r="B113" s="1525" t="s">
        <v>1229</v>
      </c>
      <c r="C113" s="1525">
        <v>11430</v>
      </c>
      <c r="D113" s="1525">
        <v>11400</v>
      </c>
      <c r="E113" s="1525">
        <v>11710</v>
      </c>
      <c r="F113" s="1539">
        <v>2050</v>
      </c>
    </row>
    <row r="114" spans="1:6" s="1519" customFormat="1" ht="14.25" customHeight="1" thickBot="1">
      <c r="A114" s="1531" t="s">
        <v>200</v>
      </c>
      <c r="B114" s="1525" t="s">
        <v>1241</v>
      </c>
      <c r="C114" s="1525">
        <v>11390</v>
      </c>
      <c r="D114" s="1525">
        <v>11350</v>
      </c>
      <c r="E114" s="1525">
        <v>11640</v>
      </c>
      <c r="F114" s="1539">
        <v>1620</v>
      </c>
    </row>
    <row r="115" spans="1:6" s="1519" customFormat="1" ht="14.25" customHeight="1" thickBot="1">
      <c r="A115" s="1531" t="s">
        <v>200</v>
      </c>
      <c r="B115" s="1525" t="s">
        <v>1252</v>
      </c>
      <c r="C115" s="1525">
        <v>9930</v>
      </c>
      <c r="D115" s="1525">
        <v>9900</v>
      </c>
      <c r="E115" s="1525">
        <v>10160</v>
      </c>
      <c r="F115" s="1539">
        <v>1580</v>
      </c>
    </row>
    <row r="116" spans="1:6" s="1519" customFormat="1" ht="14.25" customHeight="1" thickBot="1">
      <c r="A116" s="1531" t="s">
        <v>200</v>
      </c>
      <c r="B116" s="1525" t="s">
        <v>1263</v>
      </c>
      <c r="C116" s="1525">
        <v>9150</v>
      </c>
      <c r="D116" s="1525">
        <v>9120</v>
      </c>
      <c r="E116" s="1525">
        <v>9380</v>
      </c>
      <c r="F116" s="1539">
        <v>1750</v>
      </c>
    </row>
    <row r="117" spans="1:6" s="1519" customFormat="1" ht="14.25" customHeight="1" thickBot="1">
      <c r="A117" s="1531" t="s">
        <v>200</v>
      </c>
      <c r="B117" s="1525" t="s">
        <v>1274</v>
      </c>
      <c r="C117" s="1525">
        <v>10680</v>
      </c>
      <c r="D117" s="1525">
        <v>10650</v>
      </c>
      <c r="E117" s="1525">
        <v>10970</v>
      </c>
      <c r="F117" s="1539">
        <v>1730</v>
      </c>
    </row>
    <row r="118" spans="1:6" s="1519" customFormat="1" ht="14.25" customHeight="1" thickBot="1">
      <c r="A118" s="1531" t="s">
        <v>200</v>
      </c>
      <c r="B118" s="1525" t="s">
        <v>1286</v>
      </c>
      <c r="C118" s="1525">
        <v>10080</v>
      </c>
      <c r="D118" s="1525">
        <v>10050</v>
      </c>
      <c r="E118" s="1525">
        <v>10350</v>
      </c>
      <c r="F118" s="1539">
        <v>1920</v>
      </c>
    </row>
    <row r="119" spans="1:6" s="1519" customFormat="1" ht="14.25" customHeight="1" thickBot="1">
      <c r="A119" s="1531" t="s">
        <v>200</v>
      </c>
      <c r="B119" s="1525" t="s">
        <v>1296</v>
      </c>
      <c r="C119" s="1525">
        <v>9450</v>
      </c>
      <c r="D119" s="1525">
        <v>9410</v>
      </c>
      <c r="E119" s="1525">
        <v>9680</v>
      </c>
      <c r="F119" s="1539">
        <v>1880</v>
      </c>
    </row>
    <row r="120" spans="1:6" s="1519" customFormat="1" ht="14.25" customHeight="1" thickBot="1">
      <c r="A120" s="1531" t="s">
        <v>200</v>
      </c>
      <c r="B120" s="1525" t="s">
        <v>1306</v>
      </c>
      <c r="C120" s="1525">
        <v>8730</v>
      </c>
      <c r="D120" s="1525">
        <v>8700</v>
      </c>
      <c r="E120" s="1525">
        <v>8950</v>
      </c>
      <c r="F120" s="1539">
        <v>1830</v>
      </c>
    </row>
    <row r="121" spans="1:6" s="1519" customFormat="1" ht="14.25" customHeight="1" thickBot="1">
      <c r="A121" s="1531" t="s">
        <v>200</v>
      </c>
      <c r="B121" s="1525" t="s">
        <v>1316</v>
      </c>
      <c r="C121" s="1525">
        <v>10070</v>
      </c>
      <c r="D121" s="1525">
        <v>10040</v>
      </c>
      <c r="E121" s="1525">
        <v>10270</v>
      </c>
      <c r="F121" s="1539">
        <v>1960</v>
      </c>
    </row>
    <row r="122" spans="1:6" s="1519" customFormat="1" ht="14.25" customHeight="1" thickBot="1">
      <c r="A122" s="1531" t="s">
        <v>200</v>
      </c>
      <c r="B122" s="1525" t="s">
        <v>1326</v>
      </c>
      <c r="C122" s="1525">
        <v>10500</v>
      </c>
      <c r="D122" s="1525">
        <v>10470</v>
      </c>
      <c r="E122" s="1525">
        <v>10780</v>
      </c>
      <c r="F122" s="1539">
        <v>2180</v>
      </c>
    </row>
    <row r="123" spans="1:6" s="1519" customFormat="1" ht="14.25" customHeight="1" thickBot="1">
      <c r="A123" s="1531" t="s">
        <v>200</v>
      </c>
      <c r="B123" s="1525" t="s">
        <v>1337</v>
      </c>
      <c r="C123" s="1525">
        <v>10390</v>
      </c>
      <c r="D123" s="1525">
        <v>10360</v>
      </c>
      <c r="E123" s="1525">
        <v>10660</v>
      </c>
      <c r="F123" s="1539">
        <v>2040</v>
      </c>
    </row>
    <row r="124" spans="1:6" s="1519" customFormat="1" ht="14.25" customHeight="1" thickBot="1">
      <c r="A124" s="1531" t="s">
        <v>200</v>
      </c>
      <c r="B124" s="1525" t="s">
        <v>1348</v>
      </c>
      <c r="C124" s="1525">
        <v>10390</v>
      </c>
      <c r="D124" s="1525">
        <v>10360</v>
      </c>
      <c r="E124" s="1525">
        <v>10680</v>
      </c>
      <c r="F124" s="1543"/>
    </row>
    <row r="125" spans="1:6" s="1519" customFormat="1" ht="14.25" customHeight="1" thickBot="1">
      <c r="A125" s="1531" t="s">
        <v>200</v>
      </c>
      <c r="B125" s="1525" t="s">
        <v>1358</v>
      </c>
      <c r="C125" s="1525">
        <v>10440</v>
      </c>
      <c r="D125" s="1525">
        <v>10410</v>
      </c>
      <c r="E125" s="1525">
        <v>10710</v>
      </c>
      <c r="F125" s="1543"/>
    </row>
    <row r="126" spans="1:6" s="1519" customFormat="1" ht="14.25" customHeight="1" thickBot="1">
      <c r="A126" s="1531" t="s">
        <v>200</v>
      </c>
      <c r="B126" s="1525" t="s">
        <v>1368</v>
      </c>
      <c r="C126" s="1525">
        <v>10780</v>
      </c>
      <c r="D126" s="1525">
        <v>10750</v>
      </c>
      <c r="E126" s="1525">
        <v>11080</v>
      </c>
      <c r="F126" s="1543"/>
    </row>
    <row r="127" spans="1:6" s="1519" customFormat="1" ht="14.25" customHeight="1" thickBot="1">
      <c r="A127" s="1531" t="s">
        <v>200</v>
      </c>
      <c r="B127" s="1525" t="s">
        <v>1378</v>
      </c>
      <c r="C127" s="1525">
        <v>10100</v>
      </c>
      <c r="D127" s="1525">
        <v>10070</v>
      </c>
      <c r="E127" s="1525">
        <v>10350</v>
      </c>
      <c r="F127" s="1543"/>
    </row>
    <row r="128" spans="1:6" s="1519" customFormat="1" ht="14.25" customHeight="1" thickBot="1">
      <c r="A128" s="1531" t="s">
        <v>200</v>
      </c>
      <c r="B128" s="1525" t="s">
        <v>1388</v>
      </c>
      <c r="C128" s="1525">
        <v>9200</v>
      </c>
      <c r="D128" s="1525">
        <v>9160</v>
      </c>
      <c r="E128" s="1525">
        <v>9660</v>
      </c>
      <c r="F128" s="1543"/>
    </row>
    <row r="129" spans="1:6" s="1519" customFormat="1" ht="14.25" customHeight="1" thickBot="1">
      <c r="A129" s="1531" t="s">
        <v>200</v>
      </c>
      <c r="B129" s="1525" t="s">
        <v>1397</v>
      </c>
      <c r="C129" s="1525">
        <v>10340</v>
      </c>
      <c r="D129" s="1525">
        <v>10310</v>
      </c>
      <c r="E129" s="1525">
        <v>10580</v>
      </c>
      <c r="F129" s="1543"/>
    </row>
    <row r="130" spans="1:6" s="1519" customFormat="1" ht="14.25" customHeight="1" thickBot="1">
      <c r="A130" s="1531" t="s">
        <v>200</v>
      </c>
      <c r="B130" s="1525" t="s">
        <v>1406</v>
      </c>
      <c r="C130" s="1525">
        <v>9680</v>
      </c>
      <c r="D130" s="1525">
        <v>9660</v>
      </c>
      <c r="E130" s="1525">
        <v>9950</v>
      </c>
      <c r="F130" s="1543"/>
    </row>
    <row r="131" spans="1:6" s="1519" customFormat="1" ht="14.25" customHeight="1" thickBot="1">
      <c r="A131" s="1531" t="s">
        <v>200</v>
      </c>
      <c r="B131" s="1525" t="s">
        <v>1414</v>
      </c>
      <c r="C131" s="1525">
        <v>9540</v>
      </c>
      <c r="D131" s="1525">
        <v>9510</v>
      </c>
      <c r="E131" s="1525">
        <v>9790</v>
      </c>
      <c r="F131" s="1543"/>
    </row>
    <row r="132" spans="1:6" s="1519" customFormat="1" ht="14.25" customHeight="1" thickBot="1">
      <c r="A132" s="1531" t="s">
        <v>200</v>
      </c>
      <c r="B132" s="1525" t="s">
        <v>1421</v>
      </c>
      <c r="C132" s="1525">
        <v>9320</v>
      </c>
      <c r="D132" s="1525">
        <v>9290</v>
      </c>
      <c r="E132" s="1525">
        <v>9570</v>
      </c>
      <c r="F132" s="1543"/>
    </row>
    <row r="133" spans="1:6" s="1519" customFormat="1" ht="14.25" customHeight="1" thickBot="1">
      <c r="A133" s="1531" t="s">
        <v>200</v>
      </c>
      <c r="B133" s="1525" t="s">
        <v>1428</v>
      </c>
      <c r="C133" s="1525">
        <v>10310</v>
      </c>
      <c r="D133" s="1525">
        <v>10280</v>
      </c>
      <c r="E133" s="1525">
        <v>10530</v>
      </c>
      <c r="F133" s="1543"/>
    </row>
    <row r="134" spans="1:6" s="1519" customFormat="1" ht="14.25" customHeight="1" thickBot="1">
      <c r="A134" s="1531" t="s">
        <v>200</v>
      </c>
      <c r="B134" s="1525" t="s">
        <v>1435</v>
      </c>
      <c r="C134" s="1525">
        <v>10370</v>
      </c>
      <c r="D134" s="1525">
        <v>10310</v>
      </c>
      <c r="E134" s="1525">
        <v>10240</v>
      </c>
      <c r="F134" s="1539">
        <v>2060</v>
      </c>
    </row>
    <row r="135" spans="1:6" s="1519" customFormat="1" ht="14.25" customHeight="1" thickBot="1">
      <c r="A135" s="1531" t="s">
        <v>200</v>
      </c>
      <c r="B135" s="1525" t="s">
        <v>1442</v>
      </c>
      <c r="C135" s="1525">
        <v>9300</v>
      </c>
      <c r="D135" s="1525">
        <v>9270</v>
      </c>
      <c r="E135" s="1525">
        <v>9350</v>
      </c>
      <c r="F135" s="1543"/>
    </row>
    <row r="136" spans="1:6" s="1519" customFormat="1" ht="14.25" customHeight="1" thickBot="1">
      <c r="A136" s="1531" t="s">
        <v>200</v>
      </c>
      <c r="B136" s="1525" t="s">
        <v>1449</v>
      </c>
      <c r="C136" s="1525">
        <v>10160</v>
      </c>
      <c r="D136" s="1525">
        <v>10110</v>
      </c>
      <c r="E136" s="1525">
        <v>10080</v>
      </c>
      <c r="F136" s="1543"/>
    </row>
    <row r="137" spans="1:6" s="1519" customFormat="1" ht="14.25" customHeight="1" thickBot="1">
      <c r="A137" s="1531" t="s">
        <v>200</v>
      </c>
      <c r="B137" s="1525" t="s">
        <v>1456</v>
      </c>
      <c r="C137" s="1525">
        <v>9200</v>
      </c>
      <c r="D137" s="1525">
        <v>9170</v>
      </c>
      <c r="E137" s="1525">
        <v>9450</v>
      </c>
      <c r="F137" s="1543"/>
    </row>
    <row r="138" spans="1:6" s="1519" customFormat="1" ht="14.25" customHeight="1" thickBot="1">
      <c r="A138" s="1531" t="s">
        <v>200</v>
      </c>
      <c r="B138" s="1525" t="s">
        <v>1461</v>
      </c>
      <c r="C138" s="1525">
        <v>9690</v>
      </c>
      <c r="D138" s="1525">
        <v>9660</v>
      </c>
      <c r="E138" s="1525">
        <v>9840</v>
      </c>
      <c r="F138" s="1543"/>
    </row>
    <row r="139" spans="1:6" s="1519" customFormat="1" ht="14.25" customHeight="1" thickBot="1">
      <c r="A139" s="1531" t="s">
        <v>200</v>
      </c>
      <c r="B139" s="1525" t="s">
        <v>1465</v>
      </c>
      <c r="C139" s="1525">
        <v>10290</v>
      </c>
      <c r="D139" s="1525">
        <v>10260</v>
      </c>
      <c r="E139" s="1525">
        <v>10550</v>
      </c>
      <c r="F139" s="1539">
        <v>1700</v>
      </c>
    </row>
    <row r="140" spans="1:6" s="1519" customFormat="1" ht="14.25" customHeight="1" thickBot="1">
      <c r="A140" s="1531" t="s">
        <v>200</v>
      </c>
      <c r="B140" s="1525" t="s">
        <v>1470</v>
      </c>
      <c r="C140" s="1525">
        <v>9740</v>
      </c>
      <c r="D140" s="1525">
        <v>9710</v>
      </c>
      <c r="E140" s="1525">
        <v>10000</v>
      </c>
      <c r="F140" s="1539">
        <v>2000</v>
      </c>
    </row>
    <row r="141" spans="1:6" s="1519" customFormat="1" ht="14.25" customHeight="1" thickBot="1">
      <c r="A141" s="1531" t="s">
        <v>200</v>
      </c>
      <c r="B141" s="1525" t="s">
        <v>1475</v>
      </c>
      <c r="C141" s="1525">
        <v>9810</v>
      </c>
      <c r="D141" s="1525">
        <v>9770</v>
      </c>
      <c r="E141" s="1525">
        <v>10060</v>
      </c>
      <c r="F141" s="1543"/>
    </row>
    <row r="142" spans="1:6" s="1519" customFormat="1" ht="14.25" customHeight="1" thickBot="1">
      <c r="A142" s="1531" t="s">
        <v>200</v>
      </c>
      <c r="B142" s="1525" t="s">
        <v>1480</v>
      </c>
      <c r="C142" s="1525">
        <v>9300</v>
      </c>
      <c r="D142" s="1525">
        <v>9270</v>
      </c>
      <c r="E142" s="1525">
        <v>9530</v>
      </c>
      <c r="F142" s="1543"/>
    </row>
    <row r="143" spans="1:6" s="1519" customFormat="1" ht="14.25" customHeight="1" thickBot="1">
      <c r="A143" s="1531" t="s">
        <v>200</v>
      </c>
      <c r="B143" s="1525" t="s">
        <v>1485</v>
      </c>
      <c r="C143" s="1525">
        <v>10080</v>
      </c>
      <c r="D143" s="1525">
        <v>10050</v>
      </c>
      <c r="E143" s="1525">
        <v>10340</v>
      </c>
      <c r="F143" s="1543"/>
    </row>
    <row r="144" spans="1:6" s="1519" customFormat="1" ht="14.25" customHeight="1" thickBot="1">
      <c r="A144" s="1531" t="s">
        <v>200</v>
      </c>
      <c r="B144" s="1525" t="s">
        <v>1489</v>
      </c>
      <c r="C144" s="1525">
        <v>9820</v>
      </c>
      <c r="D144" s="1525">
        <v>9750</v>
      </c>
      <c r="E144" s="1525">
        <v>9900</v>
      </c>
      <c r="F144" s="1543"/>
    </row>
    <row r="145" spans="1:6" s="1519" customFormat="1" ht="14.25" customHeight="1" thickBot="1">
      <c r="A145" s="1531" t="s">
        <v>200</v>
      </c>
      <c r="B145" s="1525" t="s">
        <v>1493</v>
      </c>
      <c r="C145" s="1525"/>
      <c r="D145" s="1525"/>
      <c r="E145" s="1525"/>
      <c r="F145" s="1539">
        <v>1740</v>
      </c>
    </row>
    <row r="146" spans="1:6" s="1519" customFormat="1" ht="14.25" customHeight="1" thickBot="1">
      <c r="A146" s="1531" t="s">
        <v>200</v>
      </c>
      <c r="B146" s="1525" t="s">
        <v>1497</v>
      </c>
      <c r="C146" s="1525"/>
      <c r="D146" s="1525"/>
      <c r="E146" s="1525"/>
      <c r="F146" s="1539">
        <v>1740</v>
      </c>
    </row>
    <row r="147" spans="1:6" s="1519" customFormat="1" ht="14.25" customHeight="1" thickBot="1">
      <c r="A147" s="1531" t="s">
        <v>200</v>
      </c>
      <c r="B147" s="1525" t="s">
        <v>1501</v>
      </c>
      <c r="C147" s="1525"/>
      <c r="D147" s="1525"/>
      <c r="E147" s="1525"/>
      <c r="F147" s="1539">
        <v>1740</v>
      </c>
    </row>
    <row r="148" spans="1:6" s="1519" customFormat="1" ht="14.25" customHeight="1" thickBot="1">
      <c r="A148" s="1531" t="s">
        <v>200</v>
      </c>
      <c r="B148" s="1525" t="s">
        <v>1505</v>
      </c>
      <c r="C148" s="1525"/>
      <c r="D148" s="1525"/>
      <c r="E148" s="1525"/>
      <c r="F148" s="1539">
        <v>1740</v>
      </c>
    </row>
    <row r="149" spans="1:6" s="1519" customFormat="1" ht="14.25" customHeight="1" thickBot="1">
      <c r="A149" s="1531" t="s">
        <v>200</v>
      </c>
      <c r="B149" s="1525" t="s">
        <v>1509</v>
      </c>
      <c r="C149" s="1525"/>
      <c r="D149" s="1525"/>
      <c r="E149" s="1525"/>
      <c r="F149" s="1539">
        <v>1740</v>
      </c>
    </row>
    <row r="150" spans="1:6" s="1519" customFormat="1" ht="14.25" customHeight="1" thickBot="1">
      <c r="A150" s="1531" t="s">
        <v>200</v>
      </c>
      <c r="B150" s="1525" t="s">
        <v>1512</v>
      </c>
      <c r="C150" s="1525"/>
      <c r="D150" s="1525"/>
      <c r="E150" s="1525"/>
      <c r="F150" s="1539">
        <v>1610</v>
      </c>
    </row>
    <row r="151" spans="1:6" s="1519" customFormat="1" ht="14.25" customHeight="1" thickBot="1">
      <c r="A151" s="1531" t="s">
        <v>200</v>
      </c>
      <c r="B151" s="1525" t="s">
        <v>1515</v>
      </c>
      <c r="C151" s="1525"/>
      <c r="D151" s="1525"/>
      <c r="E151" s="1525"/>
      <c r="F151" s="1539">
        <v>1610</v>
      </c>
    </row>
    <row r="152" spans="1:6" s="1519" customFormat="1" ht="14.25" customHeight="1" thickBot="1">
      <c r="A152" s="1531" t="s">
        <v>200</v>
      </c>
      <c r="B152" s="1525" t="s">
        <v>1518</v>
      </c>
      <c r="C152" s="1525"/>
      <c r="D152" s="1525"/>
      <c r="E152" s="1525"/>
      <c r="F152" s="1539">
        <v>1610</v>
      </c>
    </row>
    <row r="153" spans="1:6" s="1519" customFormat="1" ht="14.25" customHeight="1" thickBot="1">
      <c r="A153" s="1531" t="s">
        <v>200</v>
      </c>
      <c r="B153" s="1525" t="s">
        <v>1521</v>
      </c>
      <c r="C153" s="1525"/>
      <c r="D153" s="1525"/>
      <c r="E153" s="1525"/>
      <c r="F153" s="1539">
        <v>1610</v>
      </c>
    </row>
    <row r="154" spans="1:6" s="1519" customFormat="1" ht="14.25" customHeight="1" thickBot="1">
      <c r="A154" s="1531" t="s">
        <v>200</v>
      </c>
      <c r="B154" s="1525" t="s">
        <v>1524</v>
      </c>
      <c r="C154" s="1525"/>
      <c r="D154" s="1525"/>
      <c r="E154" s="1525"/>
      <c r="F154" s="1539">
        <v>1610</v>
      </c>
    </row>
    <row r="155" spans="1:6" s="1519" customFormat="1" ht="14.25" customHeight="1" thickBot="1">
      <c r="A155" s="1531" t="s">
        <v>200</v>
      </c>
      <c r="B155" s="1525" t="s">
        <v>1527</v>
      </c>
      <c r="C155" s="1525"/>
      <c r="D155" s="1525"/>
      <c r="E155" s="1525"/>
      <c r="F155" s="1539">
        <v>1800</v>
      </c>
    </row>
    <row r="156" spans="1:6" s="1519" customFormat="1" ht="14.25" customHeight="1" thickBot="1">
      <c r="A156" s="1531" t="s">
        <v>200</v>
      </c>
      <c r="B156" s="1525" t="s">
        <v>1529</v>
      </c>
      <c r="C156" s="1525"/>
      <c r="D156" s="1525"/>
      <c r="E156" s="1525"/>
      <c r="F156" s="1539">
        <v>1910</v>
      </c>
    </row>
    <row r="157" spans="1:6" s="1519" customFormat="1" ht="14.25" customHeight="1" thickBot="1">
      <c r="A157" s="1531" t="s">
        <v>200</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2488</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8" t="s">
        <v>2125</v>
      </c>
      <c r="B1" s="3758"/>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1" t="s">
        <v>2132</v>
      </c>
      <c r="B5" s="1532" t="s">
        <v>2133</v>
      </c>
      <c r="C5" s="2117">
        <v>8.8999999999999996E-2</v>
      </c>
      <c r="D5" s="2117">
        <v>7.3999999999999996E-2</v>
      </c>
      <c r="E5" s="2117">
        <v>7.4999999999999997E-2</v>
      </c>
      <c r="F5" s="2118">
        <v>0.1</v>
      </c>
    </row>
    <row r="6" spans="1:6" ht="14.25" thickBot="1">
      <c r="A6" s="1531" t="s">
        <v>1223</v>
      </c>
      <c r="B6" s="1525" t="s">
        <v>2134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2135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2136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2137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2138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2139</v>
      </c>
      <c r="C72" s="2132"/>
      <c r="D72" s="2132"/>
      <c r="E72" s="2132"/>
      <c r="F72" s="2120">
        <v>0.05</v>
      </c>
    </row>
    <row r="73" spans="1:6" ht="14.25" thickBot="1">
      <c r="A73" s="1531" t="s">
        <v>1134</v>
      </c>
      <c r="B73" s="1525" t="s">
        <v>2140</v>
      </c>
      <c r="C73" s="2132"/>
      <c r="D73" s="2132"/>
      <c r="E73" s="2132"/>
      <c r="F73" s="2120">
        <v>0.05</v>
      </c>
    </row>
    <row r="74" spans="1:6" ht="14.25" thickBot="1">
      <c r="A74" s="1531" t="s">
        <v>1134</v>
      </c>
      <c r="B74" s="1525" t="s">
        <v>2141</v>
      </c>
      <c r="C74" s="2132"/>
      <c r="D74" s="2132"/>
      <c r="E74" s="2132"/>
      <c r="F74" s="2120">
        <v>0.05</v>
      </c>
    </row>
    <row r="75" spans="1:6" ht="14.25" thickBot="1">
      <c r="A75" s="1541" t="s">
        <v>1134</v>
      </c>
      <c r="B75" s="1537" t="s">
        <v>2142</v>
      </c>
      <c r="C75" s="2129"/>
      <c r="D75" s="2129"/>
      <c r="E75" s="2129"/>
      <c r="F75" s="2122">
        <v>0.05</v>
      </c>
    </row>
    <row r="76" spans="1:6" ht="14.25" thickBot="1">
      <c r="A76" s="1531" t="s">
        <v>1534</v>
      </c>
      <c r="B76" s="1532" t="s">
        <v>2143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2144</v>
      </c>
      <c r="C102" s="2132"/>
      <c r="D102" s="2132"/>
      <c r="E102" s="2132"/>
      <c r="F102" s="2120">
        <v>0.05</v>
      </c>
    </row>
    <row r="103" spans="1:6" ht="24.75" thickBot="1">
      <c r="A103" s="1531" t="s">
        <v>1534</v>
      </c>
      <c r="B103" s="1525" t="s">
        <v>2145</v>
      </c>
      <c r="C103" s="2132"/>
      <c r="D103" s="2132"/>
      <c r="E103" s="2132"/>
      <c r="F103" s="2120">
        <v>0.05</v>
      </c>
    </row>
    <row r="104" spans="1:6" ht="14.25" thickBot="1">
      <c r="A104" s="1531" t="s">
        <v>1534</v>
      </c>
      <c r="B104" s="1525" t="s">
        <v>2146</v>
      </c>
      <c r="C104" s="2132"/>
      <c r="D104" s="2132"/>
      <c r="E104" s="2132"/>
      <c r="F104" s="2120">
        <v>0.05</v>
      </c>
    </row>
    <row r="105" spans="1:6" ht="14.25" thickBot="1">
      <c r="A105" s="1531" t="s">
        <v>1534</v>
      </c>
      <c r="B105" s="1525" t="s">
        <v>2147</v>
      </c>
      <c r="C105" s="2132"/>
      <c r="D105" s="2132"/>
      <c r="E105" s="2132"/>
      <c r="F105" s="2120">
        <v>0.05</v>
      </c>
    </row>
    <row r="106" spans="1:6" ht="14.25" thickBot="1">
      <c r="A106" s="1531" t="s">
        <v>1534</v>
      </c>
      <c r="B106" s="1525" t="s">
        <v>2148</v>
      </c>
      <c r="C106" s="2132"/>
      <c r="D106" s="2132"/>
      <c r="E106" s="2132"/>
      <c r="F106" s="2120">
        <v>0.05</v>
      </c>
    </row>
    <row r="107" spans="1:6" ht="24.75" thickBot="1">
      <c r="A107" s="1531" t="s">
        <v>1534</v>
      </c>
      <c r="B107" s="1525" t="s">
        <v>2149</v>
      </c>
      <c r="C107" s="2132"/>
      <c r="D107" s="2132"/>
      <c r="E107" s="2132"/>
      <c r="F107" s="2120">
        <v>0.05</v>
      </c>
    </row>
    <row r="108" spans="1:6" ht="24.75" thickBot="1">
      <c r="A108" s="1531" t="s">
        <v>1534</v>
      </c>
      <c r="B108" s="1525" t="s">
        <v>2150</v>
      </c>
      <c r="C108" s="2132"/>
      <c r="D108" s="2132"/>
      <c r="E108" s="2132"/>
      <c r="F108" s="2120">
        <v>0.05</v>
      </c>
    </row>
    <row r="109" spans="1:6" ht="24.75" thickBot="1">
      <c r="A109" s="1541" t="s">
        <v>1534</v>
      </c>
      <c r="B109" s="1537" t="s">
        <v>2151</v>
      </c>
      <c r="C109" s="2129"/>
      <c r="D109" s="2129"/>
      <c r="E109" s="2129"/>
      <c r="F109" s="2122">
        <v>0.05</v>
      </c>
    </row>
    <row r="110" spans="1:6" ht="14.25" thickBot="1">
      <c r="A110" s="1531" t="s">
        <v>200</v>
      </c>
      <c r="B110" s="1532" t="s">
        <v>2152</v>
      </c>
      <c r="C110" s="2117">
        <v>0.129</v>
      </c>
      <c r="D110" s="2117">
        <v>0.129</v>
      </c>
      <c r="E110" s="2117">
        <v>0.126</v>
      </c>
      <c r="F110" s="2118">
        <v>0.13</v>
      </c>
    </row>
    <row r="111" spans="1:6" ht="14.25" thickBot="1">
      <c r="A111" s="1531" t="s">
        <v>200</v>
      </c>
      <c r="B111" s="1525" t="s">
        <v>1203</v>
      </c>
      <c r="C111" s="2119">
        <v>0.11</v>
      </c>
      <c r="D111" s="2119">
        <v>0.11</v>
      </c>
      <c r="E111" s="2119">
        <v>9.9000000000000005E-2</v>
      </c>
      <c r="F111" s="2120">
        <v>0.128</v>
      </c>
    </row>
    <row r="112" spans="1:6" ht="14.25" thickBot="1">
      <c r="A112" s="1531" t="s">
        <v>200</v>
      </c>
      <c r="B112" s="1525" t="s">
        <v>1216</v>
      </c>
      <c r="C112" s="2119">
        <v>0.125</v>
      </c>
      <c r="D112" s="2119">
        <v>0.125</v>
      </c>
      <c r="E112" s="2119">
        <v>0.12</v>
      </c>
      <c r="F112" s="2120">
        <v>0.125</v>
      </c>
    </row>
    <row r="113" spans="1:6" ht="14.25" thickBot="1">
      <c r="A113" s="1531" t="s">
        <v>200</v>
      </c>
      <c r="B113" s="1525" t="s">
        <v>1229</v>
      </c>
      <c r="C113" s="2119">
        <v>0.13</v>
      </c>
      <c r="D113" s="2119">
        <v>0.13</v>
      </c>
      <c r="E113" s="2119">
        <v>0.13</v>
      </c>
      <c r="F113" s="2120">
        <v>0.13</v>
      </c>
    </row>
    <row r="114" spans="1:6" ht="14.25" thickBot="1">
      <c r="A114" s="1531" t="s">
        <v>200</v>
      </c>
      <c r="B114" s="1525" t="s">
        <v>1241</v>
      </c>
      <c r="C114" s="2119">
        <v>0.123</v>
      </c>
      <c r="D114" s="2119">
        <v>0.123</v>
      </c>
      <c r="E114" s="2119">
        <v>0.12</v>
      </c>
      <c r="F114" s="2120">
        <v>0.13</v>
      </c>
    </row>
    <row r="115" spans="1:6" ht="14.25" thickBot="1">
      <c r="A115" s="1531" t="s">
        <v>200</v>
      </c>
      <c r="B115" s="1525" t="s">
        <v>1252</v>
      </c>
      <c r="C115" s="2119">
        <v>0.125</v>
      </c>
      <c r="D115" s="2119">
        <v>0.125</v>
      </c>
      <c r="E115" s="2119">
        <v>0.11700000000000001</v>
      </c>
      <c r="F115" s="2120">
        <v>0.13</v>
      </c>
    </row>
    <row r="116" spans="1:6" ht="14.25" thickBot="1">
      <c r="A116" s="1531" t="s">
        <v>200</v>
      </c>
      <c r="B116" s="1525" t="s">
        <v>1263</v>
      </c>
      <c r="C116" s="2119">
        <v>0.11700000000000001</v>
      </c>
      <c r="D116" s="2119">
        <v>0.11700000000000001</v>
      </c>
      <c r="E116" s="2119">
        <v>8.7999999999999995E-2</v>
      </c>
      <c r="F116" s="2120">
        <v>0.13</v>
      </c>
    </row>
    <row r="117" spans="1:6" ht="14.25" thickBot="1">
      <c r="A117" s="1531" t="s">
        <v>200</v>
      </c>
      <c r="B117" s="1525" t="s">
        <v>1274</v>
      </c>
      <c r="C117" s="2119">
        <v>0.13</v>
      </c>
      <c r="D117" s="2119">
        <v>0.13</v>
      </c>
      <c r="E117" s="2119">
        <v>0.129</v>
      </c>
      <c r="F117" s="2120">
        <v>0.13</v>
      </c>
    </row>
    <row r="118" spans="1:6" ht="14.25" thickBot="1">
      <c r="A118" s="1531" t="s">
        <v>200</v>
      </c>
      <c r="B118" s="1525" t="s">
        <v>1286</v>
      </c>
      <c r="C118" s="2119">
        <v>0.123</v>
      </c>
      <c r="D118" s="2119">
        <v>0.123</v>
      </c>
      <c r="E118" s="2119">
        <v>0.11600000000000001</v>
      </c>
      <c r="F118" s="2120">
        <v>0.13</v>
      </c>
    </row>
    <row r="119" spans="1:6" ht="14.25" thickBot="1">
      <c r="A119" s="1531" t="s">
        <v>200</v>
      </c>
      <c r="B119" s="1525" t="s">
        <v>1296</v>
      </c>
      <c r="C119" s="2119">
        <v>0.127</v>
      </c>
      <c r="D119" s="2119">
        <v>0.127</v>
      </c>
      <c r="E119" s="2119">
        <v>0.124</v>
      </c>
      <c r="F119" s="2120">
        <v>0.13</v>
      </c>
    </row>
    <row r="120" spans="1:6" ht="14.25" thickBot="1">
      <c r="A120" s="1531" t="s">
        <v>200</v>
      </c>
      <c r="B120" s="1525" t="s">
        <v>1306</v>
      </c>
      <c r="C120" s="2119">
        <v>0.125</v>
      </c>
      <c r="D120" s="2119">
        <v>0.125</v>
      </c>
      <c r="E120" s="2119">
        <v>0.122</v>
      </c>
      <c r="F120" s="2120">
        <v>0.13</v>
      </c>
    </row>
    <row r="121" spans="1:6" ht="14.25" thickBot="1">
      <c r="A121" s="1531" t="s">
        <v>200</v>
      </c>
      <c r="B121" s="1525" t="s">
        <v>1316</v>
      </c>
      <c r="C121" s="2119">
        <v>0.13</v>
      </c>
      <c r="D121" s="2119">
        <v>0.13</v>
      </c>
      <c r="E121" s="2119">
        <v>0.13</v>
      </c>
      <c r="F121" s="2120">
        <v>0.13</v>
      </c>
    </row>
    <row r="122" spans="1:6" ht="14.25" thickBot="1">
      <c r="A122" s="1531" t="s">
        <v>200</v>
      </c>
      <c r="B122" s="1525" t="s">
        <v>1326</v>
      </c>
      <c r="C122" s="2119">
        <v>0.13</v>
      </c>
      <c r="D122" s="2119">
        <v>0.13</v>
      </c>
      <c r="E122" s="2119">
        <v>0.125</v>
      </c>
      <c r="F122" s="2120">
        <v>0.13</v>
      </c>
    </row>
    <row r="123" spans="1:6" ht="14.25" thickBot="1">
      <c r="A123" s="1531" t="s">
        <v>200</v>
      </c>
      <c r="B123" s="1525" t="s">
        <v>1337</v>
      </c>
      <c r="C123" s="2119">
        <v>0.129</v>
      </c>
      <c r="D123" s="2119">
        <v>0.129</v>
      </c>
      <c r="E123" s="2119">
        <v>0.123</v>
      </c>
      <c r="F123" s="2120">
        <v>0.13</v>
      </c>
    </row>
    <row r="124" spans="1:6" ht="14.25" thickBot="1">
      <c r="A124" s="1531" t="s">
        <v>200</v>
      </c>
      <c r="B124" s="1525" t="s">
        <v>1348</v>
      </c>
      <c r="C124" s="2119">
        <v>0.10199999999999999</v>
      </c>
      <c r="D124" s="2119">
        <v>0.10100000000000001</v>
      </c>
      <c r="E124" s="2119">
        <v>0.08</v>
      </c>
      <c r="F124" s="2131"/>
    </row>
    <row r="125" spans="1:6" ht="14.25" thickBot="1">
      <c r="A125" s="1531" t="s">
        <v>200</v>
      </c>
      <c r="B125" s="1525" t="s">
        <v>1358</v>
      </c>
      <c r="C125" s="2119">
        <v>0.13</v>
      </c>
      <c r="D125" s="2119">
        <v>0.13</v>
      </c>
      <c r="E125" s="2119">
        <v>0.129</v>
      </c>
      <c r="F125" s="2131"/>
    </row>
    <row r="126" spans="1:6" ht="14.25" thickBot="1">
      <c r="A126" s="1531" t="s">
        <v>200</v>
      </c>
      <c r="B126" s="1525" t="s">
        <v>1368</v>
      </c>
      <c r="C126" s="2119">
        <v>0.13</v>
      </c>
      <c r="D126" s="2119">
        <v>0.13</v>
      </c>
      <c r="E126" s="2119">
        <v>0.126</v>
      </c>
      <c r="F126" s="2131"/>
    </row>
    <row r="127" spans="1:6" ht="14.25" thickBot="1">
      <c r="A127" s="1531" t="s">
        <v>200</v>
      </c>
      <c r="B127" s="1525" t="s">
        <v>1378</v>
      </c>
      <c r="C127" s="2119">
        <v>0.125</v>
      </c>
      <c r="D127" s="2119">
        <v>0.125</v>
      </c>
      <c r="E127" s="2119">
        <v>0.121</v>
      </c>
      <c r="F127" s="2131"/>
    </row>
    <row r="128" spans="1:6" ht="14.25" thickBot="1">
      <c r="A128" s="1531" t="s">
        <v>200</v>
      </c>
      <c r="B128" s="1525" t="s">
        <v>1388</v>
      </c>
      <c r="C128" s="2119">
        <v>0.12</v>
      </c>
      <c r="D128" s="2119">
        <v>0.12</v>
      </c>
      <c r="E128" s="2119">
        <v>0.105</v>
      </c>
      <c r="F128" s="2131"/>
    </row>
    <row r="129" spans="1:6" ht="14.25" thickBot="1">
      <c r="A129" s="1531" t="s">
        <v>200</v>
      </c>
      <c r="B129" s="1525" t="s">
        <v>1397</v>
      </c>
      <c r="C129" s="2119">
        <v>0.13</v>
      </c>
      <c r="D129" s="2119">
        <v>0.13</v>
      </c>
      <c r="E129" s="2119">
        <v>0.126</v>
      </c>
      <c r="F129" s="2131"/>
    </row>
    <row r="130" spans="1:6" ht="14.25" thickBot="1">
      <c r="A130" s="1531" t="s">
        <v>200</v>
      </c>
      <c r="B130" s="1525" t="s">
        <v>1406</v>
      </c>
      <c r="C130" s="2119">
        <v>0.125</v>
      </c>
      <c r="D130" s="2119">
        <v>0.125</v>
      </c>
      <c r="E130" s="2119">
        <v>0.122</v>
      </c>
      <c r="F130" s="2131"/>
    </row>
    <row r="131" spans="1:6" ht="14.25" thickBot="1">
      <c r="A131" s="1531" t="s">
        <v>200</v>
      </c>
      <c r="B131" s="1525" t="s">
        <v>1414</v>
      </c>
      <c r="C131" s="2119">
        <v>0.127</v>
      </c>
      <c r="D131" s="2119">
        <v>0.126</v>
      </c>
      <c r="E131" s="2119">
        <v>0.123</v>
      </c>
      <c r="F131" s="2131"/>
    </row>
    <row r="132" spans="1:6" ht="14.25" thickBot="1">
      <c r="A132" s="1531" t="s">
        <v>200</v>
      </c>
      <c r="B132" s="1525" t="s">
        <v>1421</v>
      </c>
      <c r="C132" s="2119">
        <v>9.0999999999999998E-2</v>
      </c>
      <c r="D132" s="2119">
        <v>0.121</v>
      </c>
      <c r="E132" s="2119">
        <v>9.9000000000000005E-2</v>
      </c>
      <c r="F132" s="2131"/>
    </row>
    <row r="133" spans="1:6" ht="14.25" thickBot="1">
      <c r="A133" s="1531" t="s">
        <v>200</v>
      </c>
      <c r="B133" s="1525" t="s">
        <v>1428</v>
      </c>
      <c r="C133" s="2119">
        <v>0.13</v>
      </c>
      <c r="D133" s="2119">
        <v>0.13</v>
      </c>
      <c r="E133" s="2119">
        <v>0.129</v>
      </c>
      <c r="F133" s="2131"/>
    </row>
    <row r="134" spans="1:6" ht="14.25" thickBot="1">
      <c r="A134" s="1531" t="s">
        <v>200</v>
      </c>
      <c r="B134" s="1525" t="s">
        <v>2153</v>
      </c>
      <c r="C134" s="2119">
        <v>6.8000000000000005E-2</v>
      </c>
      <c r="D134" s="2119">
        <v>6.5000000000000002E-2</v>
      </c>
      <c r="E134" s="2119">
        <v>6.5000000000000002E-2</v>
      </c>
      <c r="F134" s="2120">
        <v>0.13</v>
      </c>
    </row>
    <row r="135" spans="1:6" ht="14.25" thickBot="1">
      <c r="A135" s="1531" t="s">
        <v>200</v>
      </c>
      <c r="B135" s="1525" t="s">
        <v>1442</v>
      </c>
      <c r="C135" s="2119">
        <v>0.123</v>
      </c>
      <c r="D135" s="2119">
        <v>0.123</v>
      </c>
      <c r="E135" s="2119">
        <v>0.11</v>
      </c>
      <c r="F135" s="2131"/>
    </row>
    <row r="136" spans="1:6" ht="14.25" thickBot="1">
      <c r="A136" s="1531" t="s">
        <v>200</v>
      </c>
      <c r="B136" s="1525" t="s">
        <v>1449</v>
      </c>
      <c r="C136" s="2119">
        <v>0.13</v>
      </c>
      <c r="D136" s="2119">
        <v>0.13</v>
      </c>
      <c r="E136" s="2119">
        <v>0.125</v>
      </c>
      <c r="F136" s="2131"/>
    </row>
    <row r="137" spans="1:6" ht="14.25" thickBot="1">
      <c r="A137" s="1531" t="s">
        <v>200</v>
      </c>
      <c r="B137" s="1525" t="s">
        <v>1456</v>
      </c>
      <c r="C137" s="2119">
        <v>0.121</v>
      </c>
      <c r="D137" s="2119">
        <v>0.122</v>
      </c>
      <c r="E137" s="2119">
        <v>0.115</v>
      </c>
      <c r="F137" s="2131"/>
    </row>
    <row r="138" spans="1:6" ht="14.25" thickBot="1">
      <c r="A138" s="1531" t="s">
        <v>200</v>
      </c>
      <c r="B138" s="1525" t="s">
        <v>2154</v>
      </c>
      <c r="C138" s="2119">
        <v>0.105</v>
      </c>
      <c r="D138" s="2119">
        <v>0.125</v>
      </c>
      <c r="E138" s="2119">
        <v>0.112</v>
      </c>
      <c r="F138" s="2131"/>
    </row>
    <row r="139" spans="1:6" ht="14.25" thickBot="1">
      <c r="A139" s="1531" t="s">
        <v>200</v>
      </c>
      <c r="B139" s="1525" t="s">
        <v>2155</v>
      </c>
      <c r="C139" s="2119">
        <v>0.127</v>
      </c>
      <c r="D139" s="2119">
        <v>0.127</v>
      </c>
      <c r="E139" s="2119">
        <v>0.122</v>
      </c>
      <c r="F139" s="2120">
        <v>0.13</v>
      </c>
    </row>
    <row r="140" spans="1:6" ht="14.25" thickBot="1">
      <c r="A140" s="1531" t="s">
        <v>200</v>
      </c>
      <c r="B140" s="1525" t="s">
        <v>2156</v>
      </c>
      <c r="C140" s="2119">
        <v>0.125</v>
      </c>
      <c r="D140" s="2119">
        <v>0.125</v>
      </c>
      <c r="E140" s="2119">
        <v>0.11899999999999999</v>
      </c>
      <c r="F140" s="2120">
        <v>0.13</v>
      </c>
    </row>
    <row r="141" spans="1:6" ht="14.25" thickBot="1">
      <c r="A141" s="1531" t="s">
        <v>200</v>
      </c>
      <c r="B141" s="1525" t="s">
        <v>1475</v>
      </c>
      <c r="C141" s="2119">
        <v>0.125</v>
      </c>
      <c r="D141" s="2119">
        <v>0.125</v>
      </c>
      <c r="E141" s="2119">
        <v>0.11700000000000001</v>
      </c>
      <c r="F141" s="2131"/>
    </row>
    <row r="142" spans="1:6" ht="14.25" thickBot="1">
      <c r="A142" s="1531" t="s">
        <v>200</v>
      </c>
      <c r="B142" s="1525" t="s">
        <v>1480</v>
      </c>
      <c r="C142" s="2119">
        <v>0.125</v>
      </c>
      <c r="D142" s="2119">
        <v>0.125</v>
      </c>
      <c r="E142" s="2119">
        <v>0.115</v>
      </c>
      <c r="F142" s="2131"/>
    </row>
    <row r="143" spans="1:6" ht="14.25" thickBot="1">
      <c r="A143" s="1531" t="s">
        <v>200</v>
      </c>
      <c r="B143" s="1525" t="s">
        <v>1485</v>
      </c>
      <c r="C143" s="2119">
        <v>0.121</v>
      </c>
      <c r="D143" s="2119">
        <v>0.121</v>
      </c>
      <c r="E143" s="2119">
        <v>0.108</v>
      </c>
      <c r="F143" s="2131"/>
    </row>
    <row r="144" spans="1:6" ht="14.25" thickBot="1">
      <c r="A144" s="1531" t="s">
        <v>200</v>
      </c>
      <c r="B144" s="2123" t="s">
        <v>2157</v>
      </c>
      <c r="C144" s="2124">
        <v>0.126</v>
      </c>
      <c r="D144" s="2124">
        <v>0.126</v>
      </c>
      <c r="E144" s="2124">
        <v>0.121</v>
      </c>
      <c r="F144" s="2131"/>
    </row>
    <row r="145" spans="1:6" ht="14.25" thickBot="1">
      <c r="A145" s="1541" t="s">
        <v>200</v>
      </c>
      <c r="B145" s="2125" t="s">
        <v>2158</v>
      </c>
      <c r="C145" s="2133"/>
      <c r="D145" s="2133"/>
      <c r="E145" s="2133"/>
      <c r="F145" s="2126">
        <v>0.05</v>
      </c>
    </row>
    <row r="146" spans="1:6" ht="24.75" thickBot="1">
      <c r="A146" s="2127" t="s">
        <v>200</v>
      </c>
      <c r="B146" s="1535" t="s">
        <v>2159</v>
      </c>
      <c r="C146" s="2132"/>
      <c r="D146" s="2132"/>
      <c r="E146" s="2132"/>
      <c r="F146" s="2128">
        <v>0.05</v>
      </c>
    </row>
    <row r="147" spans="1:6" ht="24.75" thickBot="1">
      <c r="A147" s="1531" t="s">
        <v>200</v>
      </c>
      <c r="B147" s="1525" t="s">
        <v>2160</v>
      </c>
      <c r="C147" s="2132"/>
      <c r="D147" s="2132"/>
      <c r="E147" s="2132"/>
      <c r="F147" s="2120">
        <v>0.05</v>
      </c>
    </row>
    <row r="148" spans="1:6" ht="24.75" thickBot="1">
      <c r="A148" s="1531" t="s">
        <v>200</v>
      </c>
      <c r="B148" s="1525" t="s">
        <v>2161</v>
      </c>
      <c r="C148" s="2132"/>
      <c r="D148" s="2132"/>
      <c r="E148" s="2132"/>
      <c r="F148" s="2120">
        <v>0.05</v>
      </c>
    </row>
    <row r="149" spans="1:6" ht="24.75" thickBot="1">
      <c r="A149" s="1531" t="s">
        <v>200</v>
      </c>
      <c r="B149" s="1525" t="s">
        <v>2162</v>
      </c>
      <c r="C149" s="2132"/>
      <c r="D149" s="2132"/>
      <c r="E149" s="2132"/>
      <c r="F149" s="2120">
        <v>0.05</v>
      </c>
    </row>
    <row r="150" spans="1:6" ht="24.75" thickBot="1">
      <c r="A150" s="1531" t="s">
        <v>200</v>
      </c>
      <c r="B150" s="1525" t="s">
        <v>2163</v>
      </c>
      <c r="C150" s="2132"/>
      <c r="D150" s="2132"/>
      <c r="E150" s="2132"/>
      <c r="F150" s="2120">
        <v>0.05</v>
      </c>
    </row>
    <row r="151" spans="1:6" ht="24.75" thickBot="1">
      <c r="A151" s="1531" t="s">
        <v>200</v>
      </c>
      <c r="B151" s="1525" t="s">
        <v>2164</v>
      </c>
      <c r="C151" s="2132"/>
      <c r="D151" s="2132"/>
      <c r="E151" s="2132"/>
      <c r="F151" s="2120">
        <v>0.05</v>
      </c>
    </row>
    <row r="152" spans="1:6" ht="24.75" thickBot="1">
      <c r="A152" s="1531" t="s">
        <v>200</v>
      </c>
      <c r="B152" s="1525" t="s">
        <v>1518</v>
      </c>
      <c r="C152" s="2132"/>
      <c r="D152" s="2132"/>
      <c r="E152" s="2132"/>
      <c r="F152" s="2120">
        <v>0.05</v>
      </c>
    </row>
    <row r="153" spans="1:6" ht="14.25" thickBot="1">
      <c r="A153" s="1531" t="s">
        <v>200</v>
      </c>
      <c r="B153" s="1525" t="s">
        <v>2165</v>
      </c>
      <c r="C153" s="2132"/>
      <c r="D153" s="2132"/>
      <c r="E153" s="2132"/>
      <c r="F153" s="2120">
        <v>0.05</v>
      </c>
    </row>
    <row r="154" spans="1:6" ht="14.25" thickBot="1">
      <c r="A154" s="1531" t="s">
        <v>200</v>
      </c>
      <c r="B154" s="1525" t="s">
        <v>2166</v>
      </c>
      <c r="C154" s="2132"/>
      <c r="D154" s="2132"/>
      <c r="E154" s="2132"/>
      <c r="F154" s="2120">
        <v>0.05</v>
      </c>
    </row>
    <row r="155" spans="1:6" ht="24.75" thickBot="1">
      <c r="A155" s="1531" t="s">
        <v>200</v>
      </c>
      <c r="B155" s="1525" t="s">
        <v>2167</v>
      </c>
      <c r="C155" s="2132"/>
      <c r="D155" s="2132"/>
      <c r="E155" s="2132"/>
      <c r="F155" s="2120">
        <v>0.05</v>
      </c>
    </row>
    <row r="156" spans="1:6" ht="24.75" thickBot="1">
      <c r="A156" s="1531" t="s">
        <v>200</v>
      </c>
      <c r="B156" s="1525" t="s">
        <v>2168</v>
      </c>
      <c r="C156" s="2132"/>
      <c r="D156" s="2132"/>
      <c r="E156" s="2132"/>
      <c r="F156" s="2120">
        <v>0.05</v>
      </c>
    </row>
    <row r="157" spans="1:6" ht="14.25" thickBot="1">
      <c r="A157" s="1541" t="s">
        <v>200</v>
      </c>
      <c r="B157" s="1537" t="s">
        <v>2169</v>
      </c>
      <c r="C157" s="2129"/>
      <c r="D157" s="2129"/>
      <c r="E157" s="2129"/>
      <c r="F157" s="2122">
        <v>0.05</v>
      </c>
    </row>
    <row r="158" spans="1:6" ht="14.25" thickBot="1">
      <c r="A158" s="1531" t="s">
        <v>1537</v>
      </c>
      <c r="B158" s="1532" t="s">
        <v>2170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2171</v>
      </c>
      <c r="C171" s="2119">
        <v>0.127</v>
      </c>
      <c r="D171" s="2119">
        <v>0.126</v>
      </c>
      <c r="E171" s="2119">
        <v>0.126</v>
      </c>
      <c r="F171" s="2120">
        <v>0.11799999999999999</v>
      </c>
    </row>
    <row r="172" spans="1:6" ht="14.25" thickBot="1">
      <c r="A172" s="1531" t="s">
        <v>1537</v>
      </c>
      <c r="B172" s="1525" t="s">
        <v>2172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2173</v>
      </c>
      <c r="C174" s="2119">
        <v>0.13</v>
      </c>
      <c r="D174" s="2119">
        <v>0.13</v>
      </c>
      <c r="E174" s="2119">
        <v>0.13</v>
      </c>
      <c r="F174" s="2120">
        <v>0.13</v>
      </c>
    </row>
    <row r="175" spans="1:6" ht="14.25" thickBot="1">
      <c r="A175" s="1531" t="s">
        <v>1537</v>
      </c>
      <c r="B175" s="1525" t="s">
        <v>2174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2175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2176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2177</v>
      </c>
      <c r="C185" s="2119">
        <v>0.127</v>
      </c>
      <c r="D185" s="2119">
        <v>0.127</v>
      </c>
      <c r="E185" s="2119">
        <v>0.128</v>
      </c>
      <c r="F185" s="2120">
        <v>0.13</v>
      </c>
    </row>
    <row r="186" spans="1:6" ht="24.75" thickBot="1">
      <c r="A186" s="1531" t="s">
        <v>1537</v>
      </c>
      <c r="B186" s="1525" t="s">
        <v>2178</v>
      </c>
      <c r="C186" s="2132"/>
      <c r="D186" s="2132"/>
      <c r="E186" s="2132"/>
      <c r="F186" s="2120">
        <v>0.05</v>
      </c>
    </row>
    <row r="187" spans="1:6" ht="14.25" thickBot="1">
      <c r="A187" s="1531" t="s">
        <v>1537</v>
      </c>
      <c r="B187" s="1525" t="s">
        <v>2179</v>
      </c>
      <c r="C187" s="2132"/>
      <c r="D187" s="2132"/>
      <c r="E187" s="2132"/>
      <c r="F187" s="2120">
        <v>0.05</v>
      </c>
    </row>
    <row r="188" spans="1:6" ht="14.25" thickBot="1">
      <c r="A188" s="1531" t="s">
        <v>1537</v>
      </c>
      <c r="B188" s="1525" t="s">
        <v>2180</v>
      </c>
      <c r="C188" s="2132"/>
      <c r="D188" s="2132"/>
      <c r="E188" s="2132"/>
      <c r="F188" s="2120">
        <v>0.05</v>
      </c>
    </row>
    <row r="189" spans="1:6" ht="24.75" thickBot="1">
      <c r="A189" s="1531" t="s">
        <v>1537</v>
      </c>
      <c r="B189" s="1525" t="s">
        <v>2181</v>
      </c>
      <c r="C189" s="2132"/>
      <c r="D189" s="2132"/>
      <c r="E189" s="2132"/>
      <c r="F189" s="2120">
        <v>0.05</v>
      </c>
    </row>
    <row r="190" spans="1:6" ht="24.75" thickBot="1">
      <c r="A190" s="1531" t="s">
        <v>1537</v>
      </c>
      <c r="B190" s="1525" t="s">
        <v>2182</v>
      </c>
      <c r="C190" s="2132"/>
      <c r="D190" s="2132"/>
      <c r="E190" s="2132"/>
      <c r="F190" s="2120">
        <v>0.05</v>
      </c>
    </row>
    <row r="191" spans="1:6" ht="24.75" thickBot="1">
      <c r="A191" s="1531" t="s">
        <v>1537</v>
      </c>
      <c r="B191" s="1525" t="s">
        <v>2183</v>
      </c>
      <c r="C191" s="2132"/>
      <c r="D191" s="2132"/>
      <c r="E191" s="2132"/>
      <c r="F191" s="2120">
        <v>0.05</v>
      </c>
    </row>
    <row r="192" spans="1:6" ht="24.75" thickBot="1">
      <c r="A192" s="1531" t="s">
        <v>1537</v>
      </c>
      <c r="B192" s="1525" t="s">
        <v>2184</v>
      </c>
      <c r="C192" s="2132"/>
      <c r="D192" s="2132"/>
      <c r="E192" s="2132"/>
      <c r="F192" s="2120">
        <v>0.05</v>
      </c>
    </row>
    <row r="193" spans="1:6" ht="24.75" thickBot="1">
      <c r="A193" s="1531" t="s">
        <v>1537</v>
      </c>
      <c r="B193" s="1525" t="s">
        <v>2185</v>
      </c>
      <c r="C193" s="2132"/>
      <c r="D193" s="2132"/>
      <c r="E193" s="2132"/>
      <c r="F193" s="2120">
        <v>0.05</v>
      </c>
    </row>
    <row r="194" spans="1:6" ht="24.75" thickBot="1">
      <c r="A194" s="1531" t="s">
        <v>1537</v>
      </c>
      <c r="B194" s="1525" t="s">
        <v>2186</v>
      </c>
      <c r="C194" s="2132"/>
      <c r="D194" s="2132"/>
      <c r="E194" s="2132"/>
      <c r="F194" s="2120">
        <v>0.05</v>
      </c>
    </row>
    <row r="195" spans="1:6" ht="14.25" thickBot="1">
      <c r="A195" s="1531" t="s">
        <v>1537</v>
      </c>
      <c r="B195" s="1525" t="s">
        <v>2187</v>
      </c>
      <c r="C195" s="2132"/>
      <c r="D195" s="2132"/>
      <c r="E195" s="2132"/>
      <c r="F195" s="2120">
        <v>0.05</v>
      </c>
    </row>
    <row r="196" spans="1:6" ht="24.75" thickBot="1">
      <c r="A196" s="1531" t="s">
        <v>1537</v>
      </c>
      <c r="B196" s="1525" t="s">
        <v>2188</v>
      </c>
      <c r="C196" s="2132"/>
      <c r="D196" s="2132"/>
      <c r="E196" s="2132"/>
      <c r="F196" s="2120">
        <v>0.05</v>
      </c>
    </row>
    <row r="197" spans="1:6" ht="24.75" thickBot="1">
      <c r="A197" s="1531" t="s">
        <v>1537</v>
      </c>
      <c r="B197" s="1525" t="s">
        <v>2189</v>
      </c>
      <c r="C197" s="2132"/>
      <c r="D197" s="2132"/>
      <c r="E197" s="2132"/>
      <c r="F197" s="2120">
        <v>0.05</v>
      </c>
    </row>
    <row r="198" spans="1:6" ht="24.75" thickBot="1">
      <c r="A198" s="1531" t="s">
        <v>1537</v>
      </c>
      <c r="B198" s="1525" t="s">
        <v>2190</v>
      </c>
      <c r="C198" s="2132"/>
      <c r="D198" s="2132"/>
      <c r="E198" s="2132"/>
      <c r="F198" s="2120">
        <v>0.05</v>
      </c>
    </row>
    <row r="199" spans="1:6" ht="24.75" thickBot="1">
      <c r="A199" s="1531" t="s">
        <v>1537</v>
      </c>
      <c r="B199" s="1525" t="s">
        <v>2191</v>
      </c>
      <c r="C199" s="2132"/>
      <c r="D199" s="2132"/>
      <c r="E199" s="2132"/>
      <c r="F199" s="2120">
        <v>0.05</v>
      </c>
    </row>
    <row r="200" spans="1:6" ht="24.75" thickBot="1">
      <c r="A200" s="1531" t="s">
        <v>1537</v>
      </c>
      <c r="B200" s="1525" t="s">
        <v>2192</v>
      </c>
      <c r="C200" s="2132"/>
      <c r="D200" s="2132"/>
      <c r="E200" s="2132"/>
      <c r="F200" s="2120">
        <v>0.05</v>
      </c>
    </row>
    <row r="201" spans="1:6" ht="24.75" thickBot="1">
      <c r="A201" s="1531" t="s">
        <v>1537</v>
      </c>
      <c r="B201" s="1525" t="s">
        <v>2193</v>
      </c>
      <c r="C201" s="2132"/>
      <c r="D201" s="2132"/>
      <c r="E201" s="2132"/>
      <c r="F201" s="2120">
        <v>0.05</v>
      </c>
    </row>
    <row r="202" spans="1:6" ht="24.75" thickBot="1">
      <c r="A202" s="1531" t="s">
        <v>1537</v>
      </c>
      <c r="B202" s="1525" t="s">
        <v>2194</v>
      </c>
      <c r="C202" s="2132"/>
      <c r="D202" s="2132"/>
      <c r="E202" s="2132"/>
      <c r="F202" s="2120">
        <v>0.05</v>
      </c>
    </row>
    <row r="203" spans="1:6" ht="24.75" thickBot="1">
      <c r="A203" s="1531" t="s">
        <v>1537</v>
      </c>
      <c r="B203" s="1525" t="s">
        <v>2195</v>
      </c>
      <c r="C203" s="2132"/>
      <c r="D203" s="2132"/>
      <c r="E203" s="2132"/>
      <c r="F203" s="2120">
        <v>0.05</v>
      </c>
    </row>
    <row r="204" spans="1:6" ht="14.25" thickBot="1">
      <c r="A204" s="1531" t="s">
        <v>1537</v>
      </c>
      <c r="B204" s="1525" t="s">
        <v>2196</v>
      </c>
      <c r="C204" s="2132"/>
      <c r="D204" s="2132"/>
      <c r="E204" s="2132"/>
      <c r="F204" s="2120">
        <v>0.05</v>
      </c>
    </row>
    <row r="205" spans="1:6" ht="14.25" thickBot="1">
      <c r="A205" s="1541" t="s">
        <v>1537</v>
      </c>
      <c r="B205" s="1537" t="s">
        <v>2197</v>
      </c>
      <c r="C205" s="2129"/>
      <c r="D205" s="2129"/>
      <c r="E205" s="2129"/>
      <c r="F205" s="2122">
        <v>0.05</v>
      </c>
    </row>
    <row r="206" spans="1:6" ht="14.25" thickBot="1">
      <c r="A206" s="1531" t="s">
        <v>1539</v>
      </c>
      <c r="B206" s="1532" t="s">
        <v>2198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2199</v>
      </c>
      <c r="C210" s="2119">
        <v>0.15</v>
      </c>
      <c r="D210" s="2119">
        <v>0.15</v>
      </c>
      <c r="E210" s="2119">
        <v>0.15</v>
      </c>
      <c r="F210" s="2120">
        <v>0.13800000000000001</v>
      </c>
    </row>
    <row r="211" spans="1:6" ht="14.25" thickBot="1">
      <c r="A211" s="1531" t="s">
        <v>1539</v>
      </c>
      <c r="B211" s="1525" t="s">
        <v>2200</v>
      </c>
      <c r="C211" s="2119">
        <v>0.13700000000000001</v>
      </c>
      <c r="D211" s="2119">
        <v>0.13500000000000001</v>
      </c>
      <c r="E211" s="2119">
        <v>0.13600000000000001</v>
      </c>
      <c r="F211" s="2120">
        <v>0.1</v>
      </c>
    </row>
    <row r="212" spans="1:6" ht="14.25" thickBot="1">
      <c r="A212" s="1531" t="s">
        <v>1539</v>
      </c>
      <c r="B212" s="1525" t="s">
        <v>2201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2202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2203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2204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2205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2206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2207</v>
      </c>
      <c r="C231" s="2119">
        <v>0.128</v>
      </c>
      <c r="D231" s="2119">
        <v>0.125</v>
      </c>
      <c r="E231" s="2119">
        <v>0.13200000000000001</v>
      </c>
      <c r="F231" s="2131"/>
    </row>
    <row r="232" spans="1:6" ht="14.25" thickBot="1">
      <c r="A232" s="1531" t="s">
        <v>1539</v>
      </c>
      <c r="B232" s="1525" t="s">
        <v>2208</v>
      </c>
      <c r="C232" s="2119">
        <v>0.14499999999999999</v>
      </c>
      <c r="D232" s="2119">
        <v>0.14399999999999999</v>
      </c>
      <c r="E232" s="2119">
        <v>0.14599999999999999</v>
      </c>
      <c r="F232" s="2120">
        <v>0.13800000000000001</v>
      </c>
    </row>
    <row r="233" spans="1:6" ht="14.25" thickBot="1">
      <c r="A233" s="1531" t="s">
        <v>1539</v>
      </c>
      <c r="B233" s="1525" t="s">
        <v>2209</v>
      </c>
      <c r="C233" s="2119">
        <v>0.14499999999999999</v>
      </c>
      <c r="D233" s="2119">
        <v>0.14299999999999999</v>
      </c>
      <c r="E233" s="2119">
        <v>0.14199999999999999</v>
      </c>
      <c r="F233" s="2131"/>
    </row>
    <row r="234" spans="1:6" ht="14.25" thickBot="1">
      <c r="A234" s="1531" t="s">
        <v>1539</v>
      </c>
      <c r="B234" s="1525" t="s">
        <v>2210</v>
      </c>
      <c r="C234" s="2119">
        <v>0.14000000000000001</v>
      </c>
      <c r="D234" s="2119">
        <v>0.14000000000000001</v>
      </c>
      <c r="E234" s="2119">
        <v>0.14399999999999999</v>
      </c>
      <c r="F234" s="2131"/>
    </row>
    <row r="235" spans="1:6" ht="14.25" thickBot="1">
      <c r="A235" s="1531" t="s">
        <v>1539</v>
      </c>
      <c r="B235" s="1525" t="s">
        <v>2211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2212</v>
      </c>
      <c r="C237" s="2132"/>
      <c r="D237" s="2132"/>
      <c r="E237" s="2132"/>
      <c r="F237" s="2120">
        <v>0.05</v>
      </c>
    </row>
    <row r="238" spans="1:6" ht="24.75" thickBot="1">
      <c r="A238" s="1531" t="s">
        <v>1539</v>
      </c>
      <c r="B238" s="1525" t="s">
        <v>2213</v>
      </c>
      <c r="C238" s="2132"/>
      <c r="D238" s="2132"/>
      <c r="E238" s="2132"/>
      <c r="F238" s="2120">
        <v>0.05</v>
      </c>
    </row>
    <row r="239" spans="1:6" ht="24.75" thickBot="1">
      <c r="A239" s="1531" t="s">
        <v>1539</v>
      </c>
      <c r="B239" s="1525" t="s">
        <v>2214</v>
      </c>
      <c r="C239" s="2132"/>
      <c r="D239" s="2132"/>
      <c r="E239" s="2132"/>
      <c r="F239" s="2120">
        <v>0.05</v>
      </c>
    </row>
    <row r="240" spans="1:6" ht="24.75" thickBot="1">
      <c r="A240" s="1531" t="s">
        <v>1539</v>
      </c>
      <c r="B240" s="1525" t="s">
        <v>2215</v>
      </c>
      <c r="C240" s="2132"/>
      <c r="D240" s="2132"/>
      <c r="E240" s="2132"/>
      <c r="F240" s="2120">
        <v>0.05</v>
      </c>
    </row>
    <row r="241" spans="1:6" ht="24.75" thickBot="1">
      <c r="A241" s="1531" t="s">
        <v>1539</v>
      </c>
      <c r="B241" s="1525" t="s">
        <v>2216</v>
      </c>
      <c r="C241" s="2132"/>
      <c r="D241" s="2132"/>
      <c r="E241" s="2132"/>
      <c r="F241" s="2120">
        <v>0.05</v>
      </c>
    </row>
    <row r="242" spans="1:6" ht="24.75" thickBot="1">
      <c r="A242" s="1531" t="s">
        <v>1539</v>
      </c>
      <c r="B242" s="1525" t="s">
        <v>2217</v>
      </c>
      <c r="C242" s="2132"/>
      <c r="D242" s="2132"/>
      <c r="E242" s="2132"/>
      <c r="F242" s="2120">
        <v>0.05</v>
      </c>
    </row>
    <row r="243" spans="1:6" ht="24.75" thickBot="1">
      <c r="A243" s="1531" t="s">
        <v>1539</v>
      </c>
      <c r="B243" s="1525" t="s">
        <v>2218</v>
      </c>
      <c r="C243" s="2132"/>
      <c r="D243" s="2132"/>
      <c r="E243" s="2132"/>
      <c r="F243" s="2120">
        <v>0.05</v>
      </c>
    </row>
    <row r="244" spans="1:6" ht="24.75" thickBot="1">
      <c r="A244" s="1541" t="s">
        <v>1539</v>
      </c>
      <c r="B244" s="1537" t="s">
        <v>2219</v>
      </c>
      <c r="C244" s="2129"/>
      <c r="D244" s="2129"/>
      <c r="E244" s="2129"/>
      <c r="F244" s="2122">
        <v>0.05</v>
      </c>
    </row>
    <row r="245" spans="1:6" ht="14.25" thickBot="1">
      <c r="A245" s="1531" t="s">
        <v>1541</v>
      </c>
      <c r="B245" s="1532" t="s">
        <v>2220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2221</v>
      </c>
      <c r="C247" s="2119">
        <v>0.15</v>
      </c>
      <c r="D247" s="2119">
        <v>0.15</v>
      </c>
      <c r="E247" s="2119">
        <v>0.15</v>
      </c>
      <c r="F247" s="2120">
        <v>0.15</v>
      </c>
    </row>
    <row r="248" spans="1:6" ht="14.25" thickBot="1">
      <c r="A248" s="1531" t="s">
        <v>1541</v>
      </c>
      <c r="B248" s="1525" t="s">
        <v>2222</v>
      </c>
      <c r="C248" s="2119">
        <v>0.15</v>
      </c>
      <c r="D248" s="2119">
        <v>0.15</v>
      </c>
      <c r="E248" s="2119">
        <v>0.15</v>
      </c>
      <c r="F248" s="2120">
        <v>0.14000000000000001</v>
      </c>
    </row>
    <row r="249" spans="1:6" ht="14.25" thickBot="1">
      <c r="A249" s="1531" t="s">
        <v>1541</v>
      </c>
      <c r="B249" s="1525" t="s">
        <v>2223</v>
      </c>
      <c r="C249" s="2119">
        <v>0.15</v>
      </c>
      <c r="D249" s="2119">
        <v>0.14899999999999999</v>
      </c>
      <c r="E249" s="2119">
        <v>0.15</v>
      </c>
      <c r="F249" s="2120">
        <v>0.1</v>
      </c>
    </row>
    <row r="250" spans="1:6" ht="14.25" thickBot="1">
      <c r="A250" s="1531" t="s">
        <v>1541</v>
      </c>
      <c r="B250" s="1525" t="s">
        <v>2224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2225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2226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2227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2228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2229</v>
      </c>
      <c r="C273" s="2119">
        <v>0.14199999999999999</v>
      </c>
      <c r="D273" s="2119">
        <v>0.14299999999999999</v>
      </c>
      <c r="E273" s="2119">
        <v>0.15</v>
      </c>
      <c r="F273" s="2120">
        <v>0.1</v>
      </c>
    </row>
    <row r="274" spans="1:6" ht="14.25" thickBot="1">
      <c r="A274" s="1531" t="s">
        <v>1541</v>
      </c>
      <c r="B274" s="1525" t="s">
        <v>2230</v>
      </c>
      <c r="C274" s="2119">
        <v>0.14799999999999999</v>
      </c>
      <c r="D274" s="2119">
        <v>0.14799999999999999</v>
      </c>
      <c r="E274" s="2119">
        <v>0.15</v>
      </c>
      <c r="F274" s="2120">
        <v>6.7000000000000004E-2</v>
      </c>
    </row>
    <row r="275" spans="1:6" ht="14.25" thickBot="1">
      <c r="A275" s="1531" t="s">
        <v>1541</v>
      </c>
      <c r="B275" s="1525" t="s">
        <v>2231</v>
      </c>
      <c r="C275" s="2119">
        <v>0.15</v>
      </c>
      <c r="D275" s="2119">
        <v>0.15</v>
      </c>
      <c r="E275" s="2119">
        <v>0.15</v>
      </c>
      <c r="F275" s="2120">
        <v>0.15</v>
      </c>
    </row>
    <row r="276" spans="1:6" ht="14.25" thickBot="1">
      <c r="A276" s="1531" t="s">
        <v>1541</v>
      </c>
      <c r="B276" s="1525" t="s">
        <v>2232</v>
      </c>
      <c r="C276" s="2119">
        <v>0.14499999999999999</v>
      </c>
      <c r="D276" s="2119">
        <v>0.14299999999999999</v>
      </c>
      <c r="E276" s="2119">
        <v>0.15</v>
      </c>
      <c r="F276" s="2120">
        <v>5.8999999999999997E-2</v>
      </c>
    </row>
    <row r="277" spans="1:6" ht="14.25" thickBot="1">
      <c r="A277" s="1531" t="s">
        <v>1541</v>
      </c>
      <c r="B277" s="1525" t="s">
        <v>2233</v>
      </c>
      <c r="C277" s="2119">
        <v>0.15</v>
      </c>
      <c r="D277" s="2119">
        <v>0.15</v>
      </c>
      <c r="E277" s="2119">
        <v>0.15</v>
      </c>
      <c r="F277" s="2120">
        <v>0.121</v>
      </c>
    </row>
    <row r="278" spans="1:6" ht="14.25" thickBot="1">
      <c r="A278" s="1531" t="s">
        <v>1541</v>
      </c>
      <c r="B278" s="1525" t="s">
        <v>2234</v>
      </c>
      <c r="C278" s="2119">
        <v>0.15</v>
      </c>
      <c r="D278" s="2119">
        <v>0.15</v>
      </c>
      <c r="E278" s="2119">
        <v>0.15</v>
      </c>
      <c r="F278" s="2120">
        <v>0.13800000000000001</v>
      </c>
    </row>
    <row r="279" spans="1:6" ht="24.75" thickBot="1">
      <c r="A279" s="1531" t="s">
        <v>1541</v>
      </c>
      <c r="B279" s="1525" t="s">
        <v>2235</v>
      </c>
      <c r="C279" s="2132"/>
      <c r="D279" s="2132"/>
      <c r="E279" s="2132"/>
      <c r="F279" s="2120">
        <v>0.05</v>
      </c>
    </row>
    <row r="280" spans="1:6" ht="24.75" thickBot="1">
      <c r="A280" s="1531" t="s">
        <v>1541</v>
      </c>
      <c r="B280" s="1525" t="s">
        <v>2236</v>
      </c>
      <c r="C280" s="2132"/>
      <c r="D280" s="2132"/>
      <c r="E280" s="2132"/>
      <c r="F280" s="2120">
        <v>0.05</v>
      </c>
    </row>
    <row r="281" spans="1:6" ht="24.75" thickBot="1">
      <c r="A281" s="1531" t="s">
        <v>1541</v>
      </c>
      <c r="B281" s="1525" t="s">
        <v>2237</v>
      </c>
      <c r="C281" s="2132"/>
      <c r="D281" s="2132"/>
      <c r="E281" s="2132"/>
      <c r="F281" s="2120">
        <v>0.05</v>
      </c>
    </row>
    <row r="282" spans="1:6" ht="24.75" thickBot="1">
      <c r="A282" s="1531" t="s">
        <v>1541</v>
      </c>
      <c r="B282" s="1525" t="s">
        <v>2238</v>
      </c>
      <c r="C282" s="2132"/>
      <c r="D282" s="2132"/>
      <c r="E282" s="2132"/>
      <c r="F282" s="2120">
        <v>0.05</v>
      </c>
    </row>
    <row r="283" spans="1:6" ht="24.75" thickBot="1">
      <c r="A283" s="1531" t="s">
        <v>1541</v>
      </c>
      <c r="B283" s="1525" t="s">
        <v>2239</v>
      </c>
      <c r="C283" s="2132"/>
      <c r="D283" s="2132"/>
      <c r="E283" s="2132"/>
      <c r="F283" s="2120">
        <v>0.05</v>
      </c>
    </row>
    <row r="284" spans="1:6" ht="24.75" thickBot="1">
      <c r="A284" s="1531" t="s">
        <v>1541</v>
      </c>
      <c r="B284" s="1525" t="s">
        <v>2240</v>
      </c>
      <c r="C284" s="2132"/>
      <c r="D284" s="2132"/>
      <c r="E284" s="2132"/>
      <c r="F284" s="2120">
        <v>0.05</v>
      </c>
    </row>
    <row r="285" spans="1:6" ht="24.75" thickBot="1">
      <c r="A285" s="1531" t="s">
        <v>1541</v>
      </c>
      <c r="B285" s="1525" t="s">
        <v>2241</v>
      </c>
      <c r="C285" s="2132"/>
      <c r="D285" s="2132"/>
      <c r="E285" s="2132"/>
      <c r="F285" s="2120">
        <v>0.05</v>
      </c>
    </row>
    <row r="286" spans="1:6" ht="24.75" thickBot="1">
      <c r="A286" s="1531" t="s">
        <v>1541</v>
      </c>
      <c r="B286" s="1525" t="s">
        <v>2242</v>
      </c>
      <c r="C286" s="2132"/>
      <c r="D286" s="2132"/>
      <c r="E286" s="2132"/>
      <c r="F286" s="2120">
        <v>0.05</v>
      </c>
    </row>
    <row r="287" spans="1:6" ht="24.75" thickBot="1">
      <c r="A287" s="1531" t="s">
        <v>1541</v>
      </c>
      <c r="B287" s="1525" t="s">
        <v>2243</v>
      </c>
      <c r="C287" s="2132"/>
      <c r="D287" s="2132"/>
      <c r="E287" s="2132"/>
      <c r="F287" s="2120">
        <v>0.05</v>
      </c>
    </row>
    <row r="288" spans="1:6" ht="24.75" thickBot="1">
      <c r="A288" s="1531" t="s">
        <v>1541</v>
      </c>
      <c r="B288" s="1525" t="s">
        <v>2244</v>
      </c>
      <c r="C288" s="2132"/>
      <c r="D288" s="2132"/>
      <c r="E288" s="2132"/>
      <c r="F288" s="2120">
        <v>0.05</v>
      </c>
    </row>
    <row r="289" spans="1:6" ht="24.75" thickBot="1">
      <c r="A289" s="1541" t="s">
        <v>1541</v>
      </c>
      <c r="B289" s="1537" t="s">
        <v>2245</v>
      </c>
      <c r="C289" s="2129"/>
      <c r="D289" s="2129"/>
      <c r="E289" s="2129"/>
      <c r="F289" s="2122">
        <v>0.05</v>
      </c>
    </row>
    <row r="290" spans="1:6" ht="14.25" thickBot="1">
      <c r="A290" s="1531" t="s">
        <v>1545</v>
      </c>
      <c r="B290" s="1532" t="s">
        <v>2246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2247</v>
      </c>
      <c r="C292" s="2119">
        <v>0.15</v>
      </c>
      <c r="D292" s="2119">
        <v>0.15</v>
      </c>
      <c r="E292" s="2119">
        <v>0.15</v>
      </c>
      <c r="F292" s="2120">
        <v>0.14699999999999999</v>
      </c>
    </row>
    <row r="293" spans="1:6" ht="14.25" thickBot="1">
      <c r="A293" s="1531" t="s">
        <v>1545</v>
      </c>
      <c r="B293" s="1525" t="s">
        <v>2248</v>
      </c>
      <c r="C293" s="2132"/>
      <c r="D293" s="2132"/>
      <c r="E293" s="2132"/>
      <c r="F293" s="2120">
        <v>0.1</v>
      </c>
    </row>
    <row r="294" spans="1:6" ht="14.25" thickBot="1">
      <c r="A294" s="1531" t="s">
        <v>1545</v>
      </c>
      <c r="B294" s="1525" t="s">
        <v>2249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2250</v>
      </c>
      <c r="C296" s="2119">
        <v>0.15</v>
      </c>
      <c r="D296" s="2119">
        <v>0.15</v>
      </c>
      <c r="E296" s="2119">
        <v>0.15</v>
      </c>
      <c r="F296" s="2120">
        <v>0.15</v>
      </c>
    </row>
    <row r="297" spans="1:6" ht="14.25" thickBot="1">
      <c r="A297" s="1531" t="s">
        <v>1545</v>
      </c>
      <c r="B297" s="1525" t="s">
        <v>2251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2252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2253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2254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2255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2256</v>
      </c>
      <c r="C310" s="2119">
        <v>0.15</v>
      </c>
      <c r="D310" s="2119">
        <v>0.15</v>
      </c>
      <c r="E310" s="2119">
        <v>0.15</v>
      </c>
      <c r="F310" s="2120">
        <v>0.13700000000000001</v>
      </c>
    </row>
    <row r="311" spans="1:6" ht="14.25" thickBot="1">
      <c r="A311" s="1531" t="s">
        <v>1545</v>
      </c>
      <c r="B311" s="1525" t="s">
        <v>2257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2258</v>
      </c>
      <c r="C313" s="2119">
        <v>0.15</v>
      </c>
      <c r="D313" s="2119">
        <v>0.15</v>
      </c>
      <c r="E313" s="2119">
        <v>0.15</v>
      </c>
      <c r="F313" s="2120">
        <v>0.15</v>
      </c>
    </row>
    <row r="314" spans="1:6" ht="24.75" thickBot="1">
      <c r="A314" s="1531" t="s">
        <v>1545</v>
      </c>
      <c r="B314" s="1525" t="s">
        <v>2259</v>
      </c>
      <c r="C314" s="2132"/>
      <c r="D314" s="2132"/>
      <c r="E314" s="2132"/>
      <c r="F314" s="2120">
        <v>0.05</v>
      </c>
    </row>
    <row r="315" spans="1:6" ht="24.75" thickBot="1">
      <c r="A315" s="1531" t="s">
        <v>1545</v>
      </c>
      <c r="B315" s="1525" t="s">
        <v>2260</v>
      </c>
      <c r="C315" s="2132"/>
      <c r="D315" s="2132"/>
      <c r="E315" s="2132"/>
      <c r="F315" s="2120">
        <v>0.05</v>
      </c>
    </row>
    <row r="316" spans="1:6" ht="24.75" thickBot="1">
      <c r="A316" s="1541" t="s">
        <v>1545</v>
      </c>
      <c r="B316" s="1537" t="s">
        <v>2261</v>
      </c>
      <c r="C316" s="2129"/>
      <c r="D316" s="2129"/>
      <c r="E316" s="2129"/>
      <c r="F316" s="2122">
        <v>0.05</v>
      </c>
    </row>
    <row r="317" spans="1:6" ht="14.25" thickBot="1">
      <c r="A317" s="1531" t="s">
        <v>2262</v>
      </c>
      <c r="B317" s="1532" t="s">
        <v>2263</v>
      </c>
      <c r="C317" s="2117">
        <v>0.15</v>
      </c>
      <c r="D317" s="2117">
        <v>0.15</v>
      </c>
      <c r="E317" s="2117">
        <v>0.15</v>
      </c>
      <c r="F317" s="2118">
        <v>0.15</v>
      </c>
    </row>
    <row r="318" spans="1:6" ht="14.25" thickBot="1">
      <c r="A318" s="1531" t="s">
        <v>2262</v>
      </c>
      <c r="B318" s="1525" t="s">
        <v>2264</v>
      </c>
      <c r="C318" s="2119">
        <v>0.107</v>
      </c>
      <c r="D318" s="2119">
        <v>0.11</v>
      </c>
      <c r="E318" s="2119">
        <v>0.112</v>
      </c>
      <c r="F318" s="2131"/>
    </row>
    <row r="319" spans="1:6" ht="14.25" thickBot="1">
      <c r="A319" s="1531" t="s">
        <v>2262</v>
      </c>
      <c r="B319" s="1525" t="s">
        <v>2265</v>
      </c>
      <c r="C319" s="2119">
        <v>0.15</v>
      </c>
      <c r="D319" s="2119">
        <v>0.15</v>
      </c>
      <c r="E319" s="2119">
        <v>0.15</v>
      </c>
      <c r="F319" s="2120">
        <v>0.15</v>
      </c>
    </row>
    <row r="320" spans="1:6" ht="14.25" thickBot="1">
      <c r="A320" s="1531" t="s">
        <v>2262</v>
      </c>
      <c r="B320" s="1525" t="s">
        <v>1234</v>
      </c>
      <c r="C320" s="2119">
        <v>0.15</v>
      </c>
      <c r="D320" s="2119">
        <v>0.15</v>
      </c>
      <c r="E320" s="2119">
        <v>0.15</v>
      </c>
      <c r="F320" s="2131"/>
    </row>
    <row r="321" spans="1:6" ht="14.25" thickBot="1">
      <c r="A321" s="1531" t="s">
        <v>2262</v>
      </c>
      <c r="B321" s="1525" t="s">
        <v>2266</v>
      </c>
      <c r="C321" s="2119">
        <v>0.15</v>
      </c>
      <c r="D321" s="2119">
        <v>0.15</v>
      </c>
      <c r="E321" s="2119">
        <v>0.15</v>
      </c>
      <c r="F321" s="2131"/>
    </row>
    <row r="322" spans="1:6" ht="14.25" thickBot="1">
      <c r="A322" s="1531" t="s">
        <v>2262</v>
      </c>
      <c r="B322" s="1525" t="s">
        <v>2267</v>
      </c>
      <c r="C322" s="2119">
        <v>0.15</v>
      </c>
      <c r="D322" s="2119">
        <v>0.15</v>
      </c>
      <c r="E322" s="2119">
        <v>0.15</v>
      </c>
      <c r="F322" s="2120">
        <v>0.15</v>
      </c>
    </row>
    <row r="323" spans="1:6" ht="14.25" thickBot="1">
      <c r="A323" s="1531" t="s">
        <v>2262</v>
      </c>
      <c r="B323" s="1525" t="s">
        <v>2268</v>
      </c>
      <c r="C323" s="2119">
        <v>0.15</v>
      </c>
      <c r="D323" s="2119">
        <v>0.15</v>
      </c>
      <c r="E323" s="2119">
        <v>0.15</v>
      </c>
      <c r="F323" s="2131"/>
    </row>
    <row r="324" spans="1:6" ht="14.25" thickBot="1">
      <c r="A324" s="1531" t="s">
        <v>2262</v>
      </c>
      <c r="B324" s="1525" t="s">
        <v>2269</v>
      </c>
      <c r="C324" s="2119">
        <v>0.15</v>
      </c>
      <c r="D324" s="2119">
        <v>0.15</v>
      </c>
      <c r="E324" s="2119">
        <v>0.15</v>
      </c>
      <c r="F324" s="2131"/>
    </row>
    <row r="325" spans="1:6" ht="14.25" thickBot="1">
      <c r="A325" s="1531" t="s">
        <v>2262</v>
      </c>
      <c r="B325" s="1525" t="s">
        <v>2270</v>
      </c>
      <c r="C325" s="2119">
        <v>0.15</v>
      </c>
      <c r="D325" s="2119">
        <v>0.15</v>
      </c>
      <c r="E325" s="2119">
        <v>0.15</v>
      </c>
      <c r="F325" s="2120">
        <v>0.14699999999999999</v>
      </c>
    </row>
    <row r="326" spans="1:6" ht="14.25" thickBot="1">
      <c r="A326" s="1531" t="s">
        <v>2262</v>
      </c>
      <c r="B326" s="1525" t="s">
        <v>1301</v>
      </c>
      <c r="C326" s="2119">
        <v>0.15</v>
      </c>
      <c r="D326" s="2119">
        <v>0.15</v>
      </c>
      <c r="E326" s="2119">
        <v>0.15</v>
      </c>
      <c r="F326" s="2131"/>
    </row>
    <row r="327" spans="1:6" ht="14.25" thickBot="1">
      <c r="A327" s="1531" t="s">
        <v>2262</v>
      </c>
      <c r="B327" s="1525" t="s">
        <v>2271</v>
      </c>
      <c r="C327" s="2119">
        <v>0.15</v>
      </c>
      <c r="D327" s="2119">
        <v>0.15</v>
      </c>
      <c r="E327" s="2119">
        <v>0.15</v>
      </c>
      <c r="F327" s="2120">
        <v>0.15</v>
      </c>
    </row>
    <row r="328" spans="1:6" ht="14.25" thickBot="1">
      <c r="A328" s="1531" t="s">
        <v>2262</v>
      </c>
      <c r="B328" s="1525" t="s">
        <v>1321</v>
      </c>
      <c r="C328" s="2119">
        <v>0.15</v>
      </c>
      <c r="D328" s="2119">
        <v>0.15</v>
      </c>
      <c r="E328" s="2119">
        <v>0.15</v>
      </c>
      <c r="F328" s="2120">
        <v>0.14099999999999999</v>
      </c>
    </row>
    <row r="329" spans="1:6" ht="14.25" thickBot="1">
      <c r="A329" s="1531" t="s">
        <v>2262</v>
      </c>
      <c r="B329" s="1525" t="s">
        <v>1331</v>
      </c>
      <c r="C329" s="2119">
        <v>0.15</v>
      </c>
      <c r="D329" s="2119">
        <v>0.15</v>
      </c>
      <c r="E329" s="2119">
        <v>0.15</v>
      </c>
      <c r="F329" s="2120">
        <v>0.15</v>
      </c>
    </row>
    <row r="330" spans="1:6" ht="14.25" thickBot="1">
      <c r="A330" s="1531" t="s">
        <v>2262</v>
      </c>
      <c r="B330" s="1525" t="s">
        <v>1342</v>
      </c>
      <c r="C330" s="2119">
        <v>0.15</v>
      </c>
      <c r="D330" s="2119">
        <v>0.15</v>
      </c>
      <c r="E330" s="2119">
        <v>0.15</v>
      </c>
      <c r="F330" s="2131"/>
    </row>
    <row r="331" spans="1:6" ht="14.25" thickBot="1">
      <c r="A331" s="1531" t="s">
        <v>2262</v>
      </c>
      <c r="B331" s="1525" t="s">
        <v>2272</v>
      </c>
      <c r="C331" s="2119">
        <v>0.15</v>
      </c>
      <c r="D331" s="2119">
        <v>0.15</v>
      </c>
      <c r="E331" s="2119">
        <v>0.15</v>
      </c>
      <c r="F331" s="2120">
        <v>0.15</v>
      </c>
    </row>
    <row r="332" spans="1:6" ht="14.25" thickBot="1">
      <c r="A332" s="1531" t="s">
        <v>2262</v>
      </c>
      <c r="B332" s="1525" t="s">
        <v>1363</v>
      </c>
      <c r="C332" s="2119">
        <v>0.15</v>
      </c>
      <c r="D332" s="2119">
        <v>0.15</v>
      </c>
      <c r="E332" s="2119">
        <v>0.15</v>
      </c>
      <c r="F332" s="2120">
        <v>0.15</v>
      </c>
    </row>
    <row r="333" spans="1:6" ht="14.25" thickBot="1">
      <c r="A333" s="1531" t="s">
        <v>2262</v>
      </c>
      <c r="B333" s="1525" t="s">
        <v>2273</v>
      </c>
      <c r="C333" s="2119">
        <v>0.15</v>
      </c>
      <c r="D333" s="2119">
        <v>0.15</v>
      </c>
      <c r="E333" s="2119">
        <v>0.15</v>
      </c>
      <c r="F333" s="2120">
        <v>0.14099999999999999</v>
      </c>
    </row>
    <row r="334" spans="1:6" ht="14.25" thickBot="1">
      <c r="A334" s="1531" t="s">
        <v>2262</v>
      </c>
      <c r="B334" s="1525" t="s">
        <v>1383</v>
      </c>
      <c r="C334" s="2119">
        <v>0.15</v>
      </c>
      <c r="D334" s="2119">
        <v>0.15</v>
      </c>
      <c r="E334" s="2119">
        <v>0.15</v>
      </c>
      <c r="F334" s="2120">
        <v>0.15</v>
      </c>
    </row>
    <row r="335" spans="1:6" ht="14.25" thickBot="1">
      <c r="A335" s="1531" t="s">
        <v>2262</v>
      </c>
      <c r="B335" s="1525" t="s">
        <v>1393</v>
      </c>
      <c r="C335" s="2119">
        <v>0.15</v>
      </c>
      <c r="D335" s="2119">
        <v>0.15</v>
      </c>
      <c r="E335" s="2119">
        <v>0.15</v>
      </c>
      <c r="F335" s="2131"/>
    </row>
    <row r="336" spans="1:6" ht="14.25" thickBot="1">
      <c r="A336" s="1531" t="s">
        <v>2262</v>
      </c>
      <c r="B336" s="1525" t="s">
        <v>2274</v>
      </c>
      <c r="C336" s="2119">
        <v>0.15</v>
      </c>
      <c r="D336" s="2119">
        <v>0.15</v>
      </c>
      <c r="E336" s="2119">
        <v>0.15</v>
      </c>
      <c r="F336" s="2120">
        <v>0.11799999999999999</v>
      </c>
    </row>
    <row r="337" spans="1:6" ht="14.25" thickBot="1">
      <c r="A337" s="1541" t="s">
        <v>2262</v>
      </c>
      <c r="B337" s="1537" t="s">
        <v>1411</v>
      </c>
      <c r="C337" s="2129"/>
      <c r="D337" s="2129"/>
      <c r="E337" s="2129"/>
      <c r="F337" s="2122">
        <v>0.14299999999999999</v>
      </c>
    </row>
    <row r="338" spans="1:6" ht="14.25" thickBot="1">
      <c r="A338" s="1531" t="s">
        <v>2275</v>
      </c>
      <c r="B338" s="1532" t="s">
        <v>2276</v>
      </c>
      <c r="C338" s="2117">
        <v>0.15</v>
      </c>
      <c r="D338" s="2117">
        <v>0.15</v>
      </c>
      <c r="E338" s="2117">
        <v>0.15</v>
      </c>
      <c r="F338" s="2134"/>
    </row>
    <row r="339" spans="1:6" ht="14.25" thickBot="1">
      <c r="A339" s="1531" t="s">
        <v>2275</v>
      </c>
      <c r="B339" s="1525" t="s">
        <v>2277</v>
      </c>
      <c r="C339" s="2119">
        <v>0.15</v>
      </c>
      <c r="D339" s="2119">
        <v>0.15</v>
      </c>
      <c r="E339" s="2119">
        <v>0.15</v>
      </c>
      <c r="F339" s="2131"/>
    </row>
    <row r="340" spans="1:6" ht="14.25" thickBot="1">
      <c r="A340" s="1531" t="s">
        <v>2275</v>
      </c>
      <c r="B340" s="1525" t="s">
        <v>2278</v>
      </c>
      <c r="C340" s="2119">
        <v>0.15</v>
      </c>
      <c r="D340" s="2119">
        <v>0.15</v>
      </c>
      <c r="E340" s="2119">
        <v>0.15</v>
      </c>
      <c r="F340" s="2131"/>
    </row>
    <row r="341" spans="1:6" ht="14.25" thickBot="1">
      <c r="A341" s="1531" t="s">
        <v>2275</v>
      </c>
      <c r="B341" s="1525" t="s">
        <v>2279</v>
      </c>
      <c r="C341" s="2119">
        <v>0.15</v>
      </c>
      <c r="D341" s="2119">
        <v>0.15</v>
      </c>
      <c r="E341" s="2119">
        <v>0.15</v>
      </c>
      <c r="F341" s="2120">
        <v>0.15</v>
      </c>
    </row>
    <row r="342" spans="1:6" ht="14.25" thickBot="1">
      <c r="A342" s="1531" t="s">
        <v>2275</v>
      </c>
      <c r="B342" s="1525" t="s">
        <v>2280</v>
      </c>
      <c r="C342" s="2119">
        <v>0.15</v>
      </c>
      <c r="D342" s="2119">
        <v>0.15</v>
      </c>
      <c r="E342" s="2119">
        <v>0.15</v>
      </c>
      <c r="F342" s="2120">
        <v>0.15</v>
      </c>
    </row>
    <row r="343" spans="1:6" ht="14.25" thickBot="1">
      <c r="A343" s="1531" t="s">
        <v>2275</v>
      </c>
      <c r="B343" s="1525" t="s">
        <v>2281</v>
      </c>
      <c r="C343" s="2119">
        <v>0.15</v>
      </c>
      <c r="D343" s="2119">
        <v>0.15</v>
      </c>
      <c r="E343" s="2119">
        <v>0.15</v>
      </c>
      <c r="F343" s="2120">
        <v>0.15</v>
      </c>
    </row>
    <row r="344" spans="1:6" ht="14.25" thickBot="1">
      <c r="A344" s="1541" t="s">
        <v>2275</v>
      </c>
      <c r="B344" s="1537"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2894</v>
      </c>
      <c r="C1" s="3197">
        <f>项目基本情况!D3</f>
        <v>43026</v>
      </c>
      <c r="D1" s="3203" t="s">
        <v>2895</v>
      </c>
      <c r="E1" s="3198">
        <f>'数据-取费表'!B22</f>
        <v>1</v>
      </c>
      <c r="F1" s="3203" t="s">
        <v>2896</v>
      </c>
      <c r="G1" s="3199">
        <f ca="1">INDIRECT("d"&amp;$K$1)/100</f>
        <v>4.3499999999999997E-2</v>
      </c>
      <c r="H1" s="3203" t="s">
        <v>2926</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2897</v>
      </c>
      <c r="E2" s="3139"/>
      <c r="F2" s="3139" t="s">
        <v>2898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2905</v>
      </c>
      <c r="C10" s="3167"/>
      <c r="D10" s="3167"/>
      <c r="E10" s="3167"/>
      <c r="F10" s="3167"/>
      <c r="G10" s="3167"/>
      <c r="H10" s="3167"/>
      <c r="I10" s="3141"/>
      <c r="J10" s="3141"/>
      <c r="K10" s="3167"/>
      <c r="L10" s="3168" t="s">
        <v>2906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2907</v>
      </c>
      <c r="C11" s="3172" t="s">
        <v>2908</v>
      </c>
      <c r="D11" s="3173" t="s">
        <v>2909</v>
      </c>
      <c r="E11" s="3174"/>
      <c r="F11" s="3173" t="s">
        <v>2910</v>
      </c>
      <c r="G11" s="3175"/>
      <c r="H11" s="3174"/>
      <c r="I11" s="3173" t="s">
        <v>2911</v>
      </c>
      <c r="J11" s="3174"/>
      <c r="K11" s="3170"/>
      <c r="L11" s="3171" t="s">
        <v>2907</v>
      </c>
      <c r="M11" s="3172" t="s">
        <v>2908</v>
      </c>
      <c r="N11" s="3171" t="s">
        <v>2912</v>
      </c>
      <c r="O11" s="3173" t="s">
        <v>2913</v>
      </c>
      <c r="P11" s="3175"/>
      <c r="Q11" s="3175"/>
      <c r="R11" s="3175"/>
      <c r="S11" s="3175"/>
      <c r="T11" s="3174"/>
      <c r="U11" s="3173" t="s">
        <v>2914</v>
      </c>
      <c r="V11" s="3175"/>
      <c r="W11" s="3174"/>
      <c r="X11" s="3171" t="s">
        <v>2915</v>
      </c>
      <c r="Y11" s="3171" t="s">
        <v>2916</v>
      </c>
      <c r="Z11" s="3171" t="s">
        <v>2917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2918</v>
      </c>
      <c r="E12" s="3180" t="s">
        <v>2919</v>
      </c>
      <c r="F12" s="3180" t="s">
        <v>2920</v>
      </c>
      <c r="G12" s="3180" t="s">
        <v>2921</v>
      </c>
      <c r="H12" s="3180" t="s">
        <v>2903</v>
      </c>
      <c r="I12" s="3181" t="s">
        <v>2922</v>
      </c>
      <c r="J12" s="3181" t="s">
        <v>2922</v>
      </c>
      <c r="K12" s="3177"/>
      <c r="L12" s="3178"/>
      <c r="M12" s="3179"/>
      <c r="N12" s="3178"/>
      <c r="O12" s="3181" t="s">
        <v>2923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2924</v>
      </c>
      <c r="C13" s="3185">
        <v>42301</v>
      </c>
      <c r="D13" s="3186">
        <v>4.3499999999999996</v>
      </c>
      <c r="E13" s="3186">
        <v>4.3499999999999996</v>
      </c>
      <c r="F13" s="3186">
        <v>4.75</v>
      </c>
      <c r="G13" s="3186">
        <v>4.75</v>
      </c>
      <c r="H13" s="3186">
        <v>4.9000000000000004</v>
      </c>
      <c r="I13" s="3186">
        <v>2.75</v>
      </c>
      <c r="J13" s="3186">
        <v>3.25</v>
      </c>
      <c r="K13" s="3183"/>
      <c r="L13" s="3184" t="s">
        <v>2924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2925</v>
      </c>
      <c r="Y42" s="3190" t="s">
        <v>2925</v>
      </c>
      <c r="Z42" s="3190" t="s">
        <v>2925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2925</v>
      </c>
      <c r="Y43" s="3190" t="s">
        <v>2925</v>
      </c>
      <c r="Z43" s="3190" t="s">
        <v>2925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2925</v>
      </c>
      <c r="Y44" s="3190" t="s">
        <v>2925</v>
      </c>
      <c r="Z44" s="3190" t="s">
        <v>2925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2925</v>
      </c>
      <c r="Y45" s="3190" t="s">
        <v>2925</v>
      </c>
      <c r="Z45" s="3190" t="s">
        <v>2925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2925</v>
      </c>
      <c r="Y46" s="3190" t="s">
        <v>2925</v>
      </c>
      <c r="Z46" s="3190" t="s">
        <v>2925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2925</v>
      </c>
      <c r="Y47" s="3190" t="s">
        <v>2925</v>
      </c>
      <c r="Z47" s="3190" t="s">
        <v>2925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2925</v>
      </c>
      <c r="Y48" s="3190" t="s">
        <v>2925</v>
      </c>
      <c r="Z48" s="3190" t="s">
        <v>2925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2925</v>
      </c>
      <c r="Y49" s="3190" t="s">
        <v>2925</v>
      </c>
      <c r="Z49" s="3190" t="s">
        <v>2925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2925</v>
      </c>
      <c r="Y50" s="3190" t="s">
        <v>2925</v>
      </c>
      <c r="Z50" s="3190" t="s">
        <v>2925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2925</v>
      </c>
      <c r="V51" s="3190" t="s">
        <v>2925</v>
      </c>
      <c r="W51" s="3190" t="s">
        <v>2925</v>
      </c>
      <c r="X51" s="3190" t="s">
        <v>2925</v>
      </c>
      <c r="Y51" s="3190" t="s">
        <v>2925</v>
      </c>
      <c r="Z51" s="3190" t="s">
        <v>2925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2925</v>
      </c>
      <c r="J55" s="3190" t="s">
        <v>2925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3027</v>
      </c>
      <c r="E1" s="3323" t="s">
        <v>3031</v>
      </c>
      <c r="F1" s="3324" t="s">
        <v>3035</v>
      </c>
    </row>
    <row r="2" spans="1:13" ht="20.25">
      <c r="A2" s="3330" t="s">
        <v>3028</v>
      </c>
    </row>
    <row r="3" spans="1:13" ht="16.5">
      <c r="A3" s="3331" t="s">
        <v>3029</v>
      </c>
    </row>
    <row r="4" spans="1:13" ht="14.25">
      <c r="A4" s="3321" t="s">
        <v>3030</v>
      </c>
      <c r="B4" s="3326" t="s">
        <v>3032</v>
      </c>
      <c r="C4" s="3327"/>
      <c r="D4" s="3328"/>
      <c r="E4" s="3326" t="s">
        <v>138</v>
      </c>
      <c r="F4" s="3327"/>
      <c r="G4" s="3328"/>
      <c r="H4" s="3326" t="s">
        <v>3033</v>
      </c>
      <c r="I4" s="3327"/>
      <c r="J4" s="3328"/>
      <c r="K4" s="3326" t="s">
        <v>39</v>
      </c>
      <c r="L4" s="3327"/>
      <c r="M4" s="3328"/>
    </row>
    <row r="5" spans="1:13" ht="14.25">
      <c r="A5" s="3322" t="s">
        <v>3034</v>
      </c>
      <c r="B5" s="3321" t="s">
        <v>3036</v>
      </c>
      <c r="C5" s="3321" t="s">
        <v>3037</v>
      </c>
      <c r="D5" s="3321" t="s">
        <v>3038</v>
      </c>
      <c r="E5" s="3321" t="s">
        <v>3036</v>
      </c>
      <c r="F5" s="3321" t="s">
        <v>3037</v>
      </c>
      <c r="G5" s="3321" t="s">
        <v>3038</v>
      </c>
      <c r="H5" s="3321" t="s">
        <v>3036</v>
      </c>
      <c r="I5" s="3321" t="s">
        <v>3037</v>
      </c>
      <c r="J5" s="3321" t="s">
        <v>3038</v>
      </c>
      <c r="K5" s="3321" t="s">
        <v>3036</v>
      </c>
      <c r="L5" s="3321" t="s">
        <v>3037</v>
      </c>
      <c r="M5" s="3321" t="s">
        <v>3038</v>
      </c>
    </row>
    <row r="6" spans="1:13" ht="14.25">
      <c r="A6" s="3325" t="s">
        <v>1223</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1280</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1453</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1134</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1534</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200</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1537</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1539</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1541</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1545</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1944</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1945</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M19" sqref="M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53590</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14150.9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3358"/>
      <c r="Y4" s="3612" t="s">
        <v>53</v>
      </c>
      <c r="Z4" s="3613"/>
      <c r="AA4" s="3607" t="s">
        <v>55</v>
      </c>
      <c r="AB4" s="3637" t="s">
        <v>56</v>
      </c>
      <c r="AC4" s="3607" t="s">
        <v>57</v>
      </c>
    </row>
    <row r="5" spans="1:29">
      <c r="A5" s="146"/>
      <c r="B5" s="147"/>
      <c r="C5" s="3618" t="s">
        <v>3071</v>
      </c>
      <c r="D5" s="3619"/>
      <c r="E5" s="3616" t="s">
        <v>3072</v>
      </c>
      <c r="F5" s="3617"/>
      <c r="G5" s="3618" t="s">
        <v>3072</v>
      </c>
      <c r="H5" s="3619"/>
      <c r="I5" s="3618" t="s">
        <v>3103</v>
      </c>
      <c r="J5" s="3619"/>
      <c r="K5" s="187"/>
      <c r="L5" s="2295"/>
      <c r="M5" s="2296"/>
      <c r="N5" s="2296"/>
      <c r="O5" s="2296"/>
      <c r="P5" s="3631"/>
      <c r="Q5" s="3632"/>
      <c r="R5" s="3614"/>
      <c r="S5" s="3615"/>
      <c r="T5" s="3614"/>
      <c r="U5" s="3615"/>
      <c r="V5" s="3637"/>
      <c r="W5" s="3637"/>
      <c r="X5" s="3358"/>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3358"/>
      <c r="Y6" s="3635"/>
      <c r="Z6" s="3636"/>
      <c r="AA6" s="3609"/>
      <c r="AB6" s="3637"/>
      <c r="AC6" s="3609"/>
    </row>
    <row r="7" spans="1:29" s="40" customFormat="1" ht="15" thickBot="1">
      <c r="A7" s="1014" t="s">
        <v>61</v>
      </c>
      <c r="B7" s="1015"/>
      <c r="C7" s="1016">
        <f>'数据-取费表'!B2</f>
        <v>43026</v>
      </c>
      <c r="D7" s="754">
        <v>100</v>
      </c>
      <c r="E7" s="1017">
        <f>C7</f>
        <v>43026</v>
      </c>
      <c r="F7" s="756">
        <f>SUMIF(58:58,YEAR(E7)&amp;"-"&amp;MONTH(E7),59:59)</f>
        <v>100</v>
      </c>
      <c r="G7" s="1017">
        <f>E7</f>
        <v>43026</v>
      </c>
      <c r="H7" s="754">
        <f>SUMIF(58:58,YEAR(G7)&amp;"-"&amp;MONTH(G7),59:59)</f>
        <v>100</v>
      </c>
      <c r="I7" s="1017">
        <f>G7</f>
        <v>43026</v>
      </c>
      <c r="J7" s="754">
        <f>SUMIF(58:58,YEAR(I7)&amp;"-"&amp;MONTH(I7),59:59)</f>
        <v>100</v>
      </c>
      <c r="K7" s="1019"/>
      <c r="L7" s="2297"/>
      <c r="M7" s="2259"/>
      <c r="N7" s="2259"/>
      <c r="O7" s="2259"/>
      <c r="P7" s="3610" t="s">
        <v>61</v>
      </c>
      <c r="Q7" s="3638"/>
      <c r="R7" s="1342" t="s">
        <v>62</v>
      </c>
      <c r="S7" s="1343">
        <f t="shared" ref="S7:S15" si="0">F7</f>
        <v>100</v>
      </c>
      <c r="T7" s="1342" t="s">
        <v>62</v>
      </c>
      <c r="U7" s="1343">
        <f t="shared" ref="U7:U15" si="1">H7</f>
        <v>100</v>
      </c>
      <c r="V7" s="1342" t="s">
        <v>62</v>
      </c>
      <c r="W7" s="1343">
        <f t="shared" ref="W7:W15" si="2">J7</f>
        <v>100</v>
      </c>
      <c r="X7" s="287"/>
      <c r="Y7" s="3610" t="s">
        <v>61</v>
      </c>
      <c r="Z7" s="3611"/>
      <c r="AA7" s="1344">
        <f>D7/F7</f>
        <v>1</v>
      </c>
      <c r="AB7" s="1344">
        <f>D7/H7</f>
        <v>1</v>
      </c>
      <c r="AC7" s="1344">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993</v>
      </c>
      <c r="Q8" s="3611"/>
      <c r="R8" s="1342" t="s">
        <v>62</v>
      </c>
      <c r="S8" s="1343">
        <f t="shared" si="0"/>
        <v>100</v>
      </c>
      <c r="T8" s="1342" t="s">
        <v>62</v>
      </c>
      <c r="U8" s="1343">
        <f t="shared" si="1"/>
        <v>100</v>
      </c>
      <c r="V8" s="1342" t="s">
        <v>62</v>
      </c>
      <c r="W8" s="1343">
        <f t="shared" si="2"/>
        <v>100</v>
      </c>
      <c r="X8" s="287"/>
      <c r="Y8" s="3610" t="s">
        <v>993</v>
      </c>
      <c r="Z8" s="3611"/>
      <c r="AA8" s="1344">
        <f t="shared" ref="AA8:AA46" si="3">D8/F8</f>
        <v>1</v>
      </c>
      <c r="AB8" s="1344">
        <f t="shared" ref="AB8:AB46" si="4">D8/H8</f>
        <v>1</v>
      </c>
      <c r="AC8" s="1344">
        <f t="shared" ref="AC8:AC46" si="5">D8/J8</f>
        <v>1</v>
      </c>
    </row>
    <row r="9" spans="1:29" s="40" customFormat="1" ht="14.25">
      <c r="A9" s="1021" t="s">
        <v>994</v>
      </c>
      <c r="B9" s="62" t="s">
        <v>995</v>
      </c>
      <c r="C9" s="1346" t="s">
        <v>3101</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3355" t="str">
        <f t="shared" ref="Q9:Q15" si="6">B9</f>
        <v>用途</v>
      </c>
      <c r="R9" s="1342" t="s">
        <v>62</v>
      </c>
      <c r="S9" s="1343">
        <f t="shared" si="0"/>
        <v>100</v>
      </c>
      <c r="T9" s="1342" t="s">
        <v>62</v>
      </c>
      <c r="U9" s="1343">
        <f t="shared" si="1"/>
        <v>100</v>
      </c>
      <c r="V9" s="1342" t="s">
        <v>62</v>
      </c>
      <c r="W9" s="1343">
        <f t="shared" si="2"/>
        <v>100</v>
      </c>
      <c r="X9" s="287"/>
      <c r="Y9" s="3448" t="s">
        <v>64</v>
      </c>
      <c r="Z9" s="3356" t="str">
        <f t="shared" ref="Z9:Z15" si="7">Q9</f>
        <v>用途</v>
      </c>
      <c r="AA9" s="1344">
        <f t="shared" si="3"/>
        <v>1</v>
      </c>
      <c r="AB9" s="1344">
        <f t="shared" si="4"/>
        <v>1</v>
      </c>
      <c r="AC9" s="1344">
        <f t="shared" si="5"/>
        <v>1</v>
      </c>
    </row>
    <row r="10" spans="1:29" s="92" customFormat="1" ht="27">
      <c r="A10" s="150"/>
      <c r="B10" s="3357" t="s">
        <v>103</v>
      </c>
      <c r="C10" s="1349" t="s">
        <v>3100</v>
      </c>
      <c r="D10" s="426">
        <v>100</v>
      </c>
      <c r="E10" s="1350" t="s">
        <v>3102</v>
      </c>
      <c r="F10" s="768">
        <f>SUMIF(65:65,E10,66:66)-SUMIF(65:65,C10,66:66)+100</f>
        <v>100</v>
      </c>
      <c r="G10" s="1349" t="s">
        <v>3102</v>
      </c>
      <c r="H10" s="426">
        <f>SUMIF(65:65,G10,66:66)-SUMIF(65:65,C10,66:66)+100</f>
        <v>100</v>
      </c>
      <c r="I10" s="1349" t="s">
        <v>3100</v>
      </c>
      <c r="J10" s="426">
        <f>SUMIF(65:65,I10,66:66)-SUMIF(65:65,C10,66:66)+100</f>
        <v>100</v>
      </c>
      <c r="K10" s="955"/>
      <c r="L10" s="2298"/>
      <c r="M10" s="2299"/>
      <c r="N10" s="2299"/>
      <c r="O10" s="2299"/>
      <c r="P10" s="3624"/>
      <c r="Q10" s="3355" t="str">
        <f t="shared" si="6"/>
        <v>土地使用年限（年）</v>
      </c>
      <c r="R10" s="1342" t="s">
        <v>62</v>
      </c>
      <c r="S10" s="1343">
        <f t="shared" si="0"/>
        <v>100</v>
      </c>
      <c r="T10" s="1342" t="s">
        <v>62</v>
      </c>
      <c r="U10" s="1343">
        <f t="shared" si="1"/>
        <v>100</v>
      </c>
      <c r="V10" s="1342" t="s">
        <v>62</v>
      </c>
      <c r="W10" s="1343">
        <f t="shared" si="2"/>
        <v>100</v>
      </c>
      <c r="X10" s="287"/>
      <c r="Y10" s="3448"/>
      <c r="Z10" s="3356" t="str">
        <f t="shared" si="7"/>
        <v>土地使用年限（年）</v>
      </c>
      <c r="AA10" s="1344">
        <f t="shared" si="3"/>
        <v>1</v>
      </c>
      <c r="AB10" s="1344">
        <f t="shared" si="4"/>
        <v>1</v>
      </c>
      <c r="AC10" s="1344">
        <f t="shared" si="5"/>
        <v>1</v>
      </c>
    </row>
    <row r="11" spans="1:29" ht="15">
      <c r="A11" s="151"/>
      <c r="B11" s="3357" t="s">
        <v>90</v>
      </c>
      <c r="C11" s="772">
        <f>'数据-汇总表'!I5</f>
        <v>4.87</v>
      </c>
      <c r="D11" s="426">
        <v>100</v>
      </c>
      <c r="E11" s="773">
        <v>1.29</v>
      </c>
      <c r="F11" s="768">
        <f>LOOKUP(E11,68:68,69:69)-LOOKUP(C11,68:68,69:69)+100</f>
        <v>106</v>
      </c>
      <c r="G11" s="772">
        <v>1.29</v>
      </c>
      <c r="H11" s="426">
        <f>LOOKUP(G11,68:68,69:69)-LOOKUP(C11,68:68,69:69)+100</f>
        <v>106</v>
      </c>
      <c r="I11" s="772">
        <v>1.72</v>
      </c>
      <c r="J11" s="426">
        <f>LOOKUP(I11,68:68,69:69)-LOOKUP(C11,68:68,69:69)+100</f>
        <v>106</v>
      </c>
      <c r="K11" s="955">
        <v>2</v>
      </c>
      <c r="L11" s="2300"/>
      <c r="M11" s="2296"/>
      <c r="N11" s="2296"/>
      <c r="O11" s="2296"/>
      <c r="P11" s="3624"/>
      <c r="Q11" s="3355" t="str">
        <f t="shared" si="6"/>
        <v>容积率</v>
      </c>
      <c r="R11" s="1342" t="s">
        <v>62</v>
      </c>
      <c r="S11" s="1343">
        <f t="shared" si="0"/>
        <v>106</v>
      </c>
      <c r="T11" s="1342" t="s">
        <v>62</v>
      </c>
      <c r="U11" s="1343">
        <f t="shared" si="1"/>
        <v>106</v>
      </c>
      <c r="V11" s="1342" t="s">
        <v>62</v>
      </c>
      <c r="W11" s="1343">
        <f t="shared" si="2"/>
        <v>106</v>
      </c>
      <c r="X11" s="287"/>
      <c r="Y11" s="3448"/>
      <c r="Z11" s="3356"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3355">
        <f t="shared" si="6"/>
        <v>0</v>
      </c>
      <c r="R12" s="1342" t="s">
        <v>62</v>
      </c>
      <c r="S12" s="1343">
        <f t="shared" si="0"/>
        <v>100</v>
      </c>
      <c r="T12" s="1342" t="s">
        <v>62</v>
      </c>
      <c r="U12" s="1343">
        <f t="shared" si="1"/>
        <v>100</v>
      </c>
      <c r="V12" s="1342" t="s">
        <v>62</v>
      </c>
      <c r="W12" s="1343">
        <f t="shared" si="2"/>
        <v>100</v>
      </c>
      <c r="X12" s="287"/>
      <c r="Y12" s="3448"/>
      <c r="Z12" s="3356">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3355">
        <f t="shared" si="6"/>
        <v>0</v>
      </c>
      <c r="R13" s="1342" t="s">
        <v>62</v>
      </c>
      <c r="S13" s="1343">
        <f t="shared" si="0"/>
        <v>100</v>
      </c>
      <c r="T13" s="1342" t="s">
        <v>62</v>
      </c>
      <c r="U13" s="1343">
        <f t="shared" si="1"/>
        <v>100</v>
      </c>
      <c r="V13" s="1342" t="s">
        <v>62</v>
      </c>
      <c r="W13" s="1343">
        <f t="shared" si="2"/>
        <v>100</v>
      </c>
      <c r="X13" s="287"/>
      <c r="Y13" s="3448"/>
      <c r="Z13" s="3356">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3355">
        <f t="shared" si="6"/>
        <v>0</v>
      </c>
      <c r="R14" s="1342" t="s">
        <v>62</v>
      </c>
      <c r="S14" s="1343">
        <f t="shared" si="0"/>
        <v>100</v>
      </c>
      <c r="T14" s="1342" t="s">
        <v>62</v>
      </c>
      <c r="U14" s="1343">
        <f t="shared" si="1"/>
        <v>100</v>
      </c>
      <c r="V14" s="1342" t="s">
        <v>62</v>
      </c>
      <c r="W14" s="1343">
        <f t="shared" si="2"/>
        <v>100</v>
      </c>
      <c r="X14" s="287"/>
      <c r="Y14" s="3448"/>
      <c r="Z14" s="3356">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51" t="s">
        <v>66</v>
      </c>
      <c r="Q15" s="3361" t="str">
        <f t="shared" si="6"/>
        <v>商业繁华度</v>
      </c>
      <c r="R15" s="1352" t="s">
        <v>62</v>
      </c>
      <c r="S15" s="1353">
        <f t="shared" si="0"/>
        <v>100</v>
      </c>
      <c r="T15" s="1352" t="s">
        <v>62</v>
      </c>
      <c r="U15" s="1353">
        <f t="shared" si="1"/>
        <v>100</v>
      </c>
      <c r="V15" s="1352" t="s">
        <v>62</v>
      </c>
      <c r="W15" s="1353">
        <f t="shared" si="2"/>
        <v>100</v>
      </c>
      <c r="X15" s="3358"/>
      <c r="Y15" s="3644" t="s">
        <v>66</v>
      </c>
      <c r="Z15" s="3359" t="str">
        <f t="shared" si="7"/>
        <v>商业繁华度</v>
      </c>
      <c r="AA15" s="3362">
        <f t="shared" si="3"/>
        <v>1</v>
      </c>
      <c r="AB15" s="3362">
        <f t="shared" si="4"/>
        <v>1</v>
      </c>
      <c r="AC15" s="3362">
        <f t="shared" si="5"/>
        <v>1</v>
      </c>
    </row>
    <row r="16" spans="1:29" ht="14.25">
      <c r="A16" s="151"/>
      <c r="B16" s="156"/>
      <c r="C16" s="97"/>
      <c r="D16" s="791"/>
      <c r="E16" s="97"/>
      <c r="F16" s="792"/>
      <c r="G16" s="97"/>
      <c r="H16" s="793"/>
      <c r="I16" s="97"/>
      <c r="J16" s="791"/>
      <c r="K16" s="189"/>
      <c r="L16" s="2301"/>
      <c r="M16" s="2296"/>
      <c r="N16" s="2296"/>
      <c r="O16" s="2296"/>
      <c r="P16" s="3652"/>
      <c r="Q16" s="3361"/>
      <c r="R16" s="1352"/>
      <c r="S16" s="1353"/>
      <c r="T16" s="1352"/>
      <c r="U16" s="1353"/>
      <c r="V16" s="1352"/>
      <c r="W16" s="1353"/>
      <c r="X16" s="3358"/>
      <c r="Y16" s="3645"/>
      <c r="Z16" s="3359"/>
      <c r="AA16" s="3362">
        <v>1</v>
      </c>
      <c r="AB16" s="3362">
        <v>1</v>
      </c>
      <c r="AC16" s="336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52"/>
      <c r="Q17" s="3361" t="str">
        <f>B17</f>
        <v>交通便捷度</v>
      </c>
      <c r="R17" s="1352" t="s">
        <v>62</v>
      </c>
      <c r="S17" s="1353">
        <f>F17</f>
        <v>100</v>
      </c>
      <c r="T17" s="1352" t="s">
        <v>62</v>
      </c>
      <c r="U17" s="1353">
        <f>H17</f>
        <v>100</v>
      </c>
      <c r="V17" s="1352" t="s">
        <v>62</v>
      </c>
      <c r="W17" s="1353">
        <f>J17</f>
        <v>100</v>
      </c>
      <c r="X17" s="3358"/>
      <c r="Y17" s="3645"/>
      <c r="Z17" s="3359" t="str">
        <f>Q17</f>
        <v>交通便捷度</v>
      </c>
      <c r="AA17" s="3362">
        <f t="shared" si="3"/>
        <v>1</v>
      </c>
      <c r="AB17" s="3362">
        <f t="shared" si="4"/>
        <v>1</v>
      </c>
      <c r="AC17" s="3362">
        <f t="shared" si="5"/>
        <v>1</v>
      </c>
    </row>
    <row r="18" spans="1:29" ht="14.25">
      <c r="A18" s="151"/>
      <c r="B18" s="1040"/>
      <c r="C18" s="102"/>
      <c r="D18" s="793"/>
      <c r="E18" s="103"/>
      <c r="F18" s="796"/>
      <c r="G18" s="104"/>
      <c r="H18" s="791"/>
      <c r="I18" s="103"/>
      <c r="J18" s="791"/>
      <c r="K18" s="189"/>
      <c r="L18" s="2301"/>
      <c r="M18" s="2296"/>
      <c r="N18" s="2296"/>
      <c r="O18" s="2296"/>
      <c r="P18" s="3652"/>
      <c r="Q18" s="3361"/>
      <c r="R18" s="1352"/>
      <c r="S18" s="1353"/>
      <c r="T18" s="1352"/>
      <c r="U18" s="1353"/>
      <c r="V18" s="1352"/>
      <c r="W18" s="1353"/>
      <c r="X18" s="3358"/>
      <c r="Y18" s="3645"/>
      <c r="Z18" s="3359"/>
      <c r="AA18" s="3362">
        <v>1</v>
      </c>
      <c r="AB18" s="3362">
        <v>1</v>
      </c>
      <c r="AC18" s="3362">
        <v>1</v>
      </c>
    </row>
    <row r="19" spans="1:29" ht="40.5">
      <c r="A19" s="151"/>
      <c r="B19" s="1356" t="s">
        <v>2641</v>
      </c>
      <c r="C19" s="158" t="str">
        <f>估价对象房地状况!C7</f>
        <v>估价对象所在区域公共配套设施齐备情况较好。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52"/>
      <c r="Q19" s="3361" t="str">
        <f>B19</f>
        <v>公共配套设施</v>
      </c>
      <c r="R19" s="1352" t="s">
        <v>62</v>
      </c>
      <c r="S19" s="1353">
        <f>F19</f>
        <v>100</v>
      </c>
      <c r="T19" s="1352" t="s">
        <v>62</v>
      </c>
      <c r="U19" s="1353">
        <f>H19</f>
        <v>100</v>
      </c>
      <c r="V19" s="1352" t="s">
        <v>62</v>
      </c>
      <c r="W19" s="1353">
        <f>J19</f>
        <v>100</v>
      </c>
      <c r="X19" s="3358"/>
      <c r="Y19" s="3645"/>
      <c r="Z19" s="3359" t="str">
        <f>Q19</f>
        <v>公共配套设施</v>
      </c>
      <c r="AA19" s="3362">
        <f t="shared" si="3"/>
        <v>1</v>
      </c>
      <c r="AB19" s="3362">
        <f t="shared" si="4"/>
        <v>1</v>
      </c>
      <c r="AC19" s="3362">
        <f t="shared" si="5"/>
        <v>1</v>
      </c>
    </row>
    <row r="20" spans="1:29" ht="14.25">
      <c r="A20" s="151"/>
      <c r="B20" s="1040"/>
      <c r="C20" s="97"/>
      <c r="D20" s="791"/>
      <c r="E20" s="98"/>
      <c r="F20" s="792"/>
      <c r="G20" s="99"/>
      <c r="H20" s="791"/>
      <c r="I20" s="98"/>
      <c r="J20" s="791"/>
      <c r="K20" s="189"/>
      <c r="L20" s="2301"/>
      <c r="M20" s="2296"/>
      <c r="N20" s="2296"/>
      <c r="O20" s="2296"/>
      <c r="P20" s="3652"/>
      <c r="Q20" s="3361"/>
      <c r="R20" s="1352"/>
      <c r="S20" s="1353"/>
      <c r="T20" s="1352"/>
      <c r="U20" s="1353"/>
      <c r="V20" s="1352"/>
      <c r="W20" s="1353"/>
      <c r="X20" s="3358"/>
      <c r="Y20" s="3645"/>
      <c r="Z20" s="3359"/>
      <c r="AA20" s="3362">
        <v>1</v>
      </c>
      <c r="AB20" s="3362">
        <v>1</v>
      </c>
      <c r="AC20" s="3362">
        <v>1</v>
      </c>
    </row>
    <row r="21" spans="1:29" ht="40.5">
      <c r="A21" s="151"/>
      <c r="B21" s="1412" t="s">
        <v>2642</v>
      </c>
      <c r="C21" s="158" t="str">
        <f>估价对象房地状况!C8</f>
        <v>估价对象所在区域基础设施水平达“六通”。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52"/>
      <c r="Q21" s="3361" t="str">
        <f>B21</f>
        <v>基础设施水平</v>
      </c>
      <c r="R21" s="1352" t="s">
        <v>62</v>
      </c>
      <c r="S21" s="1353">
        <f>F21</f>
        <v>100</v>
      </c>
      <c r="T21" s="1352" t="s">
        <v>62</v>
      </c>
      <c r="U21" s="1353">
        <f>H21</f>
        <v>100</v>
      </c>
      <c r="V21" s="1352" t="s">
        <v>62</v>
      </c>
      <c r="W21" s="1353">
        <f>J21</f>
        <v>100</v>
      </c>
      <c r="X21" s="3358"/>
      <c r="Y21" s="3645"/>
      <c r="Z21" s="3359" t="str">
        <f>Q21</f>
        <v>基础设施水平</v>
      </c>
      <c r="AA21" s="3362">
        <f t="shared" ref="AA21" si="8">D21/F21</f>
        <v>1</v>
      </c>
      <c r="AB21" s="3362">
        <f t="shared" ref="AB21" si="9">D21/H21</f>
        <v>1</v>
      </c>
      <c r="AC21" s="3362">
        <f t="shared" ref="AC21" si="10">D21/J21</f>
        <v>1</v>
      </c>
    </row>
    <row r="22" spans="1:29" ht="14.25">
      <c r="A22" s="151"/>
      <c r="B22" s="1412"/>
      <c r="C22" s="102"/>
      <c r="D22" s="791"/>
      <c r="E22" s="97"/>
      <c r="F22" s="792"/>
      <c r="G22" s="97"/>
      <c r="H22" s="791"/>
      <c r="I22" s="97"/>
      <c r="J22" s="791"/>
      <c r="K22" s="2766"/>
      <c r="L22" s="2301"/>
      <c r="M22" s="2296"/>
      <c r="N22" s="2296"/>
      <c r="O22" s="2296"/>
      <c r="P22" s="3652"/>
      <c r="Q22" s="3361"/>
      <c r="R22" s="1352"/>
      <c r="S22" s="1353"/>
      <c r="T22" s="1352"/>
      <c r="U22" s="1353"/>
      <c r="V22" s="1352"/>
      <c r="W22" s="1353"/>
      <c r="X22" s="3358"/>
      <c r="Y22" s="3645"/>
      <c r="Z22" s="3359"/>
      <c r="AA22" s="3362">
        <v>1</v>
      </c>
      <c r="AB22" s="3362">
        <v>1</v>
      </c>
      <c r="AC22" s="3362">
        <v>1</v>
      </c>
    </row>
    <row r="23" spans="1:29" ht="121.5">
      <c r="A23" s="151"/>
      <c r="B23" s="1356" t="s">
        <v>70</v>
      </c>
      <c r="C23" s="190" t="str">
        <f>估价对象房地状况!C9</f>
        <v>估价对象所在区域有重庆园博园，自然环境较好；所在区域有宝林博物馆、会仙阁艺术馆，人文环境较好；综合评价环境状况较好。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52"/>
      <c r="Q23" s="3361" t="str">
        <f>B23</f>
        <v>自然及人文环境</v>
      </c>
      <c r="R23" s="1352" t="s">
        <v>62</v>
      </c>
      <c r="S23" s="1353">
        <f>F23</f>
        <v>100</v>
      </c>
      <c r="T23" s="1352" t="s">
        <v>62</v>
      </c>
      <c r="U23" s="1353">
        <f>H23</f>
        <v>100</v>
      </c>
      <c r="V23" s="1352" t="s">
        <v>62</v>
      </c>
      <c r="W23" s="1353">
        <f>J23</f>
        <v>100</v>
      </c>
      <c r="X23" s="3358"/>
      <c r="Y23" s="3645"/>
      <c r="Z23" s="3359" t="str">
        <f>Q23</f>
        <v>自然及人文环境</v>
      </c>
      <c r="AA23" s="3362">
        <f t="shared" si="3"/>
        <v>1</v>
      </c>
      <c r="AB23" s="3362">
        <f t="shared" si="4"/>
        <v>1</v>
      </c>
      <c r="AC23" s="3362">
        <f t="shared" si="5"/>
        <v>1</v>
      </c>
    </row>
    <row r="24" spans="1:29" ht="14.25">
      <c r="A24" s="151"/>
      <c r="B24" s="1040"/>
      <c r="C24" s="97"/>
      <c r="D24" s="791"/>
      <c r="E24" s="98"/>
      <c r="F24" s="792"/>
      <c r="G24" s="99"/>
      <c r="H24" s="791"/>
      <c r="I24" s="98"/>
      <c r="J24" s="791"/>
      <c r="K24" s="189"/>
      <c r="L24" s="2301"/>
      <c r="M24" s="2296"/>
      <c r="N24" s="2296"/>
      <c r="O24" s="2296"/>
      <c r="P24" s="3652"/>
      <c r="Q24" s="3361"/>
      <c r="R24" s="1352"/>
      <c r="S24" s="1353"/>
      <c r="T24" s="1352"/>
      <c r="U24" s="1353"/>
      <c r="V24" s="1352"/>
      <c r="W24" s="1353"/>
      <c r="X24" s="3358"/>
      <c r="Y24" s="3645"/>
      <c r="Z24" s="3359"/>
      <c r="AA24" s="3362">
        <v>1</v>
      </c>
      <c r="AB24" s="3362">
        <v>1</v>
      </c>
      <c r="AC24" s="3362">
        <v>1</v>
      </c>
    </row>
    <row r="25" spans="1:29" ht="15">
      <c r="A25" s="151"/>
      <c r="B25" s="3357" t="s">
        <v>128</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52"/>
      <c r="Q25" s="3361" t="str">
        <f t="shared" ref="Q25:Q46" si="11">B25</f>
        <v>临街状况</v>
      </c>
      <c r="R25" s="1352" t="s">
        <v>62</v>
      </c>
      <c r="S25" s="1353">
        <f>F25</f>
        <v>100</v>
      </c>
      <c r="T25" s="1352" t="s">
        <v>62</v>
      </c>
      <c r="U25" s="1353">
        <f>H25</f>
        <v>100</v>
      </c>
      <c r="V25" s="1352" t="s">
        <v>62</v>
      </c>
      <c r="W25" s="1353">
        <f>J25</f>
        <v>100</v>
      </c>
      <c r="X25" s="3358"/>
      <c r="Y25" s="3645"/>
      <c r="Z25" s="3359" t="str">
        <f>Q25</f>
        <v>临街状况</v>
      </c>
      <c r="AA25" s="3362">
        <f t="shared" si="3"/>
        <v>1</v>
      </c>
      <c r="AB25" s="3362">
        <f t="shared" si="4"/>
        <v>1</v>
      </c>
      <c r="AC25" s="3362">
        <f t="shared" si="5"/>
        <v>1</v>
      </c>
    </row>
    <row r="26" spans="1:29" ht="14.25">
      <c r="A26" s="151"/>
      <c r="B26" s="1357" t="s">
        <v>1018</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52"/>
      <c r="Q26" s="3361" t="str">
        <f t="shared" si="11"/>
        <v>平面位置/可视性</v>
      </c>
      <c r="R26" s="1352" t="s">
        <v>62</v>
      </c>
      <c r="S26" s="1353">
        <f>F26</f>
        <v>100</v>
      </c>
      <c r="T26" s="1352" t="s">
        <v>62</v>
      </c>
      <c r="U26" s="1353">
        <f>H26</f>
        <v>100</v>
      </c>
      <c r="V26" s="1352" t="s">
        <v>62</v>
      </c>
      <c r="W26" s="1353">
        <f>J26</f>
        <v>100</v>
      </c>
      <c r="X26" s="3358"/>
      <c r="Y26" s="3645"/>
      <c r="Z26" s="3359" t="str">
        <f>Q26</f>
        <v>平面位置/可视性</v>
      </c>
      <c r="AA26" s="3362">
        <f t="shared" si="3"/>
        <v>1</v>
      </c>
      <c r="AB26" s="3362">
        <f t="shared" si="4"/>
        <v>1</v>
      </c>
      <c r="AC26" s="3362">
        <f t="shared" si="5"/>
        <v>1</v>
      </c>
    </row>
    <row r="27" spans="1:29" s="40" customFormat="1" ht="15">
      <c r="A27" s="1030"/>
      <c r="B27" s="1356" t="s">
        <v>1019</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52"/>
      <c r="Q27" s="3355" t="str">
        <f t="shared" si="11"/>
        <v>人流量</v>
      </c>
      <c r="R27" s="1342" t="s">
        <v>62</v>
      </c>
      <c r="S27" s="1343">
        <f>F27</f>
        <v>100</v>
      </c>
      <c r="T27" s="1342" t="s">
        <v>62</v>
      </c>
      <c r="U27" s="1343">
        <f>H27</f>
        <v>100</v>
      </c>
      <c r="V27" s="1342" t="s">
        <v>62</v>
      </c>
      <c r="W27" s="1343">
        <f>J27</f>
        <v>100</v>
      </c>
      <c r="X27" s="287"/>
      <c r="Y27" s="3645"/>
      <c r="Z27" s="3356" t="str">
        <f>Q27</f>
        <v>人流量</v>
      </c>
      <c r="AA27" s="3362">
        <f>D27/F27</f>
        <v>1</v>
      </c>
      <c r="AB27" s="3362">
        <f>D27/H27</f>
        <v>1</v>
      </c>
      <c r="AC27" s="3362">
        <f>D27/J27</f>
        <v>1</v>
      </c>
    </row>
    <row r="28" spans="1:29" ht="14.25">
      <c r="A28" s="151"/>
      <c r="B28" s="3357" t="s">
        <v>129</v>
      </c>
      <c r="C28" s="182">
        <v>3</v>
      </c>
      <c r="D28" s="778">
        <v>100</v>
      </c>
      <c r="E28" s="182">
        <v>1</v>
      </c>
      <c r="F28" s="804">
        <f>SUMIF(92:92,E28,93:93)-SUMIF(92:92,C28,93:93)+100</f>
        <v>100</v>
      </c>
      <c r="G28" s="182">
        <v>1</v>
      </c>
      <c r="H28" s="778">
        <f>SUMIF(92:92,G28,93:93)-SUMIF(92:92,C28,93:93)+100</f>
        <v>100</v>
      </c>
      <c r="I28" s="182">
        <v>1</v>
      </c>
      <c r="J28" s="778">
        <f>SUMIF(92:92,I28,93:93)-SUMIF(92:92,C28,93:93)+100</f>
        <v>100</v>
      </c>
      <c r="K28" s="188"/>
      <c r="L28" s="2301"/>
      <c r="M28" s="2296"/>
      <c r="N28" s="2296"/>
      <c r="O28" s="2296"/>
      <c r="P28" s="3652"/>
      <c r="Q28" s="3361" t="str">
        <f t="shared" si="11"/>
        <v>楼层</v>
      </c>
      <c r="R28" s="1352" t="s">
        <v>62</v>
      </c>
      <c r="S28" s="1353">
        <f t="shared" ref="S28:S46" si="12">F28</f>
        <v>100</v>
      </c>
      <c r="T28" s="1352" t="s">
        <v>62</v>
      </c>
      <c r="U28" s="1353">
        <f t="shared" ref="U28:U46" si="13">H28</f>
        <v>100</v>
      </c>
      <c r="V28" s="1352" t="s">
        <v>62</v>
      </c>
      <c r="W28" s="1353">
        <f t="shared" ref="W28:W46" si="14">J28</f>
        <v>100</v>
      </c>
      <c r="X28" s="3358"/>
      <c r="Y28" s="3645"/>
      <c r="Z28" s="3359" t="str">
        <f t="shared" ref="Z28:Z46" si="15">Q28</f>
        <v>楼层</v>
      </c>
      <c r="AA28" s="3362">
        <f t="shared" si="3"/>
        <v>1</v>
      </c>
      <c r="AB28" s="3362">
        <f t="shared" si="4"/>
        <v>1</v>
      </c>
      <c r="AC28" s="3362">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3361">
        <f t="shared" si="11"/>
        <v>111</v>
      </c>
      <c r="R29" s="1352" t="s">
        <v>62</v>
      </c>
      <c r="S29" s="1353">
        <f t="shared" si="12"/>
        <v>100</v>
      </c>
      <c r="T29" s="1352" t="s">
        <v>62</v>
      </c>
      <c r="U29" s="1353">
        <f t="shared" si="13"/>
        <v>100</v>
      </c>
      <c r="V29" s="1352" t="s">
        <v>62</v>
      </c>
      <c r="W29" s="1353">
        <f t="shared" si="14"/>
        <v>100</v>
      </c>
      <c r="X29" s="3358"/>
      <c r="Y29" s="3645"/>
      <c r="Z29" s="3359">
        <f t="shared" si="15"/>
        <v>111</v>
      </c>
      <c r="AA29" s="3362">
        <f t="shared" si="3"/>
        <v>1</v>
      </c>
      <c r="AB29" s="3362">
        <f t="shared" si="4"/>
        <v>1</v>
      </c>
      <c r="AC29" s="3362">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3361">
        <f t="shared" si="11"/>
        <v>111</v>
      </c>
      <c r="R30" s="1352" t="s">
        <v>62</v>
      </c>
      <c r="S30" s="1353">
        <f t="shared" si="12"/>
        <v>100</v>
      </c>
      <c r="T30" s="1352" t="s">
        <v>62</v>
      </c>
      <c r="U30" s="1353">
        <f t="shared" si="13"/>
        <v>100</v>
      </c>
      <c r="V30" s="1352" t="s">
        <v>62</v>
      </c>
      <c r="W30" s="1353">
        <f t="shared" si="14"/>
        <v>100</v>
      </c>
      <c r="X30" s="3358"/>
      <c r="Y30" s="3645"/>
      <c r="Z30" s="3359">
        <f t="shared" si="15"/>
        <v>111</v>
      </c>
      <c r="AA30" s="3362">
        <f t="shared" si="3"/>
        <v>1</v>
      </c>
      <c r="AB30" s="3362">
        <f t="shared" si="4"/>
        <v>1</v>
      </c>
      <c r="AC30" s="3362">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3361">
        <f t="shared" si="11"/>
        <v>111</v>
      </c>
      <c r="R31" s="1352" t="s">
        <v>62</v>
      </c>
      <c r="S31" s="1353">
        <f t="shared" si="12"/>
        <v>100</v>
      </c>
      <c r="T31" s="1352" t="s">
        <v>62</v>
      </c>
      <c r="U31" s="1353">
        <f t="shared" si="13"/>
        <v>100</v>
      </c>
      <c r="V31" s="1352" t="s">
        <v>62</v>
      </c>
      <c r="W31" s="1353">
        <f t="shared" si="14"/>
        <v>100</v>
      </c>
      <c r="X31" s="3358"/>
      <c r="Y31" s="3645"/>
      <c r="Z31" s="3359">
        <f t="shared" si="15"/>
        <v>111</v>
      </c>
      <c r="AA31" s="3362">
        <f t="shared" si="3"/>
        <v>1</v>
      </c>
      <c r="AB31" s="3362">
        <f t="shared" si="4"/>
        <v>1</v>
      </c>
      <c r="AC31" s="3362">
        <f t="shared" si="5"/>
        <v>1</v>
      </c>
    </row>
    <row r="32" spans="1:29" ht="15">
      <c r="A32" s="155" t="s">
        <v>996</v>
      </c>
      <c r="B32" s="62" t="s">
        <v>1021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46" t="s">
        <v>996</v>
      </c>
      <c r="Q32" s="3361" t="str">
        <f t="shared" si="11"/>
        <v>商业类型</v>
      </c>
      <c r="R32" s="1352" t="s">
        <v>62</v>
      </c>
      <c r="S32" s="1353">
        <f t="shared" si="12"/>
        <v>100</v>
      </c>
      <c r="T32" s="1352" t="s">
        <v>62</v>
      </c>
      <c r="U32" s="1353">
        <f t="shared" si="13"/>
        <v>100</v>
      </c>
      <c r="V32" s="1352" t="s">
        <v>62</v>
      </c>
      <c r="W32" s="1353">
        <f t="shared" si="14"/>
        <v>100</v>
      </c>
      <c r="X32" s="3358"/>
      <c r="Y32" s="3649" t="s">
        <v>996</v>
      </c>
      <c r="Z32" s="3359" t="str">
        <f t="shared" si="15"/>
        <v>商业类型</v>
      </c>
      <c r="AA32" s="3362">
        <f t="shared" si="3"/>
        <v>1</v>
      </c>
      <c r="AB32" s="3362">
        <f t="shared" si="4"/>
        <v>1</v>
      </c>
      <c r="AC32" s="3362">
        <f t="shared" si="5"/>
        <v>1</v>
      </c>
    </row>
    <row r="33" spans="1:29" s="1039" customFormat="1" ht="14.25">
      <c r="A33" s="1043"/>
      <c r="B33" s="3357"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3362">
        <f t="shared" si="3"/>
        <v>1</v>
      </c>
      <c r="AB33" s="3362">
        <f t="shared" si="4"/>
        <v>1</v>
      </c>
      <c r="AC33" s="3362">
        <f t="shared" si="5"/>
        <v>1</v>
      </c>
    </row>
    <row r="34" spans="1:29" ht="15">
      <c r="A34" s="161"/>
      <c r="B34" s="3357" t="s">
        <v>74</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47"/>
      <c r="Q34" s="3361" t="str">
        <f t="shared" si="11"/>
        <v>建筑结构</v>
      </c>
      <c r="R34" s="1352" t="s">
        <v>62</v>
      </c>
      <c r="S34" s="1353">
        <f t="shared" si="12"/>
        <v>100</v>
      </c>
      <c r="T34" s="1352" t="s">
        <v>62</v>
      </c>
      <c r="U34" s="1353">
        <f t="shared" si="13"/>
        <v>100</v>
      </c>
      <c r="V34" s="1352" t="s">
        <v>62</v>
      </c>
      <c r="W34" s="1353">
        <f t="shared" si="14"/>
        <v>100</v>
      </c>
      <c r="X34" s="3358"/>
      <c r="Y34" s="3649"/>
      <c r="Z34" s="3359" t="str">
        <f t="shared" si="15"/>
        <v>建筑结构</v>
      </c>
      <c r="AA34" s="3362">
        <f t="shared" si="3"/>
        <v>1</v>
      </c>
      <c r="AB34" s="3362">
        <f t="shared" si="4"/>
        <v>1</v>
      </c>
      <c r="AC34" s="3362">
        <f t="shared" si="5"/>
        <v>1</v>
      </c>
    </row>
    <row r="35" spans="1:29" ht="15">
      <c r="A35" s="161"/>
      <c r="B35" s="3357" t="s">
        <v>130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47"/>
      <c r="Q35" s="3361" t="str">
        <f t="shared" si="11"/>
        <v>公共部分装修</v>
      </c>
      <c r="R35" s="1352" t="s">
        <v>62</v>
      </c>
      <c r="S35" s="1353">
        <f t="shared" si="12"/>
        <v>100</v>
      </c>
      <c r="T35" s="1352" t="s">
        <v>62</v>
      </c>
      <c r="U35" s="1353">
        <f t="shared" si="13"/>
        <v>100</v>
      </c>
      <c r="V35" s="1352" t="s">
        <v>62</v>
      </c>
      <c r="W35" s="1353">
        <f t="shared" si="14"/>
        <v>100</v>
      </c>
      <c r="X35" s="3358"/>
      <c r="Y35" s="3649"/>
      <c r="Z35" s="3359" t="str">
        <f t="shared" si="15"/>
        <v>公共部分装修</v>
      </c>
      <c r="AA35" s="3362">
        <f t="shared" si="3"/>
        <v>1</v>
      </c>
      <c r="AB35" s="3362">
        <f t="shared" si="4"/>
        <v>1</v>
      </c>
      <c r="AC35" s="3362">
        <f t="shared" si="5"/>
        <v>1</v>
      </c>
    </row>
    <row r="36" spans="1:29" ht="15">
      <c r="A36" s="161"/>
      <c r="B36" s="3357" t="s">
        <v>131</v>
      </c>
      <c r="C36" s="817">
        <v>1</v>
      </c>
      <c r="D36" s="778">
        <v>100</v>
      </c>
      <c r="E36" s="817">
        <v>1</v>
      </c>
      <c r="F36" s="804">
        <f>LOOKUP(E36,110:110,111:111)-LOOKUP(C36,110:110,111:111)+100</f>
        <v>100</v>
      </c>
      <c r="G36" s="817">
        <v>1</v>
      </c>
      <c r="H36" s="804">
        <f>LOOKUP(G36,110:110,111:111)-LOOKUP(C36,110:110,111:111)+100</f>
        <v>100</v>
      </c>
      <c r="I36" s="817">
        <v>1</v>
      </c>
      <c r="J36" s="778">
        <f>LOOKUP(I36,110:110,111:111)-LOOKUP(C36,110:110,111:111)+100</f>
        <v>100</v>
      </c>
      <c r="K36" s="955"/>
      <c r="L36" s="2301"/>
      <c r="M36" s="2296"/>
      <c r="N36" s="2296"/>
      <c r="O36" s="2296"/>
      <c r="P36" s="3647"/>
      <c r="Q36" s="3361" t="str">
        <f t="shared" si="11"/>
        <v>成新度</v>
      </c>
      <c r="R36" s="1352" t="s">
        <v>62</v>
      </c>
      <c r="S36" s="1353">
        <f t="shared" si="12"/>
        <v>100</v>
      </c>
      <c r="T36" s="1352" t="s">
        <v>62</v>
      </c>
      <c r="U36" s="1353">
        <f t="shared" si="13"/>
        <v>100</v>
      </c>
      <c r="V36" s="1352" t="s">
        <v>62</v>
      </c>
      <c r="W36" s="1353">
        <f t="shared" si="14"/>
        <v>100</v>
      </c>
      <c r="X36" s="3358"/>
      <c r="Y36" s="3649"/>
      <c r="Z36" s="3359" t="str">
        <f t="shared" si="15"/>
        <v>成新度</v>
      </c>
      <c r="AA36" s="3362">
        <f t="shared" si="3"/>
        <v>1</v>
      </c>
      <c r="AB36" s="3362">
        <f t="shared" si="4"/>
        <v>1</v>
      </c>
      <c r="AC36" s="3362">
        <f t="shared" si="5"/>
        <v>1</v>
      </c>
    </row>
    <row r="37" spans="1:29" s="40" customFormat="1" ht="15">
      <c r="A37" s="1041"/>
      <c r="B37" s="3357"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47"/>
      <c r="Q37" s="3355" t="str">
        <f t="shared" si="11"/>
        <v>市政基础设施</v>
      </c>
      <c r="R37" s="1342" t="s">
        <v>62</v>
      </c>
      <c r="S37" s="1343">
        <f t="shared" si="12"/>
        <v>100</v>
      </c>
      <c r="T37" s="1342" t="s">
        <v>62</v>
      </c>
      <c r="U37" s="1343">
        <f t="shared" si="13"/>
        <v>100</v>
      </c>
      <c r="V37" s="1342" t="s">
        <v>62</v>
      </c>
      <c r="W37" s="1343">
        <f t="shared" si="14"/>
        <v>100</v>
      </c>
      <c r="X37" s="287"/>
      <c r="Y37" s="3649"/>
      <c r="Z37" s="3356" t="str">
        <f t="shared" si="15"/>
        <v>市政基础设施</v>
      </c>
      <c r="AA37" s="1344">
        <f t="shared" si="3"/>
        <v>1</v>
      </c>
      <c r="AB37" s="1344">
        <f t="shared" si="4"/>
        <v>1</v>
      </c>
      <c r="AC37" s="1344">
        <f t="shared" si="5"/>
        <v>1</v>
      </c>
    </row>
    <row r="38" spans="1:29" ht="15">
      <c r="A38" s="161"/>
      <c r="B38" s="3357" t="s">
        <v>132</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47" t="s">
        <v>996</v>
      </c>
      <c r="Q38" s="3361" t="str">
        <f t="shared" si="11"/>
        <v>业态</v>
      </c>
      <c r="R38" s="1352" t="s">
        <v>62</v>
      </c>
      <c r="S38" s="1353">
        <f t="shared" si="12"/>
        <v>100</v>
      </c>
      <c r="T38" s="1352" t="s">
        <v>62</v>
      </c>
      <c r="U38" s="1353">
        <f t="shared" si="13"/>
        <v>100</v>
      </c>
      <c r="V38" s="1352" t="s">
        <v>62</v>
      </c>
      <c r="W38" s="1353">
        <f t="shared" si="14"/>
        <v>100</v>
      </c>
      <c r="X38" s="3358"/>
      <c r="Y38" s="3649" t="s">
        <v>996</v>
      </c>
      <c r="Z38" s="3359" t="str">
        <f t="shared" si="15"/>
        <v>业态</v>
      </c>
      <c r="AA38" s="3362">
        <f t="shared" si="3"/>
        <v>1</v>
      </c>
      <c r="AB38" s="3362">
        <f t="shared" si="4"/>
        <v>1</v>
      </c>
      <c r="AC38" s="3362">
        <f t="shared" si="5"/>
        <v>1</v>
      </c>
    </row>
    <row r="39" spans="1:29" ht="15">
      <c r="A39" s="161"/>
      <c r="B39" s="3357" t="s">
        <v>133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47"/>
      <c r="Q39" s="3361" t="str">
        <f t="shared" si="11"/>
        <v>层高</v>
      </c>
      <c r="R39" s="1352" t="s">
        <v>62</v>
      </c>
      <c r="S39" s="1353">
        <f t="shared" si="12"/>
        <v>100</v>
      </c>
      <c r="T39" s="1352" t="s">
        <v>62</v>
      </c>
      <c r="U39" s="1353">
        <f t="shared" si="13"/>
        <v>100</v>
      </c>
      <c r="V39" s="1352" t="s">
        <v>62</v>
      </c>
      <c r="W39" s="1353">
        <f t="shared" si="14"/>
        <v>100</v>
      </c>
      <c r="X39" s="3358"/>
      <c r="Y39" s="3649"/>
      <c r="Z39" s="3359" t="str">
        <f t="shared" si="15"/>
        <v>层高</v>
      </c>
      <c r="AA39" s="3362">
        <f t="shared" si="3"/>
        <v>1</v>
      </c>
      <c r="AB39" s="3362">
        <f t="shared" si="4"/>
        <v>1</v>
      </c>
      <c r="AC39" s="3362">
        <f t="shared" si="5"/>
        <v>1</v>
      </c>
    </row>
    <row r="40" spans="1:29" ht="14.25">
      <c r="A40" s="161"/>
      <c r="B40" s="3357" t="s">
        <v>1027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47"/>
      <c r="Q40" s="3361" t="str">
        <f t="shared" si="11"/>
        <v>单套建筑面积</v>
      </c>
      <c r="R40" s="1352" t="s">
        <v>62</v>
      </c>
      <c r="S40" s="1353">
        <f t="shared" si="12"/>
        <v>100</v>
      </c>
      <c r="T40" s="1352" t="s">
        <v>62</v>
      </c>
      <c r="U40" s="1353">
        <f t="shared" si="13"/>
        <v>100</v>
      </c>
      <c r="V40" s="1352" t="s">
        <v>62</v>
      </c>
      <c r="W40" s="1353">
        <f t="shared" si="14"/>
        <v>100</v>
      </c>
      <c r="X40" s="3358"/>
      <c r="Y40" s="3649"/>
      <c r="Z40" s="3359" t="str">
        <f t="shared" si="15"/>
        <v>单套建筑面积</v>
      </c>
      <c r="AA40" s="3362">
        <f t="shared" si="3"/>
        <v>1</v>
      </c>
      <c r="AB40" s="3362">
        <f t="shared" si="4"/>
        <v>1</v>
      </c>
      <c r="AC40" s="3362">
        <f t="shared" si="5"/>
        <v>1</v>
      </c>
    </row>
    <row r="41" spans="1:29" s="1039" customFormat="1" ht="15">
      <c r="A41" s="1043"/>
      <c r="B41" s="3360" t="s">
        <v>1028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3362">
        <f t="shared" si="3"/>
        <v>1</v>
      </c>
      <c r="AB41" s="3362">
        <f t="shared" si="4"/>
        <v>1</v>
      </c>
      <c r="AC41" s="3362">
        <f t="shared" si="5"/>
        <v>1</v>
      </c>
    </row>
    <row r="42" spans="1:29" ht="15">
      <c r="A42" s="161"/>
      <c r="B42" s="3357" t="s">
        <v>134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47"/>
      <c r="Q42" s="3361" t="str">
        <f t="shared" si="11"/>
        <v>内部装修</v>
      </c>
      <c r="R42" s="1352" t="s">
        <v>62</v>
      </c>
      <c r="S42" s="1353">
        <f t="shared" si="12"/>
        <v>100</v>
      </c>
      <c r="T42" s="1352" t="s">
        <v>62</v>
      </c>
      <c r="U42" s="1353">
        <f t="shared" si="13"/>
        <v>100</v>
      </c>
      <c r="V42" s="1352" t="s">
        <v>62</v>
      </c>
      <c r="W42" s="1353">
        <f t="shared" si="14"/>
        <v>100</v>
      </c>
      <c r="X42" s="3358"/>
      <c r="Y42" s="3649"/>
      <c r="Z42" s="3359" t="str">
        <f t="shared" si="15"/>
        <v>内部装修</v>
      </c>
      <c r="AA42" s="3362">
        <f t="shared" si="3"/>
        <v>1</v>
      </c>
      <c r="AB42" s="3362">
        <f t="shared" si="4"/>
        <v>1</v>
      </c>
      <c r="AC42" s="3362">
        <f t="shared" si="5"/>
        <v>1</v>
      </c>
    </row>
    <row r="43" spans="1:29" ht="27">
      <c r="A43" s="161"/>
      <c r="B43" s="3357" t="s">
        <v>81</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47"/>
      <c r="Q43" s="3361" t="str">
        <f t="shared" si="11"/>
        <v>内部装修维护情况</v>
      </c>
      <c r="R43" s="1352" t="s">
        <v>62</v>
      </c>
      <c r="S43" s="1353">
        <f t="shared" si="12"/>
        <v>100</v>
      </c>
      <c r="T43" s="1352" t="s">
        <v>62</v>
      </c>
      <c r="U43" s="1353">
        <f t="shared" si="13"/>
        <v>100</v>
      </c>
      <c r="V43" s="1352" t="s">
        <v>62</v>
      </c>
      <c r="W43" s="1353">
        <f t="shared" si="14"/>
        <v>100</v>
      </c>
      <c r="X43" s="3358"/>
      <c r="Y43" s="3649"/>
      <c r="Z43" s="3359" t="str">
        <f t="shared" si="15"/>
        <v>内部装修维护情况</v>
      </c>
      <c r="AA43" s="3362">
        <f t="shared" si="3"/>
        <v>1</v>
      </c>
      <c r="AB43" s="3362">
        <f t="shared" si="4"/>
        <v>1</v>
      </c>
      <c r="AC43" s="3362">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3355">
        <f t="shared" si="11"/>
        <v>111</v>
      </c>
      <c r="R44" s="1342" t="s">
        <v>62</v>
      </c>
      <c r="S44" s="1343">
        <f t="shared" si="12"/>
        <v>100</v>
      </c>
      <c r="T44" s="1342" t="s">
        <v>62</v>
      </c>
      <c r="U44" s="1343">
        <f t="shared" si="13"/>
        <v>100</v>
      </c>
      <c r="V44" s="1342" t="s">
        <v>62</v>
      </c>
      <c r="W44" s="1343">
        <f t="shared" si="14"/>
        <v>100</v>
      </c>
      <c r="X44" s="287"/>
      <c r="Y44" s="3649"/>
      <c r="Z44" s="3356">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3361">
        <f t="shared" si="11"/>
        <v>111</v>
      </c>
      <c r="R45" s="1352" t="s">
        <v>62</v>
      </c>
      <c r="S45" s="1353">
        <f t="shared" si="12"/>
        <v>100</v>
      </c>
      <c r="T45" s="1352" t="s">
        <v>62</v>
      </c>
      <c r="U45" s="1353">
        <f t="shared" si="13"/>
        <v>100</v>
      </c>
      <c r="V45" s="1352" t="s">
        <v>62</v>
      </c>
      <c r="W45" s="1353">
        <f t="shared" si="14"/>
        <v>100</v>
      </c>
      <c r="X45" s="3358"/>
      <c r="Y45" s="3649"/>
      <c r="Z45" s="3359">
        <f t="shared" si="15"/>
        <v>111</v>
      </c>
      <c r="AA45" s="3362">
        <f t="shared" si="3"/>
        <v>1</v>
      </c>
      <c r="AB45" s="3362">
        <f t="shared" si="4"/>
        <v>1</v>
      </c>
      <c r="AC45" s="3362">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3361">
        <f t="shared" si="11"/>
        <v>111</v>
      </c>
      <c r="R46" s="1352" t="s">
        <v>62</v>
      </c>
      <c r="S46" s="1353">
        <f t="shared" si="12"/>
        <v>100</v>
      </c>
      <c r="T46" s="1352" t="s">
        <v>62</v>
      </c>
      <c r="U46" s="1353">
        <f t="shared" si="13"/>
        <v>100</v>
      </c>
      <c r="V46" s="1352" t="s">
        <v>62</v>
      </c>
      <c r="W46" s="1353">
        <f t="shared" si="14"/>
        <v>100</v>
      </c>
      <c r="X46" s="3358"/>
      <c r="Y46" s="3650"/>
      <c r="Z46" s="3359">
        <f t="shared" si="15"/>
        <v>111</v>
      </c>
      <c r="AA46" s="3362">
        <f t="shared" si="3"/>
        <v>1</v>
      </c>
      <c r="AB46" s="3362">
        <f t="shared" si="4"/>
        <v>1</v>
      </c>
      <c r="AC46" s="3362">
        <f t="shared" si="5"/>
        <v>1</v>
      </c>
    </row>
    <row r="47" spans="1:29" ht="15">
      <c r="A47" s="163" t="s">
        <v>1030</v>
      </c>
      <c r="B47" s="164"/>
      <c r="C47" s="2833" t="s">
        <v>23</v>
      </c>
      <c r="D47" s="2834"/>
      <c r="E47" s="2835">
        <v>15000</v>
      </c>
      <c r="F47" s="2836"/>
      <c r="G47" s="2835">
        <v>15000</v>
      </c>
      <c r="H47" s="2838"/>
      <c r="I47" s="2835">
        <v>15000</v>
      </c>
      <c r="J47" s="2838"/>
      <c r="K47" s="1393"/>
      <c r="L47" s="2303"/>
      <c r="M47" s="2304"/>
      <c r="N47" s="2296"/>
      <c r="O47" s="2304"/>
      <c r="P47" s="3642" t="str">
        <f>A47</f>
        <v>成交单价（元/平方米）</v>
      </c>
      <c r="Q47" s="3642"/>
      <c r="R47" s="3637">
        <f>E47</f>
        <v>15000</v>
      </c>
      <c r="S47" s="3637"/>
      <c r="T47" s="3637">
        <f>G47</f>
        <v>15000</v>
      </c>
      <c r="U47" s="3637"/>
      <c r="V47" s="3637">
        <f>I47</f>
        <v>15000</v>
      </c>
      <c r="W47" s="3637"/>
      <c r="X47" s="1365"/>
      <c r="Y47" s="1366"/>
      <c r="Z47" s="1365"/>
      <c r="AA47" s="1365"/>
      <c r="AB47" s="1365"/>
      <c r="AC47" s="1365"/>
    </row>
    <row r="48" spans="1:29" ht="15.75" thickBot="1">
      <c r="A48" s="165" t="s">
        <v>1031</v>
      </c>
      <c r="B48" s="166"/>
      <c r="C48" s="2839">
        <f>R49</f>
        <v>14150.9</v>
      </c>
      <c r="D48" s="2840"/>
      <c r="E48" s="2841">
        <f>R48</f>
        <v>14150.9</v>
      </c>
      <c r="F48" s="2841"/>
      <c r="G48" s="2839">
        <f>T48</f>
        <v>14150.9</v>
      </c>
      <c r="H48" s="2840"/>
      <c r="I48" s="2841">
        <f>V48</f>
        <v>14150.9</v>
      </c>
      <c r="J48" s="2840"/>
      <c r="K48" s="1394"/>
      <c r="L48" s="2303"/>
      <c r="M48" s="2304"/>
      <c r="N48" s="2296"/>
      <c r="O48" s="2304"/>
      <c r="P48" s="3642" t="str">
        <f>A48</f>
        <v>比较价值（元/平方米）</v>
      </c>
      <c r="Q48" s="3642"/>
      <c r="R48" s="3643">
        <f>IF(F1="售价",ROUND(PRODUCT(R47,AA7:AA46),0),ROUND(PRODUCT(R47,AA7:AA46),1))</f>
        <v>14150.9</v>
      </c>
      <c r="S48" s="3643"/>
      <c r="T48" s="3643">
        <f>IF(F1="售价",ROUND(PRODUCT(T47,AB7:AB46),0),ROUND(PRODUCT(T47,AB7:AB46),1))</f>
        <v>14150.9</v>
      </c>
      <c r="U48" s="3643"/>
      <c r="V48" s="3643">
        <f>IF(F1="售价",ROUND(PRODUCT(V47,AC7:AC46),0),ROUND(PRODUCT(V47,AC7:AC46),1))</f>
        <v>14150.9</v>
      </c>
      <c r="W48" s="3643"/>
      <c r="X48" s="1365"/>
      <c r="Y48" s="1365"/>
      <c r="Z48" s="1365"/>
      <c r="AA48" s="1365"/>
      <c r="AB48" s="1365"/>
      <c r="AC48" s="1365"/>
    </row>
    <row r="49" spans="1:29" ht="15.75" thickBot="1">
      <c r="A49" s="115" t="s">
        <v>3004</v>
      </c>
      <c r="B49" s="116"/>
      <c r="C49" s="2843">
        <f>R49</f>
        <v>14150.9</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14150.9</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6.0003250676635478E-2</v>
      </c>
      <c r="F52" s="843" t="str">
        <f>IF(OR(E52&gt;=0.3,E52&lt;=-0.3),"超过30%","")</f>
        <v/>
      </c>
      <c r="G52" s="842">
        <f>IF(G47&lt;G48,G48/G47-1,G47/G48-1)</f>
        <v>6.0003250676635478E-2</v>
      </c>
      <c r="H52" s="843" t="str">
        <f>IF(OR(G52&gt;=0.3,G52&lt;=-0.3),"超过30%","")</f>
        <v/>
      </c>
      <c r="I52" s="842">
        <f>IF(I47&lt;I48,I48/I47-1,I47/I48-1)</f>
        <v>6.0003250676635478E-2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0</v>
      </c>
      <c r="H53" s="843" t="str">
        <f>IF(OR(G53&gt;=0.2,G53&lt;=-0.2),"超过20%","")</f>
        <v/>
      </c>
      <c r="I53" s="842">
        <f>IF(I48&lt;E48,E48/I48-1,I48/E48-1)</f>
        <v>0</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v>
      </c>
      <c r="F54" s="843" t="str">
        <f>IF(OR(E54&gt;=0.3,E54&lt;=-0.3),"超过30%","")</f>
        <v/>
      </c>
      <c r="G54" s="842">
        <f>IF(G47&lt;I47,I47/G47-1,G47/I47-1)</f>
        <v>0</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100</v>
      </c>
      <c r="E59" s="855">
        <v>100</v>
      </c>
      <c r="F59" s="855">
        <v>100</v>
      </c>
      <c r="G59" s="855">
        <v>100</v>
      </c>
      <c r="H59" s="855">
        <v>100</v>
      </c>
      <c r="I59" s="855">
        <v>100</v>
      </c>
      <c r="J59" s="855">
        <v>100</v>
      </c>
      <c r="K59" s="855">
        <v>100</v>
      </c>
      <c r="L59" s="855">
        <v>100</v>
      </c>
      <c r="M59" s="855">
        <v>100</v>
      </c>
      <c r="N59" s="855">
        <v>100</v>
      </c>
      <c r="O59" s="855">
        <v>100</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100</v>
      </c>
      <c r="H66" s="887">
        <f>G66-$K10</f>
        <v>100</v>
      </c>
      <c r="I66" s="887">
        <f>H66-$K10</f>
        <v>100</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107</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100</v>
      </c>
      <c r="E93" s="879">
        <v>100</v>
      </c>
      <c r="F93" s="879">
        <v>100</v>
      </c>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996</v>
      </c>
      <c r="B100" s="286" t="s">
        <v>1051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121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J28" sqref="J2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11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2.8</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3373"/>
      <c r="Y4" s="3612" t="s">
        <v>53</v>
      </c>
      <c r="Z4" s="3613"/>
      <c r="AA4" s="3607" t="s">
        <v>55</v>
      </c>
      <c r="AB4" s="3637" t="s">
        <v>56</v>
      </c>
      <c r="AC4" s="3607" t="s">
        <v>57</v>
      </c>
    </row>
    <row r="5" spans="1:29">
      <c r="A5" s="146"/>
      <c r="B5" s="147"/>
      <c r="C5" s="3618" t="s">
        <v>3071</v>
      </c>
      <c r="D5" s="3619"/>
      <c r="E5" s="3616" t="s">
        <v>3072</v>
      </c>
      <c r="F5" s="3617"/>
      <c r="G5" s="3618" t="s">
        <v>3072</v>
      </c>
      <c r="H5" s="3619"/>
      <c r="I5" s="3618" t="s">
        <v>3171</v>
      </c>
      <c r="J5" s="3619"/>
      <c r="K5" s="187"/>
      <c r="L5" s="2295"/>
      <c r="M5" s="2296"/>
      <c r="N5" s="2296"/>
      <c r="O5" s="2296"/>
      <c r="P5" s="3631"/>
      <c r="Q5" s="3632"/>
      <c r="R5" s="3614"/>
      <c r="S5" s="3615"/>
      <c r="T5" s="3614"/>
      <c r="U5" s="3615"/>
      <c r="V5" s="3637"/>
      <c r="W5" s="3637"/>
      <c r="X5" s="3373"/>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3373"/>
      <c r="Y6" s="3635"/>
      <c r="Z6" s="3636"/>
      <c r="AA6" s="3609"/>
      <c r="AB6" s="3637"/>
      <c r="AC6" s="3609"/>
    </row>
    <row r="7" spans="1:29" s="40" customFormat="1" ht="15" thickBot="1">
      <c r="A7" s="1014" t="s">
        <v>61</v>
      </c>
      <c r="B7" s="1015"/>
      <c r="C7" s="1016">
        <f>'数据-取费表'!B2</f>
        <v>43026</v>
      </c>
      <c r="D7" s="754">
        <v>100</v>
      </c>
      <c r="E7" s="1017">
        <v>42977</v>
      </c>
      <c r="F7" s="756">
        <f>SUMIF(58:58,YEAR(E7)&amp;"-"&amp;MONTH(E7),59:59)</f>
        <v>98</v>
      </c>
      <c r="G7" s="1017">
        <v>42993</v>
      </c>
      <c r="H7" s="754">
        <f>SUMIF(58:58,YEAR(G7)&amp;"-"&amp;MONTH(G7),59:59)</f>
        <v>99</v>
      </c>
      <c r="I7" s="1017">
        <v>42943</v>
      </c>
      <c r="J7" s="754">
        <f>SUMIF(58:58,YEAR(I7)&amp;"-"&amp;MONTH(I7),59:59)</f>
        <v>97</v>
      </c>
      <c r="K7" s="1019"/>
      <c r="L7" s="2297"/>
      <c r="M7" s="2259"/>
      <c r="N7" s="2259"/>
      <c r="O7" s="2259"/>
      <c r="P7" s="3610" t="s">
        <v>61</v>
      </c>
      <c r="Q7" s="3638"/>
      <c r="R7" s="1342" t="s">
        <v>62</v>
      </c>
      <c r="S7" s="1343">
        <f t="shared" ref="S7:S15" si="0">F7</f>
        <v>98</v>
      </c>
      <c r="T7" s="1342" t="s">
        <v>62</v>
      </c>
      <c r="U7" s="1343">
        <f t="shared" ref="U7:U15" si="1">H7</f>
        <v>99</v>
      </c>
      <c r="V7" s="1342" t="s">
        <v>62</v>
      </c>
      <c r="W7" s="1343">
        <f t="shared" ref="W7:W15" si="2">J7</f>
        <v>97</v>
      </c>
      <c r="X7" s="287"/>
      <c r="Y7" s="3610" t="s">
        <v>61</v>
      </c>
      <c r="Z7" s="3611"/>
      <c r="AA7" s="1344">
        <f>D7/F7</f>
        <v>1.0204081632653061</v>
      </c>
      <c r="AB7" s="1344">
        <f>D7/H7</f>
        <v>1.0101010101010102</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993</v>
      </c>
      <c r="Q8" s="3611"/>
      <c r="R8" s="1342" t="s">
        <v>62</v>
      </c>
      <c r="S8" s="1343">
        <f t="shared" si="0"/>
        <v>100</v>
      </c>
      <c r="T8" s="1342" t="s">
        <v>62</v>
      </c>
      <c r="U8" s="1343">
        <f t="shared" si="1"/>
        <v>100</v>
      </c>
      <c r="V8" s="1342" t="s">
        <v>62</v>
      </c>
      <c r="W8" s="1343">
        <f t="shared" si="2"/>
        <v>100</v>
      </c>
      <c r="X8" s="287"/>
      <c r="Y8" s="3610" t="s">
        <v>993</v>
      </c>
      <c r="Z8" s="3611"/>
      <c r="AA8" s="1344">
        <f t="shared" ref="AA8:AA46" si="3">D8/F8</f>
        <v>1</v>
      </c>
      <c r="AB8" s="1344">
        <f t="shared" ref="AB8:AB46" si="4">D8/H8</f>
        <v>1</v>
      </c>
      <c r="AC8" s="1344">
        <f t="shared" ref="AC8:AC46" si="5">D8/J8</f>
        <v>1</v>
      </c>
    </row>
    <row r="9" spans="1:29" s="40" customFormat="1" ht="14.25">
      <c r="A9" s="1021" t="s">
        <v>994</v>
      </c>
      <c r="B9" s="62" t="s">
        <v>995</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3367" t="str">
        <f t="shared" ref="Q9:Q15" si="6">B9</f>
        <v>用途</v>
      </c>
      <c r="R9" s="1342" t="s">
        <v>62</v>
      </c>
      <c r="S9" s="1343">
        <f t="shared" si="0"/>
        <v>100</v>
      </c>
      <c r="T9" s="1342" t="s">
        <v>62</v>
      </c>
      <c r="U9" s="1343">
        <f t="shared" si="1"/>
        <v>100</v>
      </c>
      <c r="V9" s="1342" t="s">
        <v>62</v>
      </c>
      <c r="W9" s="1343">
        <f t="shared" si="2"/>
        <v>100</v>
      </c>
      <c r="X9" s="287"/>
      <c r="Y9" s="3448" t="s">
        <v>64</v>
      </c>
      <c r="Z9" s="3368" t="str">
        <f t="shared" ref="Z9:Z15" si="7">Q9</f>
        <v>用途</v>
      </c>
      <c r="AA9" s="1344">
        <f t="shared" si="3"/>
        <v>1</v>
      </c>
      <c r="AB9" s="1344">
        <f t="shared" si="4"/>
        <v>1</v>
      </c>
      <c r="AC9" s="1344">
        <f t="shared" si="5"/>
        <v>1</v>
      </c>
    </row>
    <row r="10" spans="1:29" s="92" customFormat="1" ht="27">
      <c r="A10" s="150"/>
      <c r="B10" s="3369"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4"/>
      <c r="Q10" s="3367" t="str">
        <f t="shared" si="6"/>
        <v>土地使用年限（年）</v>
      </c>
      <c r="R10" s="1342" t="s">
        <v>62</v>
      </c>
      <c r="S10" s="1343">
        <f t="shared" si="0"/>
        <v>102</v>
      </c>
      <c r="T10" s="1342" t="s">
        <v>62</v>
      </c>
      <c r="U10" s="1343">
        <f t="shared" si="1"/>
        <v>102</v>
      </c>
      <c r="V10" s="1342" t="s">
        <v>62</v>
      </c>
      <c r="W10" s="1343">
        <f t="shared" si="2"/>
        <v>100</v>
      </c>
      <c r="X10" s="287"/>
      <c r="Y10" s="3448"/>
      <c r="Z10" s="3368" t="str">
        <f t="shared" si="7"/>
        <v>土地使用年限（年）</v>
      </c>
      <c r="AA10" s="1344">
        <f t="shared" si="3"/>
        <v>0.98039215686274506</v>
      </c>
      <c r="AB10" s="1344">
        <f t="shared" si="4"/>
        <v>0.98039215686274506</v>
      </c>
      <c r="AC10" s="1344">
        <f t="shared" si="5"/>
        <v>1</v>
      </c>
    </row>
    <row r="11" spans="1:29" ht="15">
      <c r="A11" s="151"/>
      <c r="B11" s="3369" t="s">
        <v>90</v>
      </c>
      <c r="C11" s="772">
        <f>'数据-汇总表'!I5</f>
        <v>4.87</v>
      </c>
      <c r="D11" s="426">
        <v>100</v>
      </c>
      <c r="E11" s="773">
        <v>1.29</v>
      </c>
      <c r="F11" s="768">
        <f>LOOKUP(E11,68:68,69:69)-LOOKUP(C11,68:68,69:69)+100</f>
        <v>100</v>
      </c>
      <c r="G11" s="772">
        <v>1.29</v>
      </c>
      <c r="H11" s="426">
        <f>LOOKUP(G11,68:68,69:69)-LOOKUP(C11,68:68,69:69)+100</f>
        <v>100</v>
      </c>
      <c r="I11" s="772"/>
      <c r="J11" s="426">
        <f>LOOKUP(I11,68:68,69:69)-LOOKUP(C11,68:68,69:69)+100</f>
        <v>100</v>
      </c>
      <c r="K11" s="955">
        <v>0</v>
      </c>
      <c r="L11" s="2300"/>
      <c r="M11" s="2296"/>
      <c r="N11" s="2296"/>
      <c r="O11" s="2296"/>
      <c r="P11" s="3624"/>
      <c r="Q11" s="3367" t="str">
        <f t="shared" si="6"/>
        <v>容积率</v>
      </c>
      <c r="R11" s="1342" t="s">
        <v>62</v>
      </c>
      <c r="S11" s="1343">
        <f t="shared" si="0"/>
        <v>100</v>
      </c>
      <c r="T11" s="1342" t="s">
        <v>62</v>
      </c>
      <c r="U11" s="1343">
        <f t="shared" si="1"/>
        <v>100</v>
      </c>
      <c r="V11" s="1342" t="s">
        <v>62</v>
      </c>
      <c r="W11" s="1343">
        <f t="shared" si="2"/>
        <v>100</v>
      </c>
      <c r="X11" s="287"/>
      <c r="Y11" s="3448"/>
      <c r="Z11" s="3368" t="str">
        <f t="shared" si="7"/>
        <v>容积率</v>
      </c>
      <c r="AA11" s="1344">
        <f t="shared" si="3"/>
        <v>1</v>
      </c>
      <c r="AB11" s="1344">
        <f t="shared" si="4"/>
        <v>1</v>
      </c>
      <c r="AC11" s="1344">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3367">
        <f t="shared" si="6"/>
        <v>0</v>
      </c>
      <c r="R12" s="1342" t="s">
        <v>62</v>
      </c>
      <c r="S12" s="1343">
        <f t="shared" si="0"/>
        <v>100</v>
      </c>
      <c r="T12" s="1342" t="s">
        <v>62</v>
      </c>
      <c r="U12" s="1343">
        <f t="shared" si="1"/>
        <v>100</v>
      </c>
      <c r="V12" s="1342" t="s">
        <v>62</v>
      </c>
      <c r="W12" s="1343">
        <f t="shared" si="2"/>
        <v>100</v>
      </c>
      <c r="X12" s="287"/>
      <c r="Y12" s="3448"/>
      <c r="Z12" s="336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3367">
        <f t="shared" si="6"/>
        <v>0</v>
      </c>
      <c r="R13" s="1342" t="s">
        <v>62</v>
      </c>
      <c r="S13" s="1343">
        <f t="shared" si="0"/>
        <v>100</v>
      </c>
      <c r="T13" s="1342" t="s">
        <v>62</v>
      </c>
      <c r="U13" s="1343">
        <f t="shared" si="1"/>
        <v>100</v>
      </c>
      <c r="V13" s="1342" t="s">
        <v>62</v>
      </c>
      <c r="W13" s="1343">
        <f t="shared" si="2"/>
        <v>100</v>
      </c>
      <c r="X13" s="287"/>
      <c r="Y13" s="3448"/>
      <c r="Z13" s="336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3367">
        <f t="shared" si="6"/>
        <v>0</v>
      </c>
      <c r="R14" s="1342" t="s">
        <v>62</v>
      </c>
      <c r="S14" s="1343">
        <f t="shared" si="0"/>
        <v>100</v>
      </c>
      <c r="T14" s="1342" t="s">
        <v>62</v>
      </c>
      <c r="U14" s="1343">
        <f t="shared" si="1"/>
        <v>100</v>
      </c>
      <c r="V14" s="1342" t="s">
        <v>62</v>
      </c>
      <c r="W14" s="1343">
        <f t="shared" si="2"/>
        <v>100</v>
      </c>
      <c r="X14" s="287"/>
      <c r="Y14" s="3448"/>
      <c r="Z14" s="336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51" t="s">
        <v>66</v>
      </c>
      <c r="Q15" s="3371" t="str">
        <f t="shared" si="6"/>
        <v>商业繁华度</v>
      </c>
      <c r="R15" s="1352" t="s">
        <v>62</v>
      </c>
      <c r="S15" s="1353">
        <f t="shared" si="0"/>
        <v>102</v>
      </c>
      <c r="T15" s="1352" t="s">
        <v>62</v>
      </c>
      <c r="U15" s="1353">
        <f t="shared" si="1"/>
        <v>102</v>
      </c>
      <c r="V15" s="1352" t="s">
        <v>62</v>
      </c>
      <c r="W15" s="1353">
        <f t="shared" si="2"/>
        <v>102</v>
      </c>
      <c r="X15" s="3373"/>
      <c r="Y15" s="3644" t="s">
        <v>66</v>
      </c>
      <c r="Z15" s="3374" t="str">
        <f t="shared" si="7"/>
        <v>商业繁华度</v>
      </c>
      <c r="AA15" s="3372">
        <f t="shared" si="3"/>
        <v>0.98039215686274506</v>
      </c>
      <c r="AB15" s="3372">
        <f t="shared" si="4"/>
        <v>0.98039215686274506</v>
      </c>
      <c r="AC15" s="3372">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52"/>
      <c r="Q16" s="3371"/>
      <c r="R16" s="1352"/>
      <c r="S16" s="1353"/>
      <c r="T16" s="1352"/>
      <c r="U16" s="1353"/>
      <c r="V16" s="1352"/>
      <c r="W16" s="1353"/>
      <c r="X16" s="3373"/>
      <c r="Y16" s="3645"/>
      <c r="Z16" s="3374"/>
      <c r="AA16" s="3372">
        <v>1</v>
      </c>
      <c r="AB16" s="3372">
        <v>1</v>
      </c>
      <c r="AC16" s="337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52"/>
      <c r="Q17" s="3371" t="str">
        <f>B17</f>
        <v>交通便捷度</v>
      </c>
      <c r="R17" s="1352" t="s">
        <v>62</v>
      </c>
      <c r="S17" s="1353">
        <f>F17</f>
        <v>100</v>
      </c>
      <c r="T17" s="1352" t="s">
        <v>62</v>
      </c>
      <c r="U17" s="1353">
        <f>H17</f>
        <v>100</v>
      </c>
      <c r="V17" s="1352" t="s">
        <v>62</v>
      </c>
      <c r="W17" s="1353">
        <f>J17</f>
        <v>100</v>
      </c>
      <c r="X17" s="3373"/>
      <c r="Y17" s="3645"/>
      <c r="Z17" s="3374" t="str">
        <f>Q17</f>
        <v>交通便捷度</v>
      </c>
      <c r="AA17" s="3372">
        <f t="shared" si="3"/>
        <v>1</v>
      </c>
      <c r="AB17" s="3372">
        <f t="shared" si="4"/>
        <v>1</v>
      </c>
      <c r="AC17" s="3372">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52"/>
      <c r="Q18" s="3371"/>
      <c r="R18" s="1352"/>
      <c r="S18" s="1353"/>
      <c r="T18" s="1352"/>
      <c r="U18" s="1353"/>
      <c r="V18" s="1352"/>
      <c r="W18" s="1353"/>
      <c r="X18" s="3373"/>
      <c r="Y18" s="3645"/>
      <c r="Z18" s="3374"/>
      <c r="AA18" s="3372">
        <v>1</v>
      </c>
      <c r="AB18" s="3372">
        <v>1</v>
      </c>
      <c r="AC18" s="3372">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52"/>
      <c r="Q19" s="3371" t="str">
        <f>B19</f>
        <v>公共配套设施</v>
      </c>
      <c r="R19" s="1352" t="s">
        <v>62</v>
      </c>
      <c r="S19" s="1353">
        <f>F19</f>
        <v>100</v>
      </c>
      <c r="T19" s="1352" t="s">
        <v>62</v>
      </c>
      <c r="U19" s="1353">
        <f>H19</f>
        <v>100</v>
      </c>
      <c r="V19" s="1352" t="s">
        <v>62</v>
      </c>
      <c r="W19" s="1353">
        <f>J19</f>
        <v>100</v>
      </c>
      <c r="X19" s="3373"/>
      <c r="Y19" s="3645"/>
      <c r="Z19" s="3374" t="str">
        <f>Q19</f>
        <v>公共配套设施</v>
      </c>
      <c r="AA19" s="3372">
        <f t="shared" si="3"/>
        <v>1</v>
      </c>
      <c r="AB19" s="3372">
        <f t="shared" si="4"/>
        <v>1</v>
      </c>
      <c r="AC19" s="3372">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52"/>
      <c r="Q20" s="3371"/>
      <c r="R20" s="1352"/>
      <c r="S20" s="1353"/>
      <c r="T20" s="1352"/>
      <c r="U20" s="1353"/>
      <c r="V20" s="1352"/>
      <c r="W20" s="1353"/>
      <c r="X20" s="3373"/>
      <c r="Y20" s="3645"/>
      <c r="Z20" s="3374"/>
      <c r="AA20" s="3372">
        <v>1</v>
      </c>
      <c r="AB20" s="3372">
        <v>1</v>
      </c>
      <c r="AC20" s="3372">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52"/>
      <c r="Q21" s="3371" t="str">
        <f>B21</f>
        <v>基础设施水平</v>
      </c>
      <c r="R21" s="1352" t="s">
        <v>62</v>
      </c>
      <c r="S21" s="1353">
        <f>F21</f>
        <v>100</v>
      </c>
      <c r="T21" s="1352" t="s">
        <v>62</v>
      </c>
      <c r="U21" s="1353">
        <f>H21</f>
        <v>100</v>
      </c>
      <c r="V21" s="1352" t="s">
        <v>62</v>
      </c>
      <c r="W21" s="1353">
        <f>J21</f>
        <v>100</v>
      </c>
      <c r="X21" s="3373"/>
      <c r="Y21" s="3645"/>
      <c r="Z21" s="3374" t="str">
        <f>Q21</f>
        <v>基础设施水平</v>
      </c>
      <c r="AA21" s="3372">
        <f t="shared" ref="AA21" si="8">D21/F21</f>
        <v>1</v>
      </c>
      <c r="AB21" s="3372">
        <f t="shared" ref="AB21" si="9">D21/H21</f>
        <v>1</v>
      </c>
      <c r="AC21" s="3372">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52"/>
      <c r="Q22" s="3371"/>
      <c r="R22" s="1352"/>
      <c r="S22" s="1353"/>
      <c r="T22" s="1352"/>
      <c r="U22" s="1353"/>
      <c r="V22" s="1352"/>
      <c r="W22" s="1353"/>
      <c r="X22" s="3373"/>
      <c r="Y22" s="3645"/>
      <c r="Z22" s="3374"/>
      <c r="AA22" s="3372">
        <v>1</v>
      </c>
      <c r="AB22" s="3372">
        <v>1</v>
      </c>
      <c r="AC22" s="3372">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52"/>
      <c r="Q23" s="3371" t="str">
        <f>B23</f>
        <v>自然及人文环境</v>
      </c>
      <c r="R23" s="1352" t="s">
        <v>62</v>
      </c>
      <c r="S23" s="1353">
        <f>F23</f>
        <v>100</v>
      </c>
      <c r="T23" s="1352" t="s">
        <v>62</v>
      </c>
      <c r="U23" s="1353">
        <f>H23</f>
        <v>100</v>
      </c>
      <c r="V23" s="1352" t="s">
        <v>62</v>
      </c>
      <c r="W23" s="1353">
        <f>J23</f>
        <v>100</v>
      </c>
      <c r="X23" s="3373"/>
      <c r="Y23" s="3645"/>
      <c r="Z23" s="3374" t="str">
        <f>Q23</f>
        <v>自然及人文环境</v>
      </c>
      <c r="AA23" s="3372">
        <f t="shared" si="3"/>
        <v>1</v>
      </c>
      <c r="AB23" s="3372">
        <f t="shared" si="4"/>
        <v>1</v>
      </c>
      <c r="AC23" s="3372">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52"/>
      <c r="Q24" s="3371"/>
      <c r="R24" s="1352"/>
      <c r="S24" s="1353"/>
      <c r="T24" s="1352"/>
      <c r="U24" s="1353"/>
      <c r="V24" s="1352"/>
      <c r="W24" s="1353"/>
      <c r="X24" s="3373"/>
      <c r="Y24" s="3645"/>
      <c r="Z24" s="3374"/>
      <c r="AA24" s="3372">
        <v>1</v>
      </c>
      <c r="AB24" s="3372">
        <v>1</v>
      </c>
      <c r="AC24" s="3372">
        <v>1</v>
      </c>
    </row>
    <row r="25" spans="1:29" ht="15">
      <c r="A25" s="151"/>
      <c r="B25" s="3369" t="s">
        <v>128</v>
      </c>
      <c r="C25" s="182" t="s">
        <v>3121</v>
      </c>
      <c r="D25" s="778">
        <v>100</v>
      </c>
      <c r="E25" s="182" t="s">
        <v>3121</v>
      </c>
      <c r="F25" s="804">
        <f>SUMIF(86:86,E25,87:87)-SUMIF(86:86,C25,87:87)+100</f>
        <v>100</v>
      </c>
      <c r="G25" s="182" t="s">
        <v>3121</v>
      </c>
      <c r="H25" s="778">
        <f>SUMIF(86:86,G25,87:87)-SUMIF(86:86,C25,87:87)+100</f>
        <v>100</v>
      </c>
      <c r="I25" s="182" t="s">
        <v>3119</v>
      </c>
      <c r="J25" s="778">
        <f>SUMIF(86:86,I25,87:87)-SUMIF(86:86,C25,87:87)+100</f>
        <v>102</v>
      </c>
      <c r="K25" s="955">
        <v>2</v>
      </c>
      <c r="L25" s="2301"/>
      <c r="M25" s="2296"/>
      <c r="N25" s="2296"/>
      <c r="O25" s="2296"/>
      <c r="P25" s="3652"/>
      <c r="Q25" s="3371" t="str">
        <f t="shared" ref="Q25:Q46" si="11">B25</f>
        <v>临街状况</v>
      </c>
      <c r="R25" s="1352" t="s">
        <v>62</v>
      </c>
      <c r="S25" s="1353">
        <f>F25</f>
        <v>100</v>
      </c>
      <c r="T25" s="1352" t="s">
        <v>62</v>
      </c>
      <c r="U25" s="1353">
        <f>H25</f>
        <v>100</v>
      </c>
      <c r="V25" s="1352" t="s">
        <v>62</v>
      </c>
      <c r="W25" s="1353">
        <f>J25</f>
        <v>102</v>
      </c>
      <c r="X25" s="3373"/>
      <c r="Y25" s="3645"/>
      <c r="Z25" s="3374" t="str">
        <f>Q25</f>
        <v>临街状况</v>
      </c>
      <c r="AA25" s="3372">
        <f t="shared" si="3"/>
        <v>1</v>
      </c>
      <c r="AB25" s="3372">
        <f t="shared" si="4"/>
        <v>1</v>
      </c>
      <c r="AC25" s="3372">
        <f t="shared" si="5"/>
        <v>0.98039215686274506</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52"/>
      <c r="Q26" s="3371" t="str">
        <f t="shared" si="11"/>
        <v>平面位置/可视性</v>
      </c>
      <c r="R26" s="1352" t="s">
        <v>62</v>
      </c>
      <c r="S26" s="1353">
        <f>F26</f>
        <v>100</v>
      </c>
      <c r="T26" s="1352" t="s">
        <v>62</v>
      </c>
      <c r="U26" s="1353">
        <f>H26</f>
        <v>100</v>
      </c>
      <c r="V26" s="1352" t="s">
        <v>62</v>
      </c>
      <c r="W26" s="1353">
        <f>J26</f>
        <v>100</v>
      </c>
      <c r="X26" s="3373"/>
      <c r="Y26" s="3645"/>
      <c r="Z26" s="3374" t="str">
        <f>Q26</f>
        <v>平面位置/可视性</v>
      </c>
      <c r="AA26" s="3372">
        <f t="shared" si="3"/>
        <v>1</v>
      </c>
      <c r="AB26" s="3372">
        <f t="shared" si="4"/>
        <v>1</v>
      </c>
      <c r="AC26" s="3372">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52"/>
      <c r="Q27" s="3367" t="str">
        <f t="shared" si="11"/>
        <v>人流量</v>
      </c>
      <c r="R27" s="1342" t="s">
        <v>62</v>
      </c>
      <c r="S27" s="1343">
        <f>F27</f>
        <v>102</v>
      </c>
      <c r="T27" s="1342" t="s">
        <v>62</v>
      </c>
      <c r="U27" s="1343">
        <f>H27</f>
        <v>102</v>
      </c>
      <c r="V27" s="1342" t="s">
        <v>62</v>
      </c>
      <c r="W27" s="1343">
        <f>J27</f>
        <v>102</v>
      </c>
      <c r="X27" s="287"/>
      <c r="Y27" s="3645"/>
      <c r="Z27" s="3368" t="str">
        <f>Q27</f>
        <v>人流量</v>
      </c>
      <c r="AA27" s="3372">
        <f>D27/F27</f>
        <v>0.98039215686274506</v>
      </c>
      <c r="AB27" s="3372">
        <f>D27/H27</f>
        <v>0.98039215686274506</v>
      </c>
      <c r="AC27" s="3372">
        <f>D27/J27</f>
        <v>0.98039215686274506</v>
      </c>
    </row>
    <row r="28" spans="1:29" ht="15" thickBot="1">
      <c r="A28" s="151"/>
      <c r="B28" s="3369" t="s">
        <v>129</v>
      </c>
      <c r="C28" s="182">
        <v>3</v>
      </c>
      <c r="D28" s="778">
        <v>100</v>
      </c>
      <c r="E28" s="182">
        <v>1</v>
      </c>
      <c r="F28" s="804">
        <f>SUMIF(92:92,E28,93:93)-SUMIF(92:92,C28,93:93)+100</f>
        <v>115</v>
      </c>
      <c r="G28" s="182">
        <v>2</v>
      </c>
      <c r="H28" s="778">
        <f>SUMIF(92:92,G28,93:93)-SUMIF(92:92,C28,93:93)+100</f>
        <v>105</v>
      </c>
      <c r="I28" s="182">
        <v>1</v>
      </c>
      <c r="J28" s="778">
        <f>SUMIF(92:92,I28,93:93)-SUMIF(92:92,C28,93:93)+100</f>
        <v>115</v>
      </c>
      <c r="K28" s="188"/>
      <c r="L28" s="2301"/>
      <c r="M28" s="2296"/>
      <c r="N28" s="2296"/>
      <c r="O28" s="2296"/>
      <c r="P28" s="3652"/>
      <c r="Q28" s="3371" t="str">
        <f t="shared" si="11"/>
        <v>楼层</v>
      </c>
      <c r="R28" s="1352" t="s">
        <v>62</v>
      </c>
      <c r="S28" s="1353">
        <f t="shared" ref="S28:S46" si="12">F28</f>
        <v>115</v>
      </c>
      <c r="T28" s="1352" t="s">
        <v>62</v>
      </c>
      <c r="U28" s="1353">
        <f t="shared" ref="U28:U46" si="13">H28</f>
        <v>105</v>
      </c>
      <c r="V28" s="1352" t="s">
        <v>62</v>
      </c>
      <c r="W28" s="1353">
        <f t="shared" ref="W28:W46" si="14">J28</f>
        <v>115</v>
      </c>
      <c r="X28" s="3373"/>
      <c r="Y28" s="3645"/>
      <c r="Z28" s="3374" t="str">
        <f t="shared" ref="Z28:Z46" si="15">Q28</f>
        <v>楼层</v>
      </c>
      <c r="AA28" s="3372">
        <f t="shared" si="3"/>
        <v>0.86956521739130432</v>
      </c>
      <c r="AB28" s="3372">
        <f t="shared" si="4"/>
        <v>0.95238095238095233</v>
      </c>
      <c r="AC28" s="3372">
        <f t="shared" si="5"/>
        <v>0.86956521739130432</v>
      </c>
    </row>
    <row r="29" spans="1:29" ht="15" hidden="1" thickBot="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3371">
        <f t="shared" si="11"/>
        <v>0</v>
      </c>
      <c r="R29" s="1352" t="s">
        <v>62</v>
      </c>
      <c r="S29" s="1353">
        <f t="shared" si="12"/>
        <v>100</v>
      </c>
      <c r="T29" s="1352" t="s">
        <v>62</v>
      </c>
      <c r="U29" s="1353">
        <f t="shared" si="13"/>
        <v>100</v>
      </c>
      <c r="V29" s="1352" t="s">
        <v>62</v>
      </c>
      <c r="W29" s="1353">
        <f t="shared" si="14"/>
        <v>100</v>
      </c>
      <c r="X29" s="3373"/>
      <c r="Y29" s="3645"/>
      <c r="Z29" s="3374">
        <f t="shared" si="15"/>
        <v>0</v>
      </c>
      <c r="AA29" s="3372">
        <f t="shared" si="3"/>
        <v>1</v>
      </c>
      <c r="AB29" s="3372">
        <f t="shared" si="4"/>
        <v>1</v>
      </c>
      <c r="AC29" s="3372">
        <f t="shared" si="5"/>
        <v>1</v>
      </c>
    </row>
    <row r="30" spans="1:29" ht="15" hidden="1" thickBot="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3371">
        <f t="shared" si="11"/>
        <v>0</v>
      </c>
      <c r="R30" s="1352" t="s">
        <v>62</v>
      </c>
      <c r="S30" s="1353">
        <f t="shared" si="12"/>
        <v>100</v>
      </c>
      <c r="T30" s="1352" t="s">
        <v>62</v>
      </c>
      <c r="U30" s="1353">
        <f t="shared" si="13"/>
        <v>100</v>
      </c>
      <c r="V30" s="1352" t="s">
        <v>62</v>
      </c>
      <c r="W30" s="1353">
        <f t="shared" si="14"/>
        <v>100</v>
      </c>
      <c r="X30" s="3373"/>
      <c r="Y30" s="3645"/>
      <c r="Z30" s="3374">
        <f t="shared" si="15"/>
        <v>0</v>
      </c>
      <c r="AA30" s="3372">
        <f t="shared" si="3"/>
        <v>1</v>
      </c>
      <c r="AB30" s="3372">
        <f t="shared" si="4"/>
        <v>1</v>
      </c>
      <c r="AC30" s="3372">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3371">
        <f t="shared" si="11"/>
        <v>0</v>
      </c>
      <c r="R31" s="1352" t="s">
        <v>62</v>
      </c>
      <c r="S31" s="1353">
        <f t="shared" si="12"/>
        <v>100</v>
      </c>
      <c r="T31" s="1352" t="s">
        <v>62</v>
      </c>
      <c r="U31" s="1353">
        <f t="shared" si="13"/>
        <v>100</v>
      </c>
      <c r="V31" s="1352" t="s">
        <v>62</v>
      </c>
      <c r="W31" s="1353">
        <f t="shared" si="14"/>
        <v>100</v>
      </c>
      <c r="X31" s="3373"/>
      <c r="Y31" s="3645"/>
      <c r="Z31" s="3374">
        <f t="shared" si="15"/>
        <v>0</v>
      </c>
      <c r="AA31" s="3372">
        <f t="shared" si="3"/>
        <v>1</v>
      </c>
      <c r="AB31" s="3372">
        <f t="shared" si="4"/>
        <v>1</v>
      </c>
      <c r="AC31" s="3372">
        <f t="shared" si="5"/>
        <v>1</v>
      </c>
    </row>
    <row r="32" spans="1:29" ht="27">
      <c r="A32" s="155" t="s">
        <v>996</v>
      </c>
      <c r="B32" s="62" t="s">
        <v>1021</v>
      </c>
      <c r="C32" s="110" t="s">
        <v>3056</v>
      </c>
      <c r="D32" s="810">
        <v>100</v>
      </c>
      <c r="E32" s="110" t="s">
        <v>3169</v>
      </c>
      <c r="F32" s="804">
        <f>SUMIF(100:100,E32,101:101)-SUMIF(100:100,C32,101:101)+100</f>
        <v>91</v>
      </c>
      <c r="G32" s="110" t="s">
        <v>3169</v>
      </c>
      <c r="H32" s="778">
        <f>SUMIF(100:100,G32,101:101)-SUMIF(100:100,C32,101:101)+100</f>
        <v>91</v>
      </c>
      <c r="I32" s="110" t="s">
        <v>3164</v>
      </c>
      <c r="J32" s="810">
        <f>SUMIF(100:100,I32,101:101)-SUMIF(100:100,C32,101:101)+100</f>
        <v>94</v>
      </c>
      <c r="K32" s="955">
        <v>3</v>
      </c>
      <c r="L32" s="2301"/>
      <c r="M32" s="2296"/>
      <c r="N32" s="2296"/>
      <c r="O32" s="2296"/>
      <c r="P32" s="3646" t="s">
        <v>996</v>
      </c>
      <c r="Q32" s="3371" t="str">
        <f t="shared" si="11"/>
        <v>商业类型</v>
      </c>
      <c r="R32" s="1352" t="s">
        <v>62</v>
      </c>
      <c r="S32" s="1353">
        <f t="shared" si="12"/>
        <v>91</v>
      </c>
      <c r="T32" s="1352" t="s">
        <v>62</v>
      </c>
      <c r="U32" s="1353">
        <f t="shared" si="13"/>
        <v>91</v>
      </c>
      <c r="V32" s="1352" t="s">
        <v>62</v>
      </c>
      <c r="W32" s="1353">
        <f t="shared" si="14"/>
        <v>94</v>
      </c>
      <c r="X32" s="3373"/>
      <c r="Y32" s="3649" t="s">
        <v>996</v>
      </c>
      <c r="Z32" s="3374" t="str">
        <f t="shared" si="15"/>
        <v>商业类型</v>
      </c>
      <c r="AA32" s="3372">
        <f t="shared" si="3"/>
        <v>1.098901098901099</v>
      </c>
      <c r="AB32" s="3372">
        <f t="shared" si="4"/>
        <v>1.098901098901099</v>
      </c>
      <c r="AC32" s="3372">
        <f t="shared" si="5"/>
        <v>1.0638297872340425</v>
      </c>
    </row>
    <row r="33" spans="1:29" s="1039" customFormat="1" ht="14.25">
      <c r="A33" s="1043"/>
      <c r="B33" s="3369"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3372">
        <f t="shared" si="3"/>
        <v>1</v>
      </c>
      <c r="AB33" s="3372">
        <f t="shared" si="4"/>
        <v>1</v>
      </c>
      <c r="AC33" s="3372">
        <f t="shared" si="5"/>
        <v>1</v>
      </c>
    </row>
    <row r="34" spans="1:29" ht="15">
      <c r="A34" s="161"/>
      <c r="B34" s="3369"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7"/>
      <c r="Q34" s="3371" t="str">
        <f t="shared" si="11"/>
        <v>建筑结构</v>
      </c>
      <c r="R34" s="1352" t="s">
        <v>62</v>
      </c>
      <c r="S34" s="1353">
        <f t="shared" si="12"/>
        <v>100</v>
      </c>
      <c r="T34" s="1352" t="s">
        <v>62</v>
      </c>
      <c r="U34" s="1353">
        <f t="shared" si="13"/>
        <v>100</v>
      </c>
      <c r="V34" s="1352" t="s">
        <v>62</v>
      </c>
      <c r="W34" s="1353">
        <f t="shared" si="14"/>
        <v>100</v>
      </c>
      <c r="X34" s="3373"/>
      <c r="Y34" s="3649"/>
      <c r="Z34" s="3374" t="str">
        <f t="shared" si="15"/>
        <v>建筑结构</v>
      </c>
      <c r="AA34" s="3372">
        <f t="shared" si="3"/>
        <v>1</v>
      </c>
      <c r="AB34" s="3372">
        <f t="shared" si="4"/>
        <v>1</v>
      </c>
      <c r="AC34" s="3372">
        <f t="shared" si="5"/>
        <v>1</v>
      </c>
    </row>
    <row r="35" spans="1:29" ht="15">
      <c r="A35" s="161"/>
      <c r="B35" s="3369" t="s">
        <v>130</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7"/>
      <c r="Q35" s="3371" t="str">
        <f t="shared" si="11"/>
        <v>公共部分装修</v>
      </c>
      <c r="R35" s="1352" t="s">
        <v>62</v>
      </c>
      <c r="S35" s="1353">
        <f t="shared" si="12"/>
        <v>100</v>
      </c>
      <c r="T35" s="1352" t="s">
        <v>62</v>
      </c>
      <c r="U35" s="1353">
        <f t="shared" si="13"/>
        <v>100</v>
      </c>
      <c r="V35" s="1352" t="s">
        <v>62</v>
      </c>
      <c r="W35" s="1353">
        <f t="shared" si="14"/>
        <v>100</v>
      </c>
      <c r="X35" s="3373"/>
      <c r="Y35" s="3649"/>
      <c r="Z35" s="3374" t="str">
        <f t="shared" si="15"/>
        <v>公共部分装修</v>
      </c>
      <c r="AA35" s="3372">
        <f t="shared" si="3"/>
        <v>1</v>
      </c>
      <c r="AB35" s="3372">
        <f t="shared" si="4"/>
        <v>1</v>
      </c>
      <c r="AC35" s="3372">
        <f t="shared" si="5"/>
        <v>1</v>
      </c>
    </row>
    <row r="36" spans="1:29" ht="15">
      <c r="A36" s="161"/>
      <c r="B36" s="3369" t="s">
        <v>131</v>
      </c>
      <c r="C36" s="3380">
        <f>'数据-取费表'!N6</f>
        <v>0.9</v>
      </c>
      <c r="D36" s="778">
        <v>100</v>
      </c>
      <c r="E36" s="817">
        <f>ROUND(1-(2017-2015)/60,2)</f>
        <v>0.97</v>
      </c>
      <c r="F36" s="804">
        <f>LOOKUP(E36,110:110,111:111)-LOOKUP(C36,110:110,111:111)+100</f>
        <v>100</v>
      </c>
      <c r="G36" s="817">
        <f>E36</f>
        <v>0.97</v>
      </c>
      <c r="H36" s="804">
        <f>LOOKUP(G36,110:110,111:111)-LOOKUP(C36,110:110,111:111)+100</f>
        <v>100</v>
      </c>
      <c r="I36" s="3380">
        <v>0.8</v>
      </c>
      <c r="J36" s="778">
        <f>LOOKUP(I36,110:110,111:111)-LOOKUP(C36,110:110,111:111)+100</f>
        <v>98</v>
      </c>
      <c r="K36" s="955">
        <v>2</v>
      </c>
      <c r="L36" s="2301"/>
      <c r="M36" s="2296"/>
      <c r="N36" s="2296"/>
      <c r="O36" s="2296"/>
      <c r="P36" s="3647"/>
      <c r="Q36" s="3371" t="str">
        <f t="shared" si="11"/>
        <v>成新度</v>
      </c>
      <c r="R36" s="1352" t="s">
        <v>62</v>
      </c>
      <c r="S36" s="1353">
        <f t="shared" si="12"/>
        <v>100</v>
      </c>
      <c r="T36" s="1352" t="s">
        <v>62</v>
      </c>
      <c r="U36" s="1353">
        <f t="shared" si="13"/>
        <v>100</v>
      </c>
      <c r="V36" s="1352" t="s">
        <v>62</v>
      </c>
      <c r="W36" s="1353">
        <f t="shared" si="14"/>
        <v>98</v>
      </c>
      <c r="X36" s="3373"/>
      <c r="Y36" s="3649"/>
      <c r="Z36" s="3374" t="str">
        <f t="shared" si="15"/>
        <v>成新度</v>
      </c>
      <c r="AA36" s="3372">
        <f t="shared" si="3"/>
        <v>1</v>
      </c>
      <c r="AB36" s="3372">
        <f t="shared" si="4"/>
        <v>1</v>
      </c>
      <c r="AC36" s="3372">
        <f t="shared" si="5"/>
        <v>1.0204081632653061</v>
      </c>
    </row>
    <row r="37" spans="1:29" s="40" customFormat="1" ht="15">
      <c r="A37" s="1041"/>
      <c r="B37" s="3369" t="s">
        <v>2643</v>
      </c>
      <c r="C37" s="109" t="s">
        <v>3145</v>
      </c>
      <c r="D37" s="426">
        <v>100</v>
      </c>
      <c r="E37" s="109" t="s">
        <v>3145</v>
      </c>
      <c r="F37" s="804">
        <f>SUMIF(112:112,E37,113:113)-SUMIF(112:112,C37,113:113)+100</f>
        <v>100</v>
      </c>
      <c r="G37" s="109" t="s">
        <v>3145</v>
      </c>
      <c r="H37" s="778">
        <f>SUMIF(112:112,G37,113:113)-SUMIF(112:112,C37,113:113)+100</f>
        <v>100</v>
      </c>
      <c r="I37" s="109" t="s">
        <v>3145</v>
      </c>
      <c r="J37" s="778">
        <f>SUMIF(112:112,I37,113:113)-SUMIF(112:112,C37,113:113)+100</f>
        <v>100</v>
      </c>
      <c r="K37" s="955">
        <v>2</v>
      </c>
      <c r="L37" s="2297"/>
      <c r="M37" s="2259"/>
      <c r="N37" s="2259"/>
      <c r="O37" s="2259"/>
      <c r="P37" s="3647"/>
      <c r="Q37" s="3367" t="str">
        <f t="shared" si="11"/>
        <v>市政基础设施</v>
      </c>
      <c r="R37" s="1342" t="s">
        <v>62</v>
      </c>
      <c r="S37" s="1343">
        <f t="shared" si="12"/>
        <v>100</v>
      </c>
      <c r="T37" s="1342" t="s">
        <v>62</v>
      </c>
      <c r="U37" s="1343">
        <f t="shared" si="13"/>
        <v>100</v>
      </c>
      <c r="V37" s="1342" t="s">
        <v>62</v>
      </c>
      <c r="W37" s="1343">
        <f t="shared" si="14"/>
        <v>100</v>
      </c>
      <c r="X37" s="287"/>
      <c r="Y37" s="3649"/>
      <c r="Z37" s="3368" t="str">
        <f t="shared" si="15"/>
        <v>市政基础设施</v>
      </c>
      <c r="AA37" s="1344">
        <f t="shared" si="3"/>
        <v>1</v>
      </c>
      <c r="AB37" s="1344">
        <f t="shared" si="4"/>
        <v>1</v>
      </c>
      <c r="AC37" s="1344">
        <f t="shared" si="5"/>
        <v>1</v>
      </c>
    </row>
    <row r="38" spans="1:29" ht="15">
      <c r="A38" s="161"/>
      <c r="B38" s="3369"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7" t="s">
        <v>996</v>
      </c>
      <c r="Q38" s="3371" t="str">
        <f t="shared" si="11"/>
        <v>业态</v>
      </c>
      <c r="R38" s="1352" t="s">
        <v>62</v>
      </c>
      <c r="S38" s="1353">
        <f t="shared" si="12"/>
        <v>100</v>
      </c>
      <c r="T38" s="1352" t="s">
        <v>62</v>
      </c>
      <c r="U38" s="1353">
        <f t="shared" si="13"/>
        <v>100</v>
      </c>
      <c r="V38" s="1352" t="s">
        <v>62</v>
      </c>
      <c r="W38" s="1353">
        <f t="shared" si="14"/>
        <v>100</v>
      </c>
      <c r="X38" s="3373"/>
      <c r="Y38" s="3649" t="s">
        <v>996</v>
      </c>
      <c r="Z38" s="3374" t="str">
        <f t="shared" si="15"/>
        <v>业态</v>
      </c>
      <c r="AA38" s="3372">
        <f t="shared" si="3"/>
        <v>1</v>
      </c>
      <c r="AB38" s="3372">
        <f t="shared" si="4"/>
        <v>1</v>
      </c>
      <c r="AC38" s="3372">
        <f t="shared" si="5"/>
        <v>1</v>
      </c>
    </row>
    <row r="39" spans="1:29" ht="15">
      <c r="A39" s="161"/>
      <c r="B39" s="3369" t="s">
        <v>133</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7"/>
      <c r="Q39" s="3371" t="str">
        <f t="shared" si="11"/>
        <v>层高</v>
      </c>
      <c r="R39" s="1352" t="s">
        <v>62</v>
      </c>
      <c r="S39" s="1353">
        <f t="shared" si="12"/>
        <v>100</v>
      </c>
      <c r="T39" s="1352" t="s">
        <v>62</v>
      </c>
      <c r="U39" s="1353">
        <f t="shared" si="13"/>
        <v>100</v>
      </c>
      <c r="V39" s="1352" t="s">
        <v>62</v>
      </c>
      <c r="W39" s="1353">
        <f t="shared" si="14"/>
        <v>100</v>
      </c>
      <c r="X39" s="3373"/>
      <c r="Y39" s="3649"/>
      <c r="Z39" s="3374" t="str">
        <f t="shared" si="15"/>
        <v>层高</v>
      </c>
      <c r="AA39" s="3372">
        <f t="shared" si="3"/>
        <v>1</v>
      </c>
      <c r="AB39" s="3372">
        <f t="shared" si="4"/>
        <v>1</v>
      </c>
      <c r="AC39" s="3372">
        <f t="shared" si="5"/>
        <v>1</v>
      </c>
    </row>
    <row r="40" spans="1:29" ht="14.25">
      <c r="A40" s="161"/>
      <c r="B40" s="3369" t="s">
        <v>1027</v>
      </c>
      <c r="C40" s="960" t="s">
        <v>3179</v>
      </c>
      <c r="D40" s="778">
        <v>100</v>
      </c>
      <c r="E40" s="961" t="s">
        <v>3180</v>
      </c>
      <c r="F40" s="804">
        <f>SUMIF(118:118,E40,119:119)-SUMIF(118:118,C40,119:119)+100</f>
        <v>100</v>
      </c>
      <c r="G40" s="961" t="s">
        <v>3180</v>
      </c>
      <c r="H40" s="778">
        <f>SUMIF(118:118,G40,119:119)-SUMIF(118:118,C40,119:119)+100</f>
        <v>100</v>
      </c>
      <c r="I40" s="961" t="s">
        <v>3180</v>
      </c>
      <c r="J40" s="778">
        <f>SUMIF(118:118,I40,119:119)-SUMIF(118:118,C40,119:119)+100</f>
        <v>100</v>
      </c>
      <c r="K40" s="188"/>
      <c r="L40" s="2301"/>
      <c r="M40" s="2296"/>
      <c r="N40" s="2296"/>
      <c r="O40" s="2296"/>
      <c r="P40" s="3647"/>
      <c r="Q40" s="3371" t="str">
        <f t="shared" si="11"/>
        <v>单套建筑面积</v>
      </c>
      <c r="R40" s="1352" t="s">
        <v>62</v>
      </c>
      <c r="S40" s="1353">
        <f t="shared" si="12"/>
        <v>100</v>
      </c>
      <c r="T40" s="1352" t="s">
        <v>62</v>
      </c>
      <c r="U40" s="1353">
        <f t="shared" si="13"/>
        <v>100</v>
      </c>
      <c r="V40" s="1352" t="s">
        <v>62</v>
      </c>
      <c r="W40" s="1353">
        <f t="shared" si="14"/>
        <v>100</v>
      </c>
      <c r="X40" s="3373"/>
      <c r="Y40" s="3649"/>
      <c r="Z40" s="3374" t="str">
        <f t="shared" si="15"/>
        <v>单套建筑面积</v>
      </c>
      <c r="AA40" s="3372">
        <f t="shared" si="3"/>
        <v>1</v>
      </c>
      <c r="AB40" s="3372">
        <f t="shared" si="4"/>
        <v>1</v>
      </c>
      <c r="AC40" s="3372">
        <f t="shared" si="5"/>
        <v>1</v>
      </c>
    </row>
    <row r="41" spans="1:29" s="1039" customFormat="1" ht="15">
      <c r="A41" s="1043"/>
      <c r="B41" s="3370"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3372">
        <f t="shared" si="3"/>
        <v>1</v>
      </c>
      <c r="AB41" s="3372">
        <f t="shared" si="4"/>
        <v>1</v>
      </c>
      <c r="AC41" s="3372">
        <f t="shared" si="5"/>
        <v>1</v>
      </c>
    </row>
    <row r="42" spans="1:29" ht="15">
      <c r="A42" s="161"/>
      <c r="B42" s="3369" t="s">
        <v>134</v>
      </c>
      <c r="C42" s="109" t="s">
        <v>3135</v>
      </c>
      <c r="D42" s="778">
        <v>100</v>
      </c>
      <c r="E42" s="109" t="s">
        <v>3140</v>
      </c>
      <c r="F42" s="804">
        <f>SUMIF(122:122,E42,123:123)-SUMIF(122:122,C42,123:123)+100</f>
        <v>94</v>
      </c>
      <c r="G42" s="109" t="s">
        <v>3140</v>
      </c>
      <c r="H42" s="778">
        <f>SUMIF(122:122,G42,123:123)-SUMIF(122:122,C42,123:123)+100</f>
        <v>94</v>
      </c>
      <c r="I42" s="109" t="s">
        <v>3138</v>
      </c>
      <c r="J42" s="778">
        <f>SUMIF(122:122,I42,123:123)-SUMIF(122:122,C42,123:123)+100</f>
        <v>96</v>
      </c>
      <c r="K42" s="955">
        <v>2</v>
      </c>
      <c r="L42" s="2301"/>
      <c r="M42" s="2296"/>
      <c r="N42" s="2296"/>
      <c r="O42" s="2296"/>
      <c r="P42" s="3647"/>
      <c r="Q42" s="3371" t="str">
        <f t="shared" si="11"/>
        <v>内部装修</v>
      </c>
      <c r="R42" s="1352" t="s">
        <v>62</v>
      </c>
      <c r="S42" s="1353">
        <f t="shared" si="12"/>
        <v>94</v>
      </c>
      <c r="T42" s="1352" t="s">
        <v>62</v>
      </c>
      <c r="U42" s="1353">
        <f t="shared" si="13"/>
        <v>94</v>
      </c>
      <c r="V42" s="1352" t="s">
        <v>62</v>
      </c>
      <c r="W42" s="1353">
        <f t="shared" si="14"/>
        <v>96</v>
      </c>
      <c r="X42" s="3373"/>
      <c r="Y42" s="3649"/>
      <c r="Z42" s="3374" t="str">
        <f t="shared" si="15"/>
        <v>内部装修</v>
      </c>
      <c r="AA42" s="3372">
        <f t="shared" si="3"/>
        <v>1.0638297872340425</v>
      </c>
      <c r="AB42" s="3372">
        <f t="shared" si="4"/>
        <v>1.0638297872340425</v>
      </c>
      <c r="AC42" s="3372">
        <f t="shared" si="5"/>
        <v>1.0416666666666667</v>
      </c>
    </row>
    <row r="43" spans="1:29" ht="27.75" thickBot="1">
      <c r="A43" s="161"/>
      <c r="B43" s="3369"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7"/>
      <c r="Q43" s="3371" t="str">
        <f t="shared" si="11"/>
        <v>内部装修维护情况</v>
      </c>
      <c r="R43" s="1352" t="s">
        <v>62</v>
      </c>
      <c r="S43" s="1353">
        <f t="shared" si="12"/>
        <v>100</v>
      </c>
      <c r="T43" s="1352" t="s">
        <v>62</v>
      </c>
      <c r="U43" s="1353">
        <f t="shared" si="13"/>
        <v>100</v>
      </c>
      <c r="V43" s="1352" t="s">
        <v>62</v>
      </c>
      <c r="W43" s="1353">
        <f t="shared" si="14"/>
        <v>100</v>
      </c>
      <c r="X43" s="3373"/>
      <c r="Y43" s="3649"/>
      <c r="Z43" s="3374" t="str">
        <f t="shared" si="15"/>
        <v>内部装修维护情况</v>
      </c>
      <c r="AA43" s="3372">
        <f t="shared" si="3"/>
        <v>1</v>
      </c>
      <c r="AB43" s="3372">
        <f t="shared" si="4"/>
        <v>1</v>
      </c>
      <c r="AC43" s="3372">
        <f t="shared" si="5"/>
        <v>1</v>
      </c>
    </row>
    <row r="44" spans="1:29" s="40" customFormat="1" ht="15" hidden="1" thickBot="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3367">
        <f t="shared" si="11"/>
        <v>0</v>
      </c>
      <c r="R44" s="1342" t="s">
        <v>62</v>
      </c>
      <c r="S44" s="1343">
        <f t="shared" si="12"/>
        <v>100</v>
      </c>
      <c r="T44" s="1342" t="s">
        <v>62</v>
      </c>
      <c r="U44" s="1343">
        <f t="shared" si="13"/>
        <v>100</v>
      </c>
      <c r="V44" s="1342" t="s">
        <v>62</v>
      </c>
      <c r="W44" s="1343">
        <f t="shared" si="14"/>
        <v>100</v>
      </c>
      <c r="X44" s="287"/>
      <c r="Y44" s="3649"/>
      <c r="Z44" s="3368">
        <f t="shared" si="15"/>
        <v>0</v>
      </c>
      <c r="AA44" s="1344">
        <f t="shared" si="3"/>
        <v>1</v>
      </c>
      <c r="AB44" s="1344">
        <f t="shared" si="4"/>
        <v>1</v>
      </c>
      <c r="AC44" s="1344">
        <f t="shared" si="5"/>
        <v>1</v>
      </c>
    </row>
    <row r="45" spans="1:29" ht="15" hidden="1" thickBot="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3371">
        <f t="shared" si="11"/>
        <v>0</v>
      </c>
      <c r="R45" s="1352" t="s">
        <v>62</v>
      </c>
      <c r="S45" s="1353">
        <f t="shared" si="12"/>
        <v>100</v>
      </c>
      <c r="T45" s="1352" t="s">
        <v>62</v>
      </c>
      <c r="U45" s="1353">
        <f t="shared" si="13"/>
        <v>100</v>
      </c>
      <c r="V45" s="1352" t="s">
        <v>62</v>
      </c>
      <c r="W45" s="1353">
        <f t="shared" si="14"/>
        <v>100</v>
      </c>
      <c r="X45" s="3373"/>
      <c r="Y45" s="3649"/>
      <c r="Z45" s="3374">
        <f t="shared" si="15"/>
        <v>0</v>
      </c>
      <c r="AA45" s="3372">
        <f t="shared" si="3"/>
        <v>1</v>
      </c>
      <c r="AB45" s="3372">
        <f t="shared" si="4"/>
        <v>1</v>
      </c>
      <c r="AC45" s="3372">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3371">
        <f t="shared" si="11"/>
        <v>0</v>
      </c>
      <c r="R46" s="1352" t="s">
        <v>62</v>
      </c>
      <c r="S46" s="1353">
        <f t="shared" si="12"/>
        <v>100</v>
      </c>
      <c r="T46" s="1352" t="s">
        <v>62</v>
      </c>
      <c r="U46" s="1353">
        <f t="shared" si="13"/>
        <v>100</v>
      </c>
      <c r="V46" s="1352" t="s">
        <v>62</v>
      </c>
      <c r="W46" s="1353">
        <f t="shared" si="14"/>
        <v>100</v>
      </c>
      <c r="X46" s="3373"/>
      <c r="Y46" s="3650"/>
      <c r="Z46" s="3374">
        <f t="shared" si="15"/>
        <v>0</v>
      </c>
      <c r="AA46" s="3372">
        <f t="shared" si="3"/>
        <v>1</v>
      </c>
      <c r="AB46" s="3372">
        <f t="shared" si="4"/>
        <v>1</v>
      </c>
      <c r="AC46" s="3372">
        <f t="shared" si="5"/>
        <v>1</v>
      </c>
    </row>
    <row r="47" spans="1:29" ht="15">
      <c r="A47" s="163" t="s">
        <v>1030</v>
      </c>
      <c r="B47" s="164"/>
      <c r="C47" s="2833" t="s">
        <v>23</v>
      </c>
      <c r="D47" s="2834"/>
      <c r="E47" s="2835">
        <v>3</v>
      </c>
      <c r="F47" s="2836"/>
      <c r="G47" s="2835">
        <v>2.7</v>
      </c>
      <c r="H47" s="2838"/>
      <c r="I47" s="2835">
        <v>2.8</v>
      </c>
      <c r="J47" s="2838"/>
      <c r="K47" s="1393"/>
      <c r="L47" s="2303">
        <v>0.95</v>
      </c>
      <c r="M47" s="2304"/>
      <c r="N47" s="2296"/>
      <c r="O47" s="2304"/>
      <c r="P47" s="3642" t="str">
        <f>A47</f>
        <v>成交单价（元/平方米）</v>
      </c>
      <c r="Q47" s="3642"/>
      <c r="R47" s="3637">
        <f>E47</f>
        <v>3</v>
      </c>
      <c r="S47" s="3637"/>
      <c r="T47" s="3637">
        <f>G47</f>
        <v>2.7</v>
      </c>
      <c r="U47" s="3637"/>
      <c r="V47" s="3637">
        <f>I47</f>
        <v>2.8</v>
      </c>
      <c r="W47" s="3637"/>
      <c r="X47" s="1365"/>
      <c r="Y47" s="1366"/>
      <c r="Z47" s="1365"/>
      <c r="AA47" s="1365"/>
      <c r="AB47" s="1365"/>
      <c r="AC47" s="1365"/>
    </row>
    <row r="48" spans="1:29" ht="15.75" thickBot="1">
      <c r="A48" s="165" t="s">
        <v>1031</v>
      </c>
      <c r="B48" s="166"/>
      <c r="C48" s="2839">
        <f>R49</f>
        <v>2.8</v>
      </c>
      <c r="D48" s="2840"/>
      <c r="E48" s="2841">
        <f>R48</f>
        <v>2.9</v>
      </c>
      <c r="F48" s="2841"/>
      <c r="G48" s="2839">
        <f>T48</f>
        <v>2.9</v>
      </c>
      <c r="H48" s="2840"/>
      <c r="I48" s="2841">
        <f>V48</f>
        <v>2.7</v>
      </c>
      <c r="J48" s="2840"/>
      <c r="K48" s="1394"/>
      <c r="L48" s="2303"/>
      <c r="M48" s="2304"/>
      <c r="N48" s="2296"/>
      <c r="O48" s="2304"/>
      <c r="P48" s="3642" t="str">
        <f>A48</f>
        <v>比较价值（元/平方米）</v>
      </c>
      <c r="Q48" s="3642"/>
      <c r="R48" s="3643">
        <f>IF(F1="售价",ROUND(PRODUCT(R47,AA7:AA46),0),ROUND(PRODUCT(R47,AA7:AA46),1))</f>
        <v>2.9</v>
      </c>
      <c r="S48" s="3643"/>
      <c r="T48" s="3643">
        <f>IF(F1="售价",ROUND(PRODUCT(T47,AB7:AB46),0),ROUND(PRODUCT(T47,AB7:AB46),1))</f>
        <v>2.9</v>
      </c>
      <c r="U48" s="3643"/>
      <c r="V48" s="3643">
        <f>IF(F1="售价",ROUND(PRODUCT(V47,AC7:AC46),0),ROUND(PRODUCT(V47,AC7:AC46),1))</f>
        <v>2.7</v>
      </c>
      <c r="W48" s="3643"/>
      <c r="X48" s="1365"/>
      <c r="Y48" s="1365"/>
      <c r="Z48" s="1365"/>
      <c r="AA48" s="1365"/>
      <c r="AB48" s="1365"/>
      <c r="AC48" s="1365"/>
    </row>
    <row r="49" spans="1:29" ht="15.75" thickBot="1">
      <c r="A49" s="115" t="s">
        <v>3004</v>
      </c>
      <c r="B49" s="116"/>
      <c r="C49" s="2843">
        <f>R49</f>
        <v>2.8</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2.8</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3.4482758620689724E-2</v>
      </c>
      <c r="F52" s="843" t="str">
        <f>IF(OR(E52&gt;=0.3,E52&lt;=-0.3),"超过30%","")</f>
        <v/>
      </c>
      <c r="G52" s="842">
        <f>IF(G47&lt;G48,G48/G47-1,G47/G48-1)</f>
        <v>7.4074074074073959E-2</v>
      </c>
      <c r="H52" s="843" t="str">
        <f>IF(OR(G52&gt;=0.3,G52&lt;=-0.3),"超过30%","")</f>
        <v/>
      </c>
      <c r="I52" s="842">
        <f>IF(I47&lt;I48,I48/I47-1,I47/I48-1)</f>
        <v>3.7037037037036979E-2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7.4074074074073959E-2</v>
      </c>
      <c r="H53" s="843" t="str">
        <f>IF(OR(G53&gt;=0.2,G53&lt;=-0.2),"超过20%","")</f>
        <v/>
      </c>
      <c r="I53" s="842">
        <f>IF(I48&lt;E48,E48/I48-1,I48/E48-1)</f>
        <v>7.4074074074073959E-2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0.11111111111111094</v>
      </c>
      <c r="F54" s="843" t="str">
        <f>IF(OR(E54&gt;=0.3,E54&lt;=-0.3),"超过30%","")</f>
        <v/>
      </c>
      <c r="G54" s="842">
        <f>IF(G47&lt;I47,I47/G47-1,G47/I47-1)</f>
        <v>3.7037037037036979E-2</v>
      </c>
      <c r="H54" s="843" t="str">
        <f>IF(OR(G54&gt;=0.3,G54&lt;=-0.3),"超过30%","")</f>
        <v/>
      </c>
      <c r="I54" s="842">
        <f>IF(I47&lt;E47,E47/I47-1,I47/E47-1)</f>
        <v>7.1428571428571397E-2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ht="27">
      <c r="A100" s="172" t="s">
        <v>996</v>
      </c>
      <c r="B100" s="286" t="s">
        <v>1051</v>
      </c>
      <c r="C100" s="122" t="s">
        <v>3166</v>
      </c>
      <c r="D100" s="122" t="s">
        <v>3163</v>
      </c>
      <c r="E100" s="122" t="s">
        <v>3165</v>
      </c>
      <c r="F100" s="122" t="s">
        <v>3170</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121</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694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1028</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123</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K13" sqref="K13"/>
    </sheetView>
  </sheetViews>
  <sheetFormatPr defaultRowHeight="13.5"/>
  <cols>
    <col min="1" max="1" width="10.875" customWidth="1"/>
    <col min="2" max="2" width="11.625" bestFit="1" customWidth="1"/>
    <col min="3" max="7" width="10.5" bestFit="1" customWidth="1"/>
    <col min="8" max="8" width="9.5" bestFit="1" customWidth="1"/>
  </cols>
  <sheetData>
    <row r="1" spans="1:8">
      <c r="A1" s="3363" t="s">
        <v>3059</v>
      </c>
      <c r="B1" s="3363" t="s">
        <v>3060</v>
      </c>
      <c r="C1" s="3363" t="s">
        <v>3061</v>
      </c>
      <c r="D1" s="3363" t="s">
        <v>3062</v>
      </c>
      <c r="E1" s="3363" t="s">
        <v>3063</v>
      </c>
      <c r="F1" s="3363" t="s">
        <v>3064</v>
      </c>
      <c r="G1" s="3363" t="s">
        <v>3065</v>
      </c>
    </row>
    <row r="2" spans="1:8">
      <c r="A2">
        <v>172852.73</v>
      </c>
      <c r="B2" s="3364">
        <v>43026</v>
      </c>
      <c r="C2" s="3364">
        <v>43914</v>
      </c>
      <c r="D2">
        <v>2.4300000000000002</v>
      </c>
      <c r="E2">
        <f>ROUND(F2/A2/365,2)</f>
        <v>0.17</v>
      </c>
      <c r="F2">
        <v>10700000</v>
      </c>
      <c r="G2" s="3381">
        <v>0.02</v>
      </c>
    </row>
    <row r="3" spans="1:8">
      <c r="B3" s="3364">
        <v>43915</v>
      </c>
      <c r="C3" s="3364">
        <v>44279</v>
      </c>
      <c r="D3">
        <v>1</v>
      </c>
      <c r="E3">
        <f>ROUND(F3/A2/365,2)</f>
        <v>0.17</v>
      </c>
      <c r="F3">
        <v>10800000</v>
      </c>
    </row>
    <row r="4" spans="1:8">
      <c r="B4" s="3364">
        <v>44280</v>
      </c>
      <c r="C4" s="3364">
        <v>44644</v>
      </c>
      <c r="D4">
        <v>1</v>
      </c>
      <c r="E4">
        <f>ROUND(F4/A2/365,2)</f>
        <v>0.17</v>
      </c>
      <c r="F4">
        <v>10900000</v>
      </c>
    </row>
    <row r="6" spans="1:8">
      <c r="A6" s="3363" t="s">
        <v>3066</v>
      </c>
      <c r="B6" s="3364">
        <v>42997</v>
      </c>
      <c r="C6" s="3364">
        <v>43362</v>
      </c>
      <c r="D6" s="3364">
        <v>43727</v>
      </c>
      <c r="E6" s="3364">
        <v>44093</v>
      </c>
      <c r="F6" s="3364">
        <v>44458</v>
      </c>
      <c r="G6" s="3364">
        <v>44644</v>
      </c>
      <c r="H6" s="3365">
        <f>D2+D3+D4</f>
        <v>4.43</v>
      </c>
    </row>
    <row r="7" spans="1:8">
      <c r="A7">
        <f>'比较法-商业租金'!C49</f>
        <v>2.8</v>
      </c>
      <c r="B7" s="3365">
        <f>A7</f>
        <v>2.8</v>
      </c>
      <c r="C7">
        <f>B7*(1+G2)</f>
        <v>2.8559999999999999</v>
      </c>
      <c r="D7">
        <f>C7*(1+G2)</f>
        <v>2.9131199999999997</v>
      </c>
      <c r="E7">
        <f>D7*(1+G2)</f>
        <v>2.9713823999999995</v>
      </c>
      <c r="F7">
        <f>E7*(1+G2)</f>
        <v>3.0308100479999998</v>
      </c>
      <c r="G7" s="3366">
        <f>F7*(1+G2)</f>
        <v>3.09142624896</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D4" sqref="D4"/>
    </sheetView>
  </sheetViews>
  <sheetFormatPr defaultRowHeight="13.5"/>
  <cols>
    <col min="1" max="1" width="27.625" customWidth="1"/>
    <col min="2" max="9" width="12.125" customWidth="1"/>
  </cols>
  <sheetData>
    <row r="1" spans="1:9" ht="19.5" thickBot="1">
      <c r="A1" s="3393" t="str">
        <f>IF(项目基本情况!B9="房地产市场价值","估价结果一览表","结果表-2")</f>
        <v>结果表-2</v>
      </c>
      <c r="B1" s="3393"/>
      <c r="C1" s="3393"/>
      <c r="D1" s="3393"/>
      <c r="E1" s="3393"/>
      <c r="F1" s="3393"/>
      <c r="G1" s="3393"/>
      <c r="H1" s="3393"/>
      <c r="I1" s="3393"/>
    </row>
    <row r="2" spans="1:9" ht="30" customHeight="1" thickTop="1">
      <c r="A2" s="3394" t="s">
        <v>2863</v>
      </c>
      <c r="B2" s="3394" t="s">
        <v>2033</v>
      </c>
      <c r="C2" s="3394" t="s">
        <v>2034</v>
      </c>
      <c r="D2" s="3394" t="str">
        <f>结果表!D116</f>
        <v>出让国有建设用地使用权价值</v>
      </c>
      <c r="E2" s="3394"/>
      <c r="F2" s="3394" t="str">
        <f>结果表!F116</f>
        <v>建筑物价值</v>
      </c>
      <c r="G2" s="3394"/>
      <c r="H2" s="3394" t="str">
        <f>IF(项目基本情况!B9="房地产市场价值","房地产市场价值","房地产价值")</f>
        <v>房地产价值</v>
      </c>
      <c r="I2" s="3394"/>
    </row>
    <row r="3" spans="1:9" ht="14.25">
      <c r="A3" s="3395"/>
      <c r="B3" s="3395"/>
      <c r="C3" s="3395"/>
      <c r="D3" s="1914" t="s">
        <v>7</v>
      </c>
      <c r="E3" s="1914" t="s">
        <v>2035</v>
      </c>
      <c r="F3" s="1914" t="s">
        <v>7</v>
      </c>
      <c r="G3" s="1914" t="s">
        <v>8</v>
      </c>
      <c r="H3" s="1914" t="s">
        <v>7</v>
      </c>
      <c r="I3" s="1914" t="s">
        <v>8</v>
      </c>
    </row>
    <row r="4" spans="1:9" ht="28.5">
      <c r="A4" s="1984" t="str">
        <f>项目基本情况!S2</f>
        <v>重庆市北部新区金开大道1226号第三层房地产</v>
      </c>
      <c r="B4" s="1978">
        <f>项目基本情况!C17</f>
        <v>37870.639999999999</v>
      </c>
      <c r="C4" s="1978">
        <f>项目基本情况!C18</f>
        <v>7774.02</v>
      </c>
      <c r="D4" s="1978">
        <f ca="1">结果表!D118</f>
        <v>32906</v>
      </c>
      <c r="E4" s="1978">
        <f ca="1">结果表!E118</f>
        <v>8689</v>
      </c>
      <c r="F4" s="1978">
        <f ca="1">结果表!F118</f>
        <v>23537</v>
      </c>
      <c r="G4" s="1978">
        <f ca="1">结果表!G118</f>
        <v>6215</v>
      </c>
      <c r="H4" s="1978">
        <f ca="1">结果表!H118</f>
        <v>56443</v>
      </c>
      <c r="I4" s="1978">
        <f ca="1">结果表!I118</f>
        <v>14904</v>
      </c>
    </row>
    <row r="5" spans="1:9" ht="30" customHeight="1">
      <c r="A5" s="3395" t="s">
        <v>9</v>
      </c>
      <c r="B5" s="3395"/>
      <c r="C5" s="3395"/>
      <c r="D5" s="3396" t="str">
        <f ca="1">结果表!D119</f>
        <v>叁亿贰仟玖佰零陆万元整</v>
      </c>
      <c r="E5" s="3396"/>
      <c r="F5" s="3396" t="str">
        <f ca="1">结果表!F119</f>
        <v>贰亿叁仟伍佰叁拾柒万元整</v>
      </c>
      <c r="G5" s="3396"/>
      <c r="H5" s="3396" t="str">
        <f ca="1">结果表!H119</f>
        <v>伍亿陆仟肆佰肆拾叁万元整</v>
      </c>
      <c r="I5" s="3396"/>
    </row>
    <row r="6" spans="1:9" ht="15.75">
      <c r="A6" s="3397" t="str">
        <f>结果表!A120</f>
        <v>估价师知悉的法定优先受偿款</v>
      </c>
      <c r="B6" s="3397"/>
      <c r="C6" s="3397"/>
      <c r="D6" s="3398">
        <f>结果表!D120</f>
        <v>0</v>
      </c>
      <c r="E6" s="3398"/>
      <c r="F6" s="3398"/>
      <c r="G6" s="3398"/>
      <c r="H6" s="3398"/>
      <c r="I6" s="3398"/>
    </row>
    <row r="7" spans="1:9" ht="14.25">
      <c r="A7" s="3395" t="s">
        <v>9</v>
      </c>
      <c r="B7" s="3395"/>
      <c r="C7" s="3395"/>
      <c r="D7" s="3399" t="str">
        <f>结果表!D121</f>
        <v>零元整</v>
      </c>
      <c r="E7" s="3400"/>
      <c r="F7" s="3400"/>
      <c r="G7" s="3400"/>
      <c r="H7" s="3400"/>
      <c r="I7" s="3401"/>
    </row>
    <row r="8" spans="1:9" ht="15.75">
      <c r="A8" s="3397" t="str">
        <f>结果表!A122</f>
        <v>房地产抵押价值</v>
      </c>
      <c r="B8" s="3397"/>
      <c r="C8" s="3397"/>
      <c r="D8" s="3398">
        <f ca="1">结果表!D122</f>
        <v>56443</v>
      </c>
      <c r="E8" s="3398"/>
      <c r="F8" s="3398"/>
      <c r="G8" s="3398"/>
      <c r="H8" s="3398"/>
      <c r="I8" s="3398"/>
    </row>
    <row r="9" spans="1:9" ht="14.25">
      <c r="A9" s="3395" t="s">
        <v>9</v>
      </c>
      <c r="B9" s="3395"/>
      <c r="C9" s="3395"/>
      <c r="D9" s="3396" t="str">
        <f ca="1">结果表!D123</f>
        <v>伍亿陆仟肆佰肆拾叁万元整</v>
      </c>
      <c r="E9" s="3396"/>
      <c r="F9" s="3396"/>
      <c r="G9" s="3396"/>
      <c r="H9" s="3396"/>
      <c r="I9" s="3396"/>
    </row>
    <row r="10" spans="1:9" ht="15.75">
      <c r="A10" s="3397" t="str">
        <f>结果表!A124</f>
        <v/>
      </c>
      <c r="B10" s="3397"/>
      <c r="C10" s="3397"/>
      <c r="D10" s="3398" t="str">
        <f>结果表!D124</f>
        <v>——</v>
      </c>
      <c r="E10" s="3398"/>
      <c r="F10" s="3398"/>
      <c r="G10" s="3398"/>
      <c r="H10" s="3398"/>
      <c r="I10" s="3398"/>
    </row>
    <row r="11" spans="1:9" ht="14.25">
      <c r="A11" s="3395" t="s">
        <v>9</v>
      </c>
      <c r="B11" s="3395"/>
      <c r="C11" s="3395"/>
      <c r="D11" s="3396" t="e">
        <f>结果表!D125</f>
        <v>#VALUE!</v>
      </c>
      <c r="E11" s="3396"/>
      <c r="F11" s="3396"/>
      <c r="G11" s="3396"/>
      <c r="H11" s="3396"/>
      <c r="I11" s="3396"/>
    </row>
    <row r="12" spans="1:9" ht="15.75">
      <c r="A12" s="3397" t="str">
        <f>结果表!A126</f>
        <v/>
      </c>
      <c r="B12" s="3397"/>
      <c r="C12" s="3397"/>
      <c r="D12" s="3398" t="str">
        <f>结果表!D126</f>
        <v>——</v>
      </c>
      <c r="E12" s="3398"/>
      <c r="F12" s="3398"/>
      <c r="G12" s="3398"/>
      <c r="H12" s="3398"/>
      <c r="I12" s="3398"/>
    </row>
    <row r="13" spans="1:9" ht="15" thickBot="1">
      <c r="A13" s="3402" t="s">
        <v>9</v>
      </c>
      <c r="B13" s="3402"/>
      <c r="C13" s="3402"/>
      <c r="D13" s="3403" t="e">
        <f>结果表!D127</f>
        <v>#VALUE!</v>
      </c>
      <c r="E13" s="3403"/>
      <c r="F13" s="3403"/>
      <c r="G13" s="3403"/>
      <c r="H13" s="3403"/>
      <c r="I13" s="3403"/>
    </row>
    <row r="14" spans="1:9" ht="14.25" thickTop="1">
      <c r="A14" s="3404" t="s">
        <v>2036</v>
      </c>
      <c r="B14" s="3404"/>
      <c r="C14" s="3404"/>
      <c r="D14" s="3404"/>
      <c r="E14" s="3404"/>
      <c r="F14" s="3404"/>
      <c r="G14" s="3404"/>
      <c r="H14" s="3404"/>
      <c r="I14" s="3404"/>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21" sqref="A21:D21"/>
    </sheetView>
  </sheetViews>
  <sheetFormatPr defaultRowHeight="13.5"/>
  <cols>
    <col min="1" max="1" width="16.625" customWidth="1"/>
    <col min="2" max="3" width="22.375" customWidth="1"/>
    <col min="4" max="4" width="23" customWidth="1"/>
  </cols>
  <sheetData>
    <row r="1" spans="1:4" ht="18.75">
      <c r="A1" s="3405" t="s">
        <v>2841</v>
      </c>
      <c r="B1" s="3405"/>
      <c r="C1" s="3405"/>
      <c r="D1" s="3405"/>
    </row>
    <row r="2" spans="1:4" ht="18.75">
      <c r="A2" s="3406" t="s">
        <v>2103</v>
      </c>
      <c r="B2" s="3406"/>
      <c r="C2" s="3406"/>
      <c r="D2" s="3406"/>
    </row>
    <row r="3" spans="1:4" ht="18.75">
      <c r="A3" s="2612" t="s">
        <v>2104</v>
      </c>
      <c r="B3" s="2612" t="s">
        <v>2105</v>
      </c>
      <c r="C3" s="2612" t="s">
        <v>2106</v>
      </c>
      <c r="D3" s="2612" t="s">
        <v>2107</v>
      </c>
    </row>
    <row r="4" spans="1:4" ht="56.25" customHeight="1">
      <c r="A4" s="2618" t="str">
        <f>项目基本情况!B4</f>
        <v>刘梅</v>
      </c>
      <c r="B4" s="2613">
        <f ca="1">项目基本情况!C4</f>
        <v>1120140022</v>
      </c>
      <c r="C4" s="2616"/>
      <c r="D4" s="2614" t="s">
        <v>2108</v>
      </c>
    </row>
    <row r="5" spans="1:4" ht="56.25" customHeight="1">
      <c r="A5" s="2618" t="str">
        <f>项目基本情况!D4</f>
        <v>吴薇</v>
      </c>
      <c r="B5" s="2613">
        <f ca="1">项目基本情况!E4</f>
        <v>1419970001</v>
      </c>
      <c r="C5" s="2617"/>
      <c r="D5" s="2614" t="s">
        <v>2108</v>
      </c>
    </row>
    <row r="6" spans="1:4" ht="18.75">
      <c r="A6" s="3406" t="s">
        <v>2604</v>
      </c>
      <c r="B6" s="3406"/>
      <c r="C6" s="3406"/>
      <c r="D6" s="3406"/>
    </row>
    <row r="7" spans="1:4" ht="18.75">
      <c r="A7" s="2612" t="s">
        <v>2104</v>
      </c>
      <c r="B7" s="2613" t="s">
        <v>2109</v>
      </c>
      <c r="C7" s="2612" t="s">
        <v>2106</v>
      </c>
      <c r="D7" s="2612" t="s">
        <v>2107</v>
      </c>
    </row>
    <row r="8" spans="1:4" ht="56.25" customHeight="1">
      <c r="A8" s="2615" t="s">
        <v>2110</v>
      </c>
      <c r="B8" s="2615" t="s">
        <v>23</v>
      </c>
      <c r="C8" s="2616"/>
      <c r="D8" s="2614" t="s">
        <v>2108</v>
      </c>
    </row>
    <row r="9" spans="1:4">
      <c r="A9" s="1497"/>
      <c r="B9" s="1497"/>
      <c r="C9" s="1497"/>
      <c r="D9" s="1497"/>
    </row>
    <row r="10" spans="1:4" ht="18.75">
      <c r="A10" s="2094" t="s">
        <v>2111</v>
      </c>
      <c r="B10" s="1497"/>
      <c r="C10" s="1497"/>
      <c r="D10" s="1497"/>
    </row>
    <row r="11" spans="1:4" ht="30" customHeight="1">
      <c r="A11" s="3407" t="s">
        <v>2696</v>
      </c>
      <c r="B11" s="3408"/>
      <c r="C11" s="3408"/>
      <c r="D11" s="3408"/>
    </row>
    <row r="12" spans="1:4" ht="14.2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spans="1:4" ht="15.75" customHeight="1">
      <c r="A14" s="3408" t="str">
        <f>IF(项目基本情况!B8="抵押","4.本次评估估价师所知悉的法定优先受偿款情况说明如下：","——")</f>
        <v>4.本次评估估价师所知悉的法定优先受偿款情况说明如下：</v>
      </c>
      <c r="B14" s="3409"/>
      <c r="C14" s="3409"/>
      <c r="D14" s="3409"/>
    </row>
    <row r="15" spans="1:4" ht="42" customHeight="1">
      <c r="A15" s="3408" t="str">
        <f>IF(项目基本情况!B8="抵押","（1）"&amp;CONCATENATE(项目基本情况!L20,项目基本情况!L21,项目基本情况!L22),"——")</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08"/>
      <c r="C15" s="3408"/>
      <c r="D15" s="3408"/>
    </row>
    <row r="16" spans="1:4" ht="30" customHeight="1">
      <c r="A16" s="3411" t="s">
        <v>2115</v>
      </c>
      <c r="B16" s="3411"/>
      <c r="C16" s="3411"/>
      <c r="D16" s="3411"/>
    </row>
    <row r="17" spans="1:4" ht="144" customHeight="1">
      <c r="A17" s="3411" t="s">
        <v>2116</v>
      </c>
      <c r="B17" s="3411"/>
      <c r="C17" s="3411"/>
      <c r="D17" s="3411"/>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2"/>
      <c r="C21" s="3412"/>
      <c r="D21" s="3412"/>
    </row>
    <row r="22" spans="1:4" ht="18.75" customHeight="1">
      <c r="A22" s="3413" t="s">
        <v>3174</v>
      </c>
      <c r="B22" s="3414"/>
      <c r="C22" s="3414"/>
      <c r="D22" s="3414"/>
    </row>
    <row r="23" spans="1:4">
      <c r="A23" s="1985"/>
      <c r="B23" s="1994"/>
      <c r="C23" s="1994"/>
      <c r="D23" s="1994"/>
    </row>
    <row r="24" spans="1:4">
      <c r="A24" s="1985"/>
      <c r="B24" s="1994"/>
      <c r="C24" s="1994"/>
      <c r="D24" s="1994"/>
    </row>
    <row r="25" spans="1:4" ht="18.75">
      <c r="A25" s="1983" t="s">
        <v>2112</v>
      </c>
    </row>
    <row r="26" spans="1:4" ht="18.75">
      <c r="A26" s="1955"/>
    </row>
    <row r="27" spans="1:4" ht="18.75">
      <c r="A27" s="1955" t="s">
        <v>2113</v>
      </c>
    </row>
    <row r="30" spans="1:4" ht="18.75">
      <c r="D30" s="1983" t="s">
        <v>2114</v>
      </c>
    </row>
    <row r="31" spans="1:4" ht="13.5" customHeight="1">
      <c r="C31" s="3410">
        <v>42551</v>
      </c>
      <c r="D31" s="341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29" sqref="E29"/>
    </sheetView>
  </sheetViews>
  <sheetFormatPr defaultRowHeight="13.5"/>
  <cols>
    <col min="1" max="2" width="13.125" style="1994" customWidth="1"/>
    <col min="3" max="10" width="12.5" style="1994" customWidth="1"/>
    <col min="11" max="16384" width="9" style="1994"/>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1131</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420" t="s">
        <v>554</v>
      </c>
      <c r="B15" s="3415" t="s">
        <v>1132</v>
      </c>
      <c r="C15" s="3416"/>
    </row>
    <row r="16" spans="1:7" ht="13.5">
      <c r="A16" s="3421"/>
      <c r="B16" s="3415" t="s">
        <v>527</v>
      </c>
      <c r="C16" s="3416"/>
    </row>
    <row r="17" spans="1:3" ht="13.5">
      <c r="A17" s="3421"/>
      <c r="B17" s="3418" t="s">
        <v>555</v>
      </c>
      <c r="C17" s="1150" t="s">
        <v>554</v>
      </c>
    </row>
    <row r="18" spans="1:3" ht="13.5">
      <c r="A18" s="3421"/>
      <c r="B18" s="3418"/>
      <c r="C18" s="1150" t="s">
        <v>556</v>
      </c>
    </row>
    <row r="19" spans="1:3" ht="13.5">
      <c r="A19" s="3421"/>
      <c r="B19" s="3418"/>
      <c r="C19" s="1150" t="s">
        <v>557</v>
      </c>
    </row>
    <row r="20" spans="1:3" ht="13.5">
      <c r="A20" s="3422"/>
      <c r="B20" s="3417" t="s">
        <v>558</v>
      </c>
      <c r="C20" s="3416"/>
    </row>
    <row r="21" spans="1:3" ht="13.5">
      <c r="A21" s="1151" t="s">
        <v>559</v>
      </c>
      <c r="B21" s="1152"/>
      <c r="C21" s="1153"/>
    </row>
    <row r="22" spans="1:3" ht="13.5">
      <c r="A22" s="3419" t="s">
        <v>560</v>
      </c>
      <c r="B22" s="3417" t="s">
        <v>561</v>
      </c>
      <c r="C22" s="3416"/>
    </row>
    <row r="23" spans="1:3" ht="13.5">
      <c r="A23" s="3419"/>
      <c r="B23" s="3417" t="s">
        <v>562</v>
      </c>
      <c r="C23" s="3416"/>
    </row>
    <row r="24" spans="1:3" ht="13.5">
      <c r="A24" s="3419"/>
      <c r="B24" s="3417" t="s">
        <v>563</v>
      </c>
      <c r="C24" s="3416"/>
    </row>
    <row r="25" spans="1:3" ht="13.5">
      <c r="A25" s="3419"/>
      <c r="B25" s="3418" t="s">
        <v>564</v>
      </c>
      <c r="C25" s="1150" t="s">
        <v>565</v>
      </c>
    </row>
    <row r="26" spans="1:3" ht="13.5">
      <c r="A26" s="3419"/>
      <c r="B26" s="3418"/>
      <c r="C26" s="1150" t="s">
        <v>566</v>
      </c>
    </row>
    <row r="27" spans="1:3" ht="13.5">
      <c r="A27" s="3419"/>
      <c r="B27" s="3418"/>
      <c r="C27" s="1150" t="s">
        <v>567</v>
      </c>
    </row>
    <row r="28" spans="1:3" ht="13.5">
      <c r="A28" s="3419"/>
      <c r="B28" s="3418"/>
      <c r="C28" s="1150" t="s">
        <v>568</v>
      </c>
    </row>
    <row r="29" spans="1:3" ht="13.5">
      <c r="A29" s="3419"/>
      <c r="B29" s="3418"/>
      <c r="C29" s="1150" t="s">
        <v>569</v>
      </c>
    </row>
    <row r="30" spans="1:3" ht="13.5">
      <c r="A30" s="3419"/>
      <c r="B30" s="3418"/>
      <c r="C30" s="1150" t="s">
        <v>570</v>
      </c>
    </row>
    <row r="31" spans="1:3" ht="13.5">
      <c r="A31" s="3419"/>
      <c r="B31" s="3418"/>
      <c r="C31" s="1150" t="s">
        <v>571</v>
      </c>
    </row>
    <row r="32" spans="1:3" ht="13.5">
      <c r="A32" s="3419"/>
      <c r="B32" s="3418"/>
      <c r="C32" s="1150" t="s">
        <v>572</v>
      </c>
    </row>
    <row r="33" spans="1:3" ht="13.5">
      <c r="A33" s="3419"/>
      <c r="B33" s="3418"/>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1966</v>
      </c>
      <c r="B2" s="1892">
        <f ca="1">TODAY()</f>
        <v>43032</v>
      </c>
      <c r="C2" s="1893" t="s">
        <v>1967</v>
      </c>
      <c r="D2" s="1893"/>
    </row>
    <row r="3" spans="1:6" ht="24" customHeight="1">
      <c r="A3" s="1894" t="s">
        <v>1968</v>
      </c>
      <c r="B3" s="1895" t="s">
        <v>1969</v>
      </c>
      <c r="C3" s="1895" t="s">
        <v>1970</v>
      </c>
      <c r="D3" s="1896" t="s">
        <v>1971</v>
      </c>
      <c r="E3" s="1897" t="s">
        <v>1972</v>
      </c>
      <c r="F3" s="1895" t="s">
        <v>1970</v>
      </c>
    </row>
    <row r="4" spans="1:6" ht="24" customHeight="1">
      <c r="A4" s="3205" t="s">
        <v>1973</v>
      </c>
      <c r="B4" s="1897">
        <f ca="1">IF(C4&lt;B2,"已过期",1119970066)</f>
        <v>1119970066</v>
      </c>
      <c r="C4" s="3206">
        <v>43849</v>
      </c>
      <c r="D4" s="3205" t="s">
        <v>1973</v>
      </c>
      <c r="E4" s="1897">
        <f ca="1">IF(F4&lt;B2,"已过期",96010014)</f>
        <v>96010014</v>
      </c>
      <c r="F4" s="1906">
        <v>47118</v>
      </c>
    </row>
    <row r="5" spans="1:6" ht="24" customHeight="1">
      <c r="A5" s="3205" t="s">
        <v>1974</v>
      </c>
      <c r="B5" s="1897">
        <f ca="1">IF(C5&lt;B2,"已过期",1119970074)</f>
        <v>1119970074</v>
      </c>
      <c r="C5" s="3206">
        <v>43849</v>
      </c>
      <c r="D5" s="3205" t="s">
        <v>1974</v>
      </c>
      <c r="E5" s="1897">
        <f ca="1">IF(F5&lt;B2,"已过期",2002110027)</f>
        <v>2002110027</v>
      </c>
      <c r="F5" s="1906">
        <v>46752</v>
      </c>
    </row>
    <row r="6" spans="1:6" ht="24" customHeight="1">
      <c r="A6" s="3205" t="s">
        <v>1975</v>
      </c>
      <c r="B6" s="1897">
        <f ca="1">IF(C6&lt;B2,"已过期",1119970111)</f>
        <v>1119970111</v>
      </c>
      <c r="C6" s="3206">
        <v>43849</v>
      </c>
      <c r="D6" s="3205" t="s">
        <v>1975</v>
      </c>
      <c r="E6" s="1897">
        <f ca="1">IF(F6&lt;B2,"已过期",94010078)</f>
        <v>94010078</v>
      </c>
      <c r="F6" s="1906">
        <v>46387</v>
      </c>
    </row>
    <row r="7" spans="1:6" ht="24" customHeight="1">
      <c r="A7" s="3205" t="s">
        <v>1976</v>
      </c>
      <c r="B7" s="1897">
        <f ca="1">IF(C7&lt;B2,"已过期",1120050019)</f>
        <v>1120050019</v>
      </c>
      <c r="C7" s="3206">
        <v>43359</v>
      </c>
      <c r="D7" s="3205" t="s">
        <v>1976</v>
      </c>
      <c r="E7" s="1897">
        <f ca="1">IF(F7&lt;B2,"已过期",2002110030)</f>
        <v>2002110030</v>
      </c>
      <c r="F7" s="1906">
        <v>46387</v>
      </c>
    </row>
    <row r="8" spans="1:6" ht="24" customHeight="1">
      <c r="A8" s="3205" t="s">
        <v>1977</v>
      </c>
      <c r="B8" s="1897">
        <f ca="1">IF(C8&lt;B2,"已过期",1120000080)</f>
        <v>1120000080</v>
      </c>
      <c r="C8" s="3206">
        <v>43849</v>
      </c>
      <c r="D8" s="3205" t="s">
        <v>1977</v>
      </c>
      <c r="E8" s="1897">
        <f ca="1">IF(F8&lt;B2,"已过期",2000110082)</f>
        <v>2000110082</v>
      </c>
      <c r="F8" s="1906">
        <v>46387</v>
      </c>
    </row>
    <row r="9" spans="1:6" ht="24" customHeight="1">
      <c r="A9" s="3205" t="s">
        <v>1978</v>
      </c>
      <c r="B9" s="1897">
        <f ca="1">IF(C9&lt;B2,"已过期",1419970001)</f>
        <v>1419970001</v>
      </c>
      <c r="C9" s="3206">
        <v>43867</v>
      </c>
      <c r="D9" s="3205" t="s">
        <v>1978</v>
      </c>
      <c r="E9" s="1897">
        <f ca="1">IF(F9&lt;B2,"已过期",2002110125)</f>
        <v>2002110125</v>
      </c>
      <c r="F9" s="1906">
        <v>47118</v>
      </c>
    </row>
    <row r="10" spans="1:6" ht="24" customHeight="1">
      <c r="A10" s="3205" t="s">
        <v>1979</v>
      </c>
      <c r="B10" s="1897">
        <f ca="1">IF(C10&lt;B2,"已过期",1120060040)</f>
        <v>1120060040</v>
      </c>
      <c r="C10" s="3206">
        <v>43483</v>
      </c>
      <c r="D10" s="3205" t="s">
        <v>1979</v>
      </c>
      <c r="E10" s="1897">
        <f ca="1">IF(F10&lt;B2,"已过期",2004110096)</f>
        <v>2004110096</v>
      </c>
      <c r="F10" s="1906">
        <v>47118</v>
      </c>
    </row>
    <row r="11" spans="1:6" ht="24" customHeight="1">
      <c r="A11" s="3205" t="s">
        <v>1980</v>
      </c>
      <c r="B11" s="1897">
        <f ca="1">IF(C11&lt;B2,"已过期",1120100036)</f>
        <v>1120100036</v>
      </c>
      <c r="C11" s="3206">
        <v>43622</v>
      </c>
      <c r="D11" s="3205" t="s">
        <v>1980</v>
      </c>
      <c r="E11" s="1897">
        <f ca="1">IF(F11&lt;B2,"已过期",2010110070)</f>
        <v>2010110070</v>
      </c>
      <c r="F11" s="1906">
        <v>47907</v>
      </c>
    </row>
    <row r="12" spans="1:6" ht="24" customHeight="1">
      <c r="A12" s="3205"/>
      <c r="B12" s="1897"/>
      <c r="C12" s="3206"/>
      <c r="D12" s="3205"/>
      <c r="E12" s="1897"/>
      <c r="F12" s="1897"/>
    </row>
    <row r="13" spans="1:6" ht="24" customHeight="1">
      <c r="A13" s="3205" t="s">
        <v>1981</v>
      </c>
      <c r="B13" s="1897">
        <f ca="1">IF(C13&lt;B2,"已过期",1120070131)</f>
        <v>1120070131</v>
      </c>
      <c r="C13" s="3206">
        <v>43814</v>
      </c>
      <c r="D13" s="3205" t="s">
        <v>1981</v>
      </c>
      <c r="E13" s="1897">
        <v>2014110011</v>
      </c>
      <c r="F13" s="1906">
        <v>49302</v>
      </c>
    </row>
    <row r="14" spans="1:6" ht="24" customHeight="1">
      <c r="A14" s="3205" t="s">
        <v>1982</v>
      </c>
      <c r="B14" s="1897">
        <f ca="1">IF(C14&lt;B2,"已过期",1120130020)</f>
        <v>1120130020</v>
      </c>
      <c r="C14" s="3206">
        <v>43622</v>
      </c>
      <c r="D14" s="3205"/>
      <c r="E14" s="1897"/>
      <c r="F14" s="1897"/>
    </row>
    <row r="15" spans="1:6" ht="24" customHeight="1">
      <c r="A15" s="3207" t="s">
        <v>2694</v>
      </c>
      <c r="B15" s="1897">
        <v>1120070085</v>
      </c>
      <c r="C15" s="3206">
        <v>43814</v>
      </c>
      <c r="D15" s="3207" t="s">
        <v>2694</v>
      </c>
      <c r="E15" s="1897">
        <v>2004110128</v>
      </c>
      <c r="F15" s="1898">
        <v>47118</v>
      </c>
    </row>
    <row r="16" spans="1:6" ht="24" customHeight="1">
      <c r="A16" s="3205" t="s">
        <v>1983</v>
      </c>
      <c r="B16" s="1897">
        <f ca="1">IF(C16&lt;B2,"已过期",1120140022)</f>
        <v>1120140022</v>
      </c>
      <c r="C16" s="3206">
        <v>44029</v>
      </c>
      <c r="D16" s="3205" t="s">
        <v>1983</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1984</v>
      </c>
      <c r="E21" s="1897">
        <f ca="1">IF(F21&lt;B2,"已过期",2011110090)</f>
        <v>2011110090</v>
      </c>
      <c r="F21" s="1906">
        <v>48302</v>
      </c>
    </row>
    <row r="22" spans="1:7" ht="24" customHeight="1">
      <c r="A22" s="3205" t="s">
        <v>1985</v>
      </c>
      <c r="B22" s="1897">
        <f ca="1">IF(C22&lt;B2,"已过期",1120020033)</f>
        <v>1120020033</v>
      </c>
      <c r="C22" s="3206">
        <v>43304</v>
      </c>
      <c r="D22" s="3205" t="s">
        <v>1985</v>
      </c>
      <c r="E22" s="1897">
        <f ca="1">IF(F22&lt;B2,"已过期",2000110137)</f>
        <v>2000110137</v>
      </c>
      <c r="F22" s="1906">
        <v>46387</v>
      </c>
    </row>
    <row r="23" spans="1:7" ht="24" customHeight="1">
      <c r="A23" s="3205" t="s">
        <v>1986</v>
      </c>
      <c r="B23" s="1897">
        <f ca="1">IF(C23&lt;B2,"已过期",1120130048)</f>
        <v>1120130048</v>
      </c>
      <c r="C23" s="3206">
        <v>43686</v>
      </c>
      <c r="D23" s="3205"/>
      <c r="E23" s="1897"/>
      <c r="F23" s="1897"/>
    </row>
    <row r="24" spans="1:7" s="1899" customFormat="1" ht="24" customHeight="1">
      <c r="A24" s="3207" t="s">
        <v>2927</v>
      </c>
      <c r="B24" s="3207" t="s">
        <v>2927</v>
      </c>
      <c r="C24" s="3207" t="s">
        <v>2927</v>
      </c>
      <c r="D24" s="3207" t="s">
        <v>2927</v>
      </c>
      <c r="E24" s="3207" t="s">
        <v>2927</v>
      </c>
      <c r="F24" s="3207" t="s">
        <v>2927</v>
      </c>
    </row>
    <row r="25" spans="1:7" ht="24" customHeight="1">
      <c r="A25" s="3423" t="s">
        <v>1987</v>
      </c>
      <c r="B25" s="3423"/>
      <c r="C25" s="3423"/>
      <c r="D25" s="3423"/>
      <c r="E25" s="3423"/>
      <c r="F25" s="3423"/>
      <c r="G25" s="3423"/>
    </row>
    <row r="26" spans="1:7" s="1901" customFormat="1" ht="24" customHeight="1">
      <c r="A26" s="3424" t="s">
        <v>1988</v>
      </c>
      <c r="B26" s="3424"/>
      <c r="C26" s="3424"/>
      <c r="D26" s="1900"/>
      <c r="E26" s="3424" t="s">
        <v>1989</v>
      </c>
      <c r="F26" s="3424"/>
      <c r="G26" s="3424"/>
    </row>
    <row r="27" spans="1:7" s="1903" customFormat="1" ht="24" customHeight="1">
      <c r="A27" s="1902" t="s">
        <v>1990</v>
      </c>
      <c r="B27" s="1895" t="s">
        <v>1991</v>
      </c>
      <c r="C27" s="1895" t="s">
        <v>1992</v>
      </c>
      <c r="D27" s="1895"/>
      <c r="E27" s="1897" t="s">
        <v>1990</v>
      </c>
      <c r="F27" s="1895" t="s">
        <v>1991</v>
      </c>
      <c r="G27" s="1895" t="s">
        <v>1992</v>
      </c>
    </row>
    <row r="28" spans="1:7" s="1903" customFormat="1" ht="24" customHeight="1">
      <c r="A28" s="1904" t="s">
        <v>1993</v>
      </c>
      <c r="B28" s="1905" t="s">
        <v>1994</v>
      </c>
      <c r="C28" s="1906">
        <v>43725</v>
      </c>
      <c r="D28" s="1906"/>
      <c r="E28" s="1904" t="s">
        <v>1995</v>
      </c>
      <c r="F28" s="1904" t="s">
        <v>1996</v>
      </c>
      <c r="G28" s="2113">
        <v>44377</v>
      </c>
    </row>
    <row r="29" spans="1:7" s="1903" customFormat="1" ht="24" customHeight="1">
      <c r="A29" s="1904"/>
      <c r="B29" s="1904"/>
      <c r="C29" s="1907"/>
      <c r="D29" s="1907"/>
      <c r="E29" s="1904" t="s">
        <v>1997</v>
      </c>
      <c r="F29" s="2439" t="s">
        <v>3039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23" priority="55">
      <formula>AND($C28-TODAY()&lt;30,TODAY()&lt;$C28)</formula>
    </cfRule>
  </conditionalFormatting>
  <conditionalFormatting sqref="C28:D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G28">
    <cfRule type="expression" dxfId="187" priority="12">
      <formula>AND($F28-TODAY()&lt;30,TODAY()&lt;$F28)</formula>
    </cfRule>
  </conditionalFormatting>
  <conditionalFormatting sqref="G28">
    <cfRule type="cellIs" dxfId="186" priority="13" stopIfTrue="1" operator="lessThan">
      <formula>$B$2</formula>
    </cfRule>
  </conditionalFormatting>
  <conditionalFormatting sqref="G29">
    <cfRule type="expression" dxfId="185" priority="8" stopIfTrue="1">
      <formula>AND($F29-TODAY()&lt;30,TODAY()&lt;$F29)</formula>
    </cfRule>
  </conditionalFormatting>
  <conditionalFormatting sqref="G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比较法-商业（1）</vt:lpstr>
      <vt:lpstr>比较法-商业租金</vt:lpstr>
      <vt:lpstr>租约</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'比较法-商业（1）'!商业层高</vt:lpstr>
      <vt:lpstr>'比较法-商业租金'!商业层高</vt:lpstr>
      <vt:lpstr>商业层高</vt:lpstr>
      <vt:lpstr>'比较法-商业（1）'!商业成新度</vt:lpstr>
      <vt:lpstr>'比较法-商业租金'!商业成新度</vt:lpstr>
      <vt:lpstr>商业成新度</vt:lpstr>
      <vt:lpstr>商业繁华度</vt:lpstr>
      <vt:lpstr>'比较法-商业（1）'!商业公共部分装修</vt:lpstr>
      <vt:lpstr>'比较法-商业租金'!商业公共部分装修</vt:lpstr>
      <vt:lpstr>商业公共部分装修</vt:lpstr>
      <vt:lpstr>'比较法-商业（1）'!商业基础设施水平</vt:lpstr>
      <vt:lpstr>'比较法-商业租金'!商业基础设施水平</vt:lpstr>
      <vt:lpstr>商业基础设施水平</vt:lpstr>
      <vt:lpstr>'比较法-商业（1）'!商业建筑结构</vt:lpstr>
      <vt:lpstr>'比较法-商业租金'!商业建筑结构</vt:lpstr>
      <vt:lpstr>商业建筑结构</vt:lpstr>
      <vt:lpstr>'比较法-商业（1）'!商业交易情况</vt:lpstr>
      <vt:lpstr>'比较法-商业租金'!商业交易情况</vt:lpstr>
      <vt:lpstr>商业交易情况</vt:lpstr>
      <vt:lpstr>商业街名称</vt:lpstr>
      <vt:lpstr>'比较法-商业（1）'!商业进深比</vt:lpstr>
      <vt:lpstr>'比较法-商业租金'!商业进深比</vt:lpstr>
      <vt:lpstr>商业进深比</vt:lpstr>
      <vt:lpstr>'比较法-商业（1）'!商业类型</vt:lpstr>
      <vt:lpstr>'比较法-商业租金'!商业类型</vt:lpstr>
      <vt:lpstr>商业类型</vt:lpstr>
      <vt:lpstr>'比较法-商业（1）'!商业临街状况</vt:lpstr>
      <vt:lpstr>'比较法-商业租金'!商业临街状况</vt:lpstr>
      <vt:lpstr>商业临街状况</vt:lpstr>
      <vt:lpstr>'比较法-商业（1）'!商业楼层</vt:lpstr>
      <vt:lpstr>'比较法-商业租金'!商业楼层</vt:lpstr>
      <vt:lpstr>商业楼层</vt:lpstr>
      <vt:lpstr>'比较法-商业（1）'!商业内部装修</vt:lpstr>
      <vt:lpstr>'比较法-商业租金'!商业内部装修</vt:lpstr>
      <vt:lpstr>商业内部装修</vt:lpstr>
      <vt:lpstr>'比较法-商业（1）'!商业人流量</vt:lpstr>
      <vt:lpstr>'比较法-商业租金'!商业人流量</vt:lpstr>
      <vt:lpstr>商业人流量</vt:lpstr>
      <vt:lpstr>'比较法-商业（1）'!商业业态</vt:lpstr>
      <vt:lpstr>'比较法-商业租金'!商业业态</vt:lpstr>
      <vt:lpstr>商业业态</vt:lpstr>
      <vt:lpstr>'比较法-商业（1）'!商业用途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2017-10-24T08:28:50Z</dcterms:modified>
</cp:coreProperties>
</file>