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0"/>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I36" i="33"/>
  <c r="H6" i="77" l="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E36" i="79"/>
  <c r="F36" i="79" s="1"/>
  <c r="C36" i="79"/>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J7" i="79"/>
  <c r="W7" i="79" s="1"/>
  <c r="F7" i="79"/>
  <c r="S7" i="79" s="1"/>
  <c r="C7" i="79"/>
  <c r="C58" i="79" s="1"/>
  <c r="D58" i="79" s="1"/>
  <c r="E58" i="79" s="1"/>
  <c r="F58" i="79" s="1"/>
  <c r="G58" i="79" s="1"/>
  <c r="H58" i="79" s="1"/>
  <c r="I58" i="79" s="1"/>
  <c r="J58" i="79" s="1"/>
  <c r="K58" i="79" s="1"/>
  <c r="L58" i="79" s="1"/>
  <c r="M58" i="79" s="1"/>
  <c r="N58" i="79" s="1"/>
  <c r="O58" i="79" s="1"/>
  <c r="D3" i="79"/>
  <c r="G47" i="33"/>
  <c r="E47" i="33"/>
  <c r="G36" i="33"/>
  <c r="E36" i="33"/>
  <c r="C36" i="33"/>
  <c r="H11" i="79" l="1"/>
  <c r="AB11" i="79" s="1"/>
  <c r="U11" i="79"/>
  <c r="AA7" i="79"/>
  <c r="AC7" i="79"/>
  <c r="H7" i="79"/>
  <c r="U8" i="79"/>
  <c r="U9" i="79"/>
  <c r="S10" i="79"/>
  <c r="W10" i="79"/>
  <c r="F11" i="79"/>
  <c r="J11" i="79"/>
  <c r="U12" i="79"/>
  <c r="S13" i="79"/>
  <c r="W13" i="79"/>
  <c r="U14" i="79"/>
  <c r="U15" i="79"/>
  <c r="U17" i="79"/>
  <c r="U19" i="79"/>
  <c r="U21" i="79"/>
  <c r="W23" i="79"/>
  <c r="AA36" i="79"/>
  <c r="S36" i="79"/>
  <c r="S9" i="79"/>
  <c r="W9" i="79"/>
  <c r="U10" i="79"/>
  <c r="S12" i="79"/>
  <c r="W12" i="79"/>
  <c r="U13" i="79"/>
  <c r="S14" i="79"/>
  <c r="W14" i="79"/>
  <c r="S15" i="79"/>
  <c r="W15" i="79"/>
  <c r="S17" i="79"/>
  <c r="W17" i="79"/>
  <c r="S19" i="79"/>
  <c r="W19" i="79"/>
  <c r="S21" i="79"/>
  <c r="W21" i="79"/>
  <c r="S23" i="79"/>
  <c r="AC36" i="79"/>
  <c r="W36" i="79"/>
  <c r="U23" i="79"/>
  <c r="S25" i="79"/>
  <c r="W25" i="79"/>
  <c r="U26" i="79"/>
  <c r="S27" i="79"/>
  <c r="W27" i="79"/>
  <c r="U28" i="79"/>
  <c r="S29" i="79"/>
  <c r="W29" i="79"/>
  <c r="U30" i="79"/>
  <c r="S31" i="79"/>
  <c r="W31" i="79"/>
  <c r="U32" i="79"/>
  <c r="S33" i="79"/>
  <c r="W33" i="79"/>
  <c r="U34" i="79"/>
  <c r="S35" i="79"/>
  <c r="W35" i="79"/>
  <c r="G36" i="79"/>
  <c r="H36" i="79" s="1"/>
  <c r="S37" i="79"/>
  <c r="W37" i="79"/>
  <c r="U38" i="79"/>
  <c r="S39" i="79"/>
  <c r="W39" i="79"/>
  <c r="U40" i="79"/>
  <c r="S41" i="79"/>
  <c r="W41" i="79"/>
  <c r="U42" i="79"/>
  <c r="S43" i="79"/>
  <c r="W43" i="79"/>
  <c r="U44" i="79"/>
  <c r="S45" i="79"/>
  <c r="W45" i="79"/>
  <c r="U46" i="79"/>
  <c r="E54" i="79"/>
  <c r="F54" i="79" s="1"/>
  <c r="I54" i="79"/>
  <c r="J54" i="79" s="1"/>
  <c r="R47" i="79"/>
  <c r="V47" i="79"/>
  <c r="U25" i="79"/>
  <c r="S26" i="79"/>
  <c r="W26" i="79"/>
  <c r="U27" i="79"/>
  <c r="S28" i="79"/>
  <c r="W28" i="79"/>
  <c r="U29" i="79"/>
  <c r="S30" i="79"/>
  <c r="W30" i="79"/>
  <c r="U31" i="79"/>
  <c r="S32" i="79"/>
  <c r="W32" i="79"/>
  <c r="U33" i="79"/>
  <c r="S34" i="79"/>
  <c r="W34" i="79"/>
  <c r="U35" i="79"/>
  <c r="U37" i="79"/>
  <c r="S38" i="79"/>
  <c r="W38" i="79"/>
  <c r="U39" i="79"/>
  <c r="S40" i="79"/>
  <c r="W40" i="79"/>
  <c r="U41" i="79"/>
  <c r="S42" i="79"/>
  <c r="W42" i="79"/>
  <c r="U43" i="79"/>
  <c r="S44" i="79"/>
  <c r="W44" i="79"/>
  <c r="U45" i="79"/>
  <c r="S46" i="79"/>
  <c r="W46" i="79"/>
  <c r="G54" i="79"/>
  <c r="H54" i="79" s="1"/>
  <c r="T47" i="79"/>
  <c r="C11" i="33"/>
  <c r="C11"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H21" i="78"/>
  <c r="AB21" i="78" s="1"/>
  <c r="F21" i="78"/>
  <c r="C21" i="78"/>
  <c r="AC19" i="78"/>
  <c r="W19" i="78"/>
  <c r="Q19" i="78"/>
  <c r="Z19" i="78" s="1"/>
  <c r="J19" i="78"/>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3" i="78"/>
  <c r="AC11" i="79" l="1"/>
  <c r="V48" i="79" s="1"/>
  <c r="I48" i="79" s="1"/>
  <c r="W11" i="79"/>
  <c r="R48" i="79"/>
  <c r="AB36" i="79"/>
  <c r="U36" i="79"/>
  <c r="AA11" i="79"/>
  <c r="S11" i="79"/>
  <c r="AB7" i="79"/>
  <c r="T48" i="79" s="1"/>
  <c r="G48" i="79" s="1"/>
  <c r="U7" i="79"/>
  <c r="U9" i="78"/>
  <c r="S10" i="78"/>
  <c r="W10" i="78"/>
  <c r="U11" i="78"/>
  <c r="S12" i="78"/>
  <c r="W12" i="78"/>
  <c r="U13" i="78"/>
  <c r="S14" i="78"/>
  <c r="W14" i="78"/>
  <c r="S15" i="78"/>
  <c r="W15" i="78"/>
  <c r="S17" i="78"/>
  <c r="W17" i="78"/>
  <c r="S19" i="78"/>
  <c r="AA8" i="78"/>
  <c r="AC8" i="78"/>
  <c r="S9" i="78"/>
  <c r="W9" i="78"/>
  <c r="U10" i="78"/>
  <c r="S11" i="78"/>
  <c r="W11" i="78"/>
  <c r="U12" i="78"/>
  <c r="S13" i="78"/>
  <c r="W13" i="78"/>
  <c r="U14" i="78"/>
  <c r="U15" i="78"/>
  <c r="U17" i="78"/>
  <c r="AA21" i="78"/>
  <c r="S21" i="78"/>
  <c r="AC21" i="78"/>
  <c r="W21"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W46"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U46" i="78"/>
  <c r="I52" i="79" l="1"/>
  <c r="J52" i="79" s="1"/>
  <c r="R49" i="79"/>
  <c r="E48" i="79"/>
  <c r="G53" i="79"/>
  <c r="H53" i="79" s="1"/>
  <c r="G52" i="79"/>
  <c r="H52" i="79" s="1"/>
  <c r="F70" i="15"/>
  <c r="AF6" i="1"/>
  <c r="Y6" i="1"/>
  <c r="U6" i="1"/>
  <c r="E4" i="77"/>
  <c r="E3" i="77"/>
  <c r="E2" i="77"/>
  <c r="E53" i="79" l="1"/>
  <c r="F53" i="79" s="1"/>
  <c r="E52" i="79"/>
  <c r="F52" i="79" s="1"/>
  <c r="C49" i="79"/>
  <c r="A7" i="77" s="1"/>
  <c r="B7" i="77" s="1"/>
  <c r="C48" i="79"/>
  <c r="I53" i="79"/>
  <c r="J53" i="79" s="1"/>
  <c r="F19" i="6"/>
  <c r="F49" i="15" l="1"/>
  <c r="C7" i="77"/>
  <c r="D7" i="77" s="1"/>
  <c r="E7" i="77" s="1"/>
  <c r="F7" i="77" s="1"/>
  <c r="G7" i="77" s="1"/>
  <c r="Z6" i="1" s="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7" i="76"/>
  <c r="E9" i="76"/>
  <c r="B9" i="76"/>
  <c r="B12" i="76"/>
  <c r="E8" i="76"/>
  <c r="E10" i="76"/>
  <c r="B7" i="76"/>
  <c r="E11" i="76"/>
  <c r="B13" i="76"/>
  <c r="B10" i="76"/>
  <c r="B8" i="76"/>
  <c r="E13" i="76"/>
  <c r="B11"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F3" i="73"/>
  <c r="D3" i="73"/>
  <c r="F4" i="73"/>
  <c r="F6" i="73"/>
  <c r="D5"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J46" i="33" s="1"/>
  <c r="AC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W40" i="33" l="1"/>
  <c r="U43" i="33"/>
  <c r="AC41" i="33"/>
  <c r="S38" i="33"/>
  <c r="U32" i="33"/>
  <c r="AC44" i="33"/>
  <c r="W44" i="33"/>
  <c r="AC45" i="33"/>
  <c r="AA44" i="33"/>
  <c r="H46" i="33"/>
  <c r="S41" i="33"/>
  <c r="S40" i="33"/>
  <c r="U40" i="33"/>
  <c r="W39" i="33"/>
  <c r="U35" i="33"/>
  <c r="AB26" i="33"/>
  <c r="S26" i="33"/>
  <c r="C25" i="39"/>
  <c r="A15" i="62"/>
  <c r="B61" i="72" s="1"/>
  <c r="C58" i="78"/>
  <c r="D58" i="78" s="1"/>
  <c r="E58" i="78" s="1"/>
  <c r="F58" i="78" s="1"/>
  <c r="G58" i="78" s="1"/>
  <c r="H58" i="78" s="1"/>
  <c r="I58" i="78" s="1"/>
  <c r="J58" i="78" s="1"/>
  <c r="K58" i="78" s="1"/>
  <c r="L58" i="78" s="1"/>
  <c r="M58" i="78" s="1"/>
  <c r="N58" i="78" s="1"/>
  <c r="O58" i="78" s="1"/>
  <c r="E7" i="78"/>
  <c r="S8" i="33"/>
  <c r="E29" i="6"/>
  <c r="E12" i="6"/>
  <c r="E13" i="6"/>
  <c r="G11"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E59" i="40"/>
  <c r="F31" i="6"/>
  <c r="F30" i="6"/>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1" i="1"/>
  <c r="AR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67"/>
  <c r="M8" i="67"/>
  <c r="M23" i="67"/>
  <c r="F40" i="67"/>
  <c r="F13" i="67"/>
  <c r="G1" i="73"/>
  <c r="F38" i="15"/>
  <c r="M28" i="67"/>
  <c r="M9" i="67"/>
  <c r="M9" i="15"/>
  <c r="M24" i="67"/>
  <c r="F26" i="15"/>
  <c r="L47" i="15"/>
  <c r="F36" i="15"/>
  <c r="F8" i="67"/>
  <c r="F26" i="67"/>
  <c r="F6" i="15"/>
  <c r="F7" i="15"/>
  <c r="M28" i="15"/>
  <c r="J15" i="15"/>
  <c r="F9" i="15"/>
  <c r="F16" i="67"/>
  <c r="F13" i="15"/>
  <c r="F36" i="67"/>
  <c r="C76" i="15"/>
  <c r="F43" i="67"/>
  <c r="F7" i="67"/>
  <c r="F40" i="15"/>
  <c r="F37" i="15"/>
  <c r="M22" i="67"/>
  <c r="M6" i="15"/>
  <c r="J15" i="67"/>
  <c r="F42" i="67"/>
  <c r="M8" i="15"/>
  <c r="F42" i="15"/>
  <c r="M29" i="15"/>
  <c r="C76" i="67"/>
  <c r="M22" i="15"/>
  <c r="L48" i="15"/>
  <c r="M29" i="67"/>
  <c r="L47" i="67"/>
  <c r="F43" i="15"/>
  <c r="F8" i="15"/>
  <c r="M26" i="15"/>
  <c r="F9" i="67"/>
  <c r="F37" i="67"/>
  <c r="M26" i="67"/>
  <c r="F16" i="15"/>
  <c r="F38" i="67"/>
  <c r="M23" i="15"/>
  <c r="F6" i="67"/>
  <c r="M6" i="67"/>
  <c r="M24" i="15"/>
  <c r="AB46" i="33" l="1"/>
  <c r="U46" i="33"/>
  <c r="C4" i="4"/>
  <c r="B4" i="62" s="1"/>
  <c r="E4" i="4"/>
  <c r="F7" i="78"/>
  <c r="G7" i="78"/>
  <c r="M18" i="67"/>
  <c r="F30" i="69"/>
  <c r="C48" i="69" s="1"/>
  <c r="F32" i="67"/>
  <c r="F60" i="67" s="1"/>
  <c r="F32" i="15"/>
  <c r="F60" i="15" s="1"/>
  <c r="F28" i="67"/>
  <c r="C28" i="67" s="1"/>
  <c r="F30" i="68"/>
  <c r="C30" i="68" s="1"/>
  <c r="F31" i="12"/>
  <c r="C31" i="12" s="1"/>
  <c r="F30" i="11"/>
  <c r="C30" i="11" s="1"/>
  <c r="F52" i="9"/>
  <c r="F28" i="15"/>
  <c r="C28" i="15" s="1"/>
  <c r="BA5" i="3"/>
  <c r="E27" i="6" s="1"/>
  <c r="K20" i="6" s="1"/>
  <c r="M20" i="6" s="1"/>
  <c r="I20" i="6" s="1"/>
  <c r="AQ9" i="1"/>
  <c r="D22" i="43"/>
  <c r="F109" i="43"/>
  <c r="T11" i="1"/>
  <c r="AQ13" i="1"/>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9" i="69"/>
  <c r="C9" i="69" s="1"/>
  <c r="D19" i="12"/>
  <c r="C19" i="12" s="1"/>
  <c r="E56" i="40"/>
  <c r="T9" i="1"/>
  <c r="T13" i="1"/>
  <c r="E16" i="6"/>
  <c r="E58" i="40"/>
  <c r="E63" i="39"/>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16" i="67"/>
  <c r="F31" i="15"/>
  <c r="F31" i="67"/>
  <c r="M17" i="67"/>
  <c r="C17" i="15"/>
  <c r="C16" i="15"/>
  <c r="F59" i="15"/>
  <c r="M17" i="15"/>
  <c r="F59" i="67"/>
  <c r="B71" i="72" l="1"/>
  <c r="K4" i="4"/>
  <c r="B46" i="48" s="1"/>
  <c r="B5" i="62"/>
  <c r="A18" i="62"/>
  <c r="B64" i="72" s="1"/>
  <c r="I7" i="78"/>
  <c r="J7" i="78" s="1"/>
  <c r="H7" i="78"/>
  <c r="AA7" i="78"/>
  <c r="R48" i="78" s="1"/>
  <c r="S7" i="78"/>
  <c r="D113" i="43"/>
  <c r="J22" i="43"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B73" i="72" l="1"/>
  <c r="B4" i="72"/>
  <c r="AB7" i="78"/>
  <c r="T48" i="78" s="1"/>
  <c r="G48" i="78" s="1"/>
  <c r="U7" i="78"/>
  <c r="E48" i="78"/>
  <c r="AC7" i="78"/>
  <c r="V48" i="78" s="1"/>
  <c r="I48" i="78" s="1"/>
  <c r="W7"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49" i="78" l="1"/>
  <c r="I53" i="78"/>
  <c r="J53" i="78" s="1"/>
  <c r="I52" i="78"/>
  <c r="J52" i="78" s="1"/>
  <c r="E52" i="78"/>
  <c r="F52" i="78" s="1"/>
  <c r="E53" i="78"/>
  <c r="F53" i="78" s="1"/>
  <c r="G53" i="78"/>
  <c r="H53" i="78" s="1"/>
  <c r="G52" i="78"/>
  <c r="H52"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48" i="78" l="1"/>
  <c r="C49"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67"/>
  <c r="M21" i="67"/>
  <c r="F35"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F35" i="9" s="1"/>
  <c r="C36" i="15"/>
  <c r="J14" i="15"/>
  <c r="J22" i="15" s="1"/>
  <c r="C37" i="15" l="1"/>
  <c r="C30" i="15" s="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79"/>
  <c r="D2" i="36"/>
  <c r="F20" i="31"/>
  <c r="D2" i="35"/>
  <c r="D2" i="21"/>
  <c r="D2" i="78"/>
  <c r="E2" i="68"/>
  <c r="D2" i="37"/>
  <c r="D2" i="34"/>
  <c r="D2" i="33"/>
  <c r="B2" i="79" l="1"/>
  <c r="B3" i="79" s="1"/>
  <c r="B2" i="78"/>
  <c r="B3" i="78" s="1"/>
  <c r="B20" i="31"/>
  <c r="B2" i="36"/>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F34" i="9" s="1"/>
  <c r="D22" i="9"/>
  <c r="B3" i="33"/>
  <c r="G52" i="39"/>
  <c r="H52" i="39" s="1"/>
  <c r="G51" i="39"/>
  <c r="H51" i="39" s="1"/>
  <c r="I51" i="39"/>
  <c r="J51" i="39" s="1"/>
  <c r="W7" i="39"/>
  <c r="U7" i="39"/>
  <c r="AA7" i="39"/>
  <c r="R47" i="39" s="1"/>
  <c r="C20" i="9"/>
  <c r="C103" i="9" l="1"/>
  <c r="G20" i="9"/>
  <c r="C32" i="9" s="1"/>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c r="C34" i="9" l="1"/>
  <c r="D34" i="9"/>
  <c r="H112" i="9" l="1"/>
  <c r="D21" i="53" s="1"/>
  <c r="B39" i="72" s="1"/>
  <c r="H111" i="9"/>
  <c r="D126" i="9" s="1"/>
  <c r="D59" i="9"/>
  <c r="M55" i="9"/>
  <c r="D19" i="53" l="1"/>
  <c r="B38" i="72"/>
  <c r="D20" i="53"/>
  <c r="B40" i="72" s="1"/>
  <c r="I14" i="74"/>
  <c r="B8" i="74" s="1"/>
  <c r="D127" i="9"/>
  <c r="D13" i="52" s="1"/>
  <c r="D12" i="52"/>
  <c r="D8" i="74" l="1"/>
  <c r="C8" i="74"/>
  <c r="H118" i="9" l="1"/>
  <c r="I118" i="9" s="1"/>
  <c r="C105" i="9" s="1"/>
  <c r="H102" i="9" l="1"/>
  <c r="D7" i="53" s="1"/>
  <c r="I4" i="52"/>
  <c r="C104" i="9"/>
  <c r="H101" i="9"/>
  <c r="H119" i="9"/>
  <c r="H5" i="52" s="1"/>
  <c r="H4" i="52"/>
  <c r="D14" i="74"/>
  <c r="B21" i="72" l="1"/>
  <c r="E14" i="74"/>
  <c r="F14" i="74"/>
  <c r="B5" i="74"/>
  <c r="M48" i="9"/>
  <c r="H107" i="9"/>
  <c r="D45" i="9"/>
  <c r="D5" i="53"/>
  <c r="D53" i="9" l="1"/>
  <c r="D52" i="9"/>
  <c r="C85" i="9"/>
  <c r="D55" i="9"/>
  <c r="M53" i="9" s="1"/>
  <c r="C93" i="9"/>
  <c r="C86" i="9" s="1"/>
  <c r="C78" i="9"/>
  <c r="C73" i="9" s="1"/>
  <c r="C72" i="9"/>
  <c r="C64" i="9"/>
  <c r="C63" i="9" s="1"/>
  <c r="C67" i="9" s="1"/>
  <c r="C68" i="9" s="1"/>
  <c r="D54" i="9" s="1"/>
  <c r="B20" i="72"/>
  <c r="D6" i="53"/>
  <c r="M49" i="9"/>
  <c r="H108" i="9"/>
  <c r="D15" i="53" s="1"/>
  <c r="D122" i="9"/>
  <c r="D13" i="53"/>
  <c r="C5" i="74"/>
  <c r="D5" i="74"/>
  <c r="B31" i="72" l="1"/>
  <c r="B22" i="72"/>
  <c r="B30" i="72"/>
  <c r="D14" i="53"/>
  <c r="D123" i="9"/>
  <c r="D9" i="52" s="1"/>
  <c r="G14" i="74"/>
  <c r="B6" i="74" s="1"/>
  <c r="D8" i="52"/>
  <c r="L68" i="9"/>
  <c r="M68" i="9" s="1"/>
  <c r="L63" i="9"/>
  <c r="M63" i="9" s="1"/>
  <c r="L64" i="9"/>
  <c r="M64" i="9" s="1"/>
  <c r="L66" i="9"/>
  <c r="M66" i="9" s="1"/>
  <c r="L65" i="9"/>
  <c r="M65" i="9" s="1"/>
  <c r="L67" i="9"/>
  <c r="M67" i="9" s="1"/>
  <c r="C79" i="9"/>
  <c r="C80" i="9" s="1"/>
  <c r="E80" i="9" s="1"/>
  <c r="E81" i="9" s="1"/>
  <c r="C95" i="9"/>
  <c r="C96" i="9" s="1"/>
  <c r="E96" i="9" s="1"/>
  <c r="E97" i="9" s="1"/>
  <c r="B32" i="72" l="1"/>
  <c r="C97" i="9"/>
  <c r="D58" i="9" s="1"/>
  <c r="D56" i="9" s="1"/>
  <c r="M54" i="9" s="1"/>
  <c r="N57" i="9" s="1"/>
  <c r="N59" i="9" s="1"/>
  <c r="C81" i="9"/>
  <c r="D6" i="74"/>
  <c r="C6" i="74"/>
  <c r="M69" i="9"/>
  <c r="N69" i="9" s="1"/>
  <c r="N58" i="9" l="1"/>
  <c r="P57" i="9"/>
  <c r="N60" i="9"/>
  <c r="N61" i="9"/>
  <c r="F118" i="9"/>
  <c r="F4" i="52" s="1"/>
  <c r="B51" i="72" l="1"/>
  <c r="G118" i="9"/>
  <c r="D118" i="9"/>
  <c r="F119" i="9"/>
  <c r="F5" i="52" s="1"/>
  <c r="B53" i="72" l="1"/>
  <c r="E118" i="9"/>
  <c r="E4" i="52" s="1"/>
  <c r="G4" i="52"/>
  <c r="D4" i="52"/>
  <c r="D119" i="9"/>
  <c r="D5" i="52" s="1"/>
  <c r="B49" i="72" l="1"/>
  <c r="B52" i="72"/>
  <c r="B47" i="7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<sst xmlns="http://schemas.openxmlformats.org/spreadsheetml/2006/main" count="8128" uniqueCount="3183">
  <si>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</si>
  <si>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</si>
  <si>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</si>
  <si>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</si>
  <si>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</si>
  <si>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</si>
  <si>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</si>
  <si>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</si>
  <si>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</si>
  <si>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</si>
  <si>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</si>
  <si>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</si>
  <si>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</si>
  <si>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</si>
  <si>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</si>
  <si>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</si>
  <si>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</si>
  <si>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</si>
  <si>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</si>
  <si>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</si>
  <si>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</si>
  <si>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</si>
  <si>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</si>
  <si>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</si>
  <si>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</si>
  <si>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</si>
  <si>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</si>
  <si>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</si>
  <si>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</si>
  <si>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</si>
  <si>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</si>
  <si>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</si>
  <si>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</si>
  <si>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</si>
  <si>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</si>
  <si>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</si>
  <si>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</si>
  <si>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</si>
  <si>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</si>
  <si>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</si>
  <si>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</si>
  <si>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</si>
  <si>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</si>
  <si>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</si>
  <si>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</si>
  <si>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</si>
  <si>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</si>
  <si>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</si>
  <si>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</si>
  <si>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</si>
  <si>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</si>
  <si>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</si>
  <si>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</si>
  <si>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</si>
  <si>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</si>
  <si>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</si>
  <si>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</si>
  <si>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</si>
  <si>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</si>
  <si>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</si>
  <si>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</si>
  <si>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</si>
  <si>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</si>
  <si>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</si>
  <si>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</si>
  <si>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</si>
  <si>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</si>
  <si>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</si>
  <si>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</si>
  <si>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</si>
  <si>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</si>
  <si>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</si>
  <si>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</si>
  <si>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</si>
  <si>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</si>
  <si>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</si>
  <si>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</si>
  <si>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</si>
  <si>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</si>
  <si>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</si>
  <si>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</si>
  <si>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</si>
  <si>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</si>
  <si>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</si>
  <si>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</si>
  <si>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</si>
  <si>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</si>
  <si>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</si>
  <si>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</si>
  <si>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</si>
  <si>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</si>
  <si>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</si>
  <si>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</si>
  <si>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</si>
  <si>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</si>
  <si>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</si>
  <si>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</si>
  <si>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</si>
  <si>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</si>
  <si>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</si>
  <si>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</si>
  <si>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</si>
  <si>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</si>
  <si>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</si>
  <si>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</si>
  <si>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</si>
  <si>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</si>
  <si>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</si>
  <si>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</si>
  <si>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</si>
  <si>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</si>
  <si>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</si>
  <si>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</si>
  <si>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</si>
  <si>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</si>
  <si>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</si>
  <si>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</si>
  <si>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</si>
  <si>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</si>
  <si>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</si>
  <si>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</si>
  <si>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</si>
  <si>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</si>
  <si>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</si>
  <si>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</si>
  <si>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</si>
  <si>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</si>
  <si>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</si>
  <si>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</si>
  <si>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</si>
  <si>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</si>
  <si>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</si>
  <si>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</si>
  <si>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</si>
  <si>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</si>
  <si>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</si>
  <si>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</si>
  <si>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</si>
  <si>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</si>
  <si>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</si>
  <si>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</si>
  <si>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</si>
  <si>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</si>
  <si>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</si>
  <si>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</si>
  <si>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</si>
  <si>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</si>
  <si>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</si>
  <si>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</si>
  <si>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</si>
  <si>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</si>
  <si>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</si>
  <si>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</si>
  <si>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</si>
  <si>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</si>
  <si>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</si>
  <si>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</si>
  <si>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</si>
  <si>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</si>
  <si>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</si>
  <si>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</si>
  <si>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</si>
  <si>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</si>
  <si>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</si>
  <si>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</si>
  <si>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</si>
  <si>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</si>
  <si>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</si>
  <si>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</si>
  <si>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</si>
  <si>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</si>
  <si>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</si>
  <si>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</si>
  <si>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</si>
  <si>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</si>
  <si>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</si>
  <si>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</si>
  <si>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</si>
  <si>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</si>
  <si>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</si>
  <si>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</si>
  <si>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</si>
  <si>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</si>
  <si>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</si>
  <si>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</si>
  <si>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</si>
  <si>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</si>
  <si>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</si>
  <si>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</si>
  <si>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</si>
  <si>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</si>
  <si>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</si>
  <si>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</si>
  <si>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</si>
  <si>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</si>
  <si>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</si>
  <si>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</si>
  <si>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</si>
  <si>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</si>
  <si>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</si>
  <si>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</si>
  <si>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</si>
  <si>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</si>
  <si>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</si>
  <si>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</si>
  <si>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</si>
  <si>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</si>
  <si>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</si>
  <si>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</si>
  <si>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</si>
  <si>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</si>
  <si>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</si>
  <si>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</si>
  <si>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</si>
  <si>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</si>
  <si>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</si>
  <si>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</si>
  <si>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</si>
  <si>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</si>
  <si>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</si>
  <si>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</si>
  <si>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</si>
  <si>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</si>
  <si>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</si>
  <si>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</si>
  <si>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</si>
  <si>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</si>
  <si>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</si>
  <si>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</si>
  <si>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</si>
  <si>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</si>
  <si>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</si>
  <si>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</si>
  <si>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</si>
  <si>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</si>
  <si>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</si>
  <si>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</si>
  <si>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</si>
  <si>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</si>
  <si>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</si>
  <si>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</si>
  <si>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</si>
  <si>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</si>
  <si>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</si>
  <si>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</si>
  <si>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</si>
  <si>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</si>
  <si>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</si>
  <si>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</si>
  <si>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</si>
  <si>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</si>
  <si>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</si>
  <si>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</si>
  <si>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</si>
  <si>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</si>
  <si>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</si>
  <si>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</si>
  <si>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</si>
  <si>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</si>
  <si>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</si>
  <si>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</si>
  <si>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</si>
  <si>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</si>
  <si>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</si>
  <si>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</si>
  <si>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</si>
  <si>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</si>
  <si>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</si>
  <si>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</si>
  <si>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</si>
  <si>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</si>
  <si>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</si>
  <si>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</si>
  <si>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</si>
  <si>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</si>
  <si>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</si>
  <si>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</si>
  <si>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</si>
  <si>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</si>
  <si>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</si>
  <si>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</si>
  <si>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</si>
  <si>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</si>
  <si>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</si>
  <si>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</si>
  <si>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</si>
  <si>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</si>
  <si>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</si>
  <si>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</si>
  <si>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</si>
  <si>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</si>
  <si>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</si>
  <si>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</si>
  <si>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</si>
  <si>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</si>
  <si>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</si>
  <si>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</si>
  <si>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</si>
  <si>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</si>
  <si>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</si>
  <si>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</si>
  <si>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</si>
  <si>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</si>
  <si>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</si>
  <si>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</si>
  <si>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</si>
  <si>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</si>
  <si>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</si>
  <si>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</si>
  <si>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</si>
  <si>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</si>
  <si>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</si>
  <si>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</si>
  <si>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</si>
  <si>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</si>
  <si>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</si>
  <si>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</si>
  <si>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</si>
  <si>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</si>
  <si>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</si>
  <si>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</si>
  <si>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</si>
  <si>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</si>
  <si>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</si>
  <si>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</si>
  <si>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</si>
  <si>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</si>
  <si>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</si>
  <si>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</si>
  <si>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</si>
  <si>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</si>
  <si>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</si>
  <si>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</si>
  <si>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</si>
  <si>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</si>
  <si>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</si>
  <si>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</si>
  <si>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</si>
  <si>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</si>
  <si>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</si>
  <si>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</si>
  <si>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</si>
  <si>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</si>
  <si>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</si>
  <si>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</si>
  <si>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</si>
  <si>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</si>
  <si>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</si>
  <si>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</si>
  <si>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</si>
  <si>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</si>
  <si>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</si>
  <si>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</si>
  <si>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</si>
  <si>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</si>
  <si>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</si>
  <si>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</si>
  <si>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</si>
  <si>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</si>
  <si>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</si>
  <si>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</si>
  <si>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</si>
  <si>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</si>
  <si>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</si>
  <si>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</si>
  <si>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</si>
  <si>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</si>
  <si>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</si>
  <si>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</si>
  <si>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</si>
  <si>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</si>
  <si>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</si>
  <si>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</si>
  <si>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</si>
  <si>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</si>
  <si>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</si>
  <si>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</si>
  <si>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</si>
  <si>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</si>
  <si>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</si>
  <si>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</si>
  <si>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</si>
  <si>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</si>
  <si>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</si>
  <si>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</si>
  <si>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</si>
  <si>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</si>
  <si>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</si>
  <si>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</si>
  <si>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</si>
  <si>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</si>
  <si>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</si>
  <si>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</si>
  <si>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</si>
  <si>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</si>
  <si>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</si>
  <si>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</si>
  <si>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</si>
  <si>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</si>
  <si>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</si>
  <si>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</si>
  <si>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</si>
  <si>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</si>
  <si>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</si>
  <si>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</si>
  <si>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</si>
  <si>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</si>
  <si>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</si>
  <si>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</si>
  <si>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</si>
  <si>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</si>
  <si>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</si>
  <si>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</si>
  <si>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</si>
  <si>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</si>
  <si>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</si>
  <si>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</si>
  <si>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</si>
  <si>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</si>
  <si>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</si>
  <si>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</si>
  <si>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</si>
  <si>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</si>
  <si>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</si>
  <si>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</si>
  <si>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</si>
  <si>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</si>
  <si>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</si>
  <si>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</si>
  <si>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</si>
  <si>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</si>
  <si>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</si>
  <si>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</si>
  <si>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</si>
  <si>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</si>
  <si>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</si>
  <si>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</si>
  <si>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</si>
  <si>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</si>
  <si>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</si>
  <si>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</si>
  <si>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</si>
  <si>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</si>
  <si>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</si>
  <si>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</si>
  <si>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</si>
  <si>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</si>
  <si>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</si>
  <si>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</si>
  <si>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</si>
  <si>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</si>
  <si>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</si>
  <si>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</si>
  <si>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</si>
  <si>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</si>
  <si>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</si>
  <si>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</si>
  <si>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</si>
  <si>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</si>
  <si>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</si>
  <si>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</si>
  <si>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</si>
  <si>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</si>
  <si>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</si>
  <si>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</si>
  <si>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</si>
  <si>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</si>
  <si>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</si>
  <si>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</si>
  <si>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</si>
  <si>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</si>
  <si>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</si>
  <si>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</si>
  <si>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</si>
  <si>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</si>
  <si>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</si>
  <si>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</si>
  <si>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</si>
  <si>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</si>
  <si>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</si>
  <si>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</si>
  <si>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</si>
  <si>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</si>
  <si>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</si>
  <si>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</si>
  <si>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</si>
  <si>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</si>
  <si>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</si>
  <si>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</si>
  <si>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</si>
  <si>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</si>
  <si>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</si>
  <si>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</si>
  <si>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</si>
  <si>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</si>
  <si>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</si>
  <si>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</si>
  <si>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</si>
  <si>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</si>
  <si>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</si>
  <si>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</si>
  <si>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</si>
  <si>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</si>
  <si>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</si>
  <si>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</si>
  <si>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</si>
  <si>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</si>
  <si>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</si>
  <si>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</si>
  <si>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</si>
  <si>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</si>
  <si>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</si>
  <si>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</si>
  <si>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</si>
  <si>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</si>
  <si>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</si>
  <si>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</si>
  <si>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</si>
  <si>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</si>
  <si>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</si>
  <si>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</si>
  <si>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</si>
  <si>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</si>
  <si>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</si>
  <si>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</si>
  <si>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</si>
  <si>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</si>
  <si>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</si>
  <si>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</si>
  <si>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</si>
  <si>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</si>
  <si>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</si>
  <si>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</si>
  <si>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</si>
  <si>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</si>
  <si>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</si>
  <si>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</si>
  <si>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</si>
  <si>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</si>
  <si>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</si>
  <si>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</si>
  <si>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</si>
  <si>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</si>
  <si>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</si>
  <si>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</si>
  <si>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</si>
  <si>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</si>
  <si>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</si>
  <si>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</si>
  <si>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</si>
  <si>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</si>
  <si>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</si>
  <si>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</si>
  <si>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</si>
  <si>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</si>
  <si>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</si>
  <si>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</si>
  <si>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</si>
  <si>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</si>
  <si>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</si>
  <si>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</si>
  <si>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</si>
  <si>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</si>
  <si>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</si>
  <si>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</si>
  <si>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</si>
  <si>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</si>
  <si>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</si>
  <si>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</si>
  <si>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</si>
  <si>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</si>
  <si>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</si>
  <si>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</si>
  <si>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</si>
  <si>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</si>
  <si>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</si>
  <si>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</si>
  <si>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</si>
  <si>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</si>
  <si>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</si>
  <si>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</si>
  <si>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</si>
  <si>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</si>
  <si>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</si>
  <si>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</si>
  <si>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</si>
  <si>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</si>
  <si>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</si>
  <si>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</si>
  <si>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</si>
  <si>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</si>
  <si>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</si>
  <si>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</si>
  <si>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</si>
  <si>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</si>
  <si>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</si>
  <si>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</si>
  <si>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</si>
  <si>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</si>
  <si>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</si>
  <si>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</si>
  <si>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</si>
  <si>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</si>
  <si>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</si>
  <si>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</si>
  <si>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</si>
  <si>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</si>
  <si>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</si>
  <si>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</si>
  <si>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</si>
  <si>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</si>
  <si>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</si>
  <si>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</si>
  <si>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</si>
  <si>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</si>
  <si>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</si>
  <si>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</si>
  <si>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</si>
  <si>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</si>
  <si>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</si>
  <si>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</si>
  <si>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</si>
  <si>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</si>
  <si>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</si>
  <si>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</si>
  <si>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</si>
  <si>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</si>
  <si>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</si>
  <si>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</si>
  <si>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</si>
  <si>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</si>
  <si>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</si>
  <si>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</si>
  <si>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</si>
  <si>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</si>
  <si>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</si>
  <si>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</si>
  <si>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</si>
  <si>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</si>
  <si>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</si>
  <si>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</si>
  <si>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</si>
  <si>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</si>
  <si>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</si>
  <si>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</si>
  <si>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</si>
  <si>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</si>
  <si>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</si>
  <si>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</si>
  <si>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</si>
  <si>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</si>
  <si>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</si>
  <si>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</si>
  <si>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</si>
  <si>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</si>
  <si>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</si>
  <si>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</si>
  <si>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</si>
  <si>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</si>
  <si>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</si>
  <si>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</si>
  <si>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</si>
  <si>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</si>
  <si>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</si>
  <si>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</si>
  <si>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</si>
  <si>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</si>
  <si>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</si>
  <si>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</si>
  <si>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</si>
  <si>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</si>
  <si>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</si>
  <si>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</si>
  <si>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</si>
  <si>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</si>
  <si>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</si>
  <si>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</si>
  <si>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</si>
  <si>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</si>
  <si>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</si>
  <si>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</si>
  <si>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</si>
  <si>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</si>
  <si>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</si>
  <si>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</si>
  <si>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</si>
  <si>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</si>
  <si>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</si>
  <si>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</si>
  <si>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</si>
  <si>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</si>
  <si>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</si>
  <si>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</si>
  <si>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</si>
  <si>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</si>
  <si>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</si>
  <si>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</si>
  <si>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</si>
  <si>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</si>
  <si>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</si>
  <si>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</si>
  <si>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</si>
  <si>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</si>
  <si>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</si>
  <si>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</si>
  <si>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</si>
  <si>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</si>
  <si>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</si>
  <si>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</si>
  <si>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</si>
  <si>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</si>
  <si>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</si>
  <si>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</si>
  <si>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</si>
  <si>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</si>
  <si>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</si>
  <si>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</si>
  <si>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</si>
  <si>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</si>
  <si>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</si>
  <si>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</si>
  <si>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</si>
  <si>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</si>
  <si>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</si>
  <si>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</si>
  <si>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</si>
  <si>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</si>
  <si>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</si>
  <si>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</si>
  <si>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</si>
  <si>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</si>
  <si>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</si>
  <si>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</si>
  <si>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</si>
  <si>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</si>
  <si>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</si>
  <si>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</si>
  <si>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</si>
  <si>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</si>
  <si>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</si>
  <si>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</si>
  <si>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</si>
  <si>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</si>
  <si>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</si>
  <si>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</si>
  <si>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</si>
  <si>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</si>
  <si>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</si>
  <si>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</si>
  <si>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</si>
  <si>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</si>
  <si>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</si>
  <si>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</si>
  <si>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</si>
  <si>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</si>
  <si>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</si>
  <si>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</si>
  <si>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</si>
  <si>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</si>
  <si>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</si>
  <si>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</si>
  <si>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</si>
  <si>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</si>
  <si>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</si>
  <si>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</si>
  <si>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</si>
  <si>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</si>
  <si>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</si>
  <si>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</si>
  <si>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</si>
  <si>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</si>
  <si>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</si>
  <si>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</si>
  <si>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</si>
  <si>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</si>
  <si>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</si>
  <si>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</si>
  <si>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</si>
  <si>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</si>
  <si>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</si>
  <si>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</si>
  <si>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</si>
  <si>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</si>
  <si>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</si>
  <si>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</si>
  <si>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</si>
  <si>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</si>
  <si>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</si>
  <si>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</si>
  <si>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</si>
  <si>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</si>
  <si>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</si>
  <si>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</si>
  <si>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</si>
  <si>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</si>
  <si>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</si>
  <si>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</si>
  <si>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</si>
  <si>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</si>
  <si>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</si>
  <si>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</si>
  <si>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</si>
  <si>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</si>
  <si>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</si>
  <si>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</si>
  <si>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</si>
  <si>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</si>
  <si>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</si>
  <si>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</si>
  <si>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</si>
  <si>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</si>
  <si>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</si>
  <si>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</si>
  <si>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</si>
  <si>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</si>
  <si>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</si>
  <si>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</si>
  <si>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</si>
  <si>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</si>
  <si>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</si>
  <si>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</si>
  <si>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</si>
  <si>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</si>
  <si>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</si>
  <si>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</si>
  <si>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</si>
  <si>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</si>
  <si>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</si>
  <si>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</si>
  <si>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</si>
  <si>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</si>
  <si>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</si>
  <si>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</si>
  <si>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</si>
  <si>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</si>
  <si>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</si>
  <si>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</si>
  <si>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</si>
  <si>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</si>
  <si>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</si>
  <si>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</si>
  <si>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</si>
  <si>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</si>
  <si>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</si>
  <si>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</si>
  <si>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</si>
  <si>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</si>
  <si>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</si>
  <si>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</si>
  <si>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</si>
  <si>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</si>
  <si>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</si>
  <si>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</si>
  <si>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</si>
  <si>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</si>
  <si>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</si>
  <si>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</si>
  <si>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</si>
  <si>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</si>
  <si>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</si>
  <si>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</si>
  <si>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</si>
  <si>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</si>
  <si>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</si>
  <si>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</si>
  <si>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</si>
  <si>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</si>
  <si>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</si>
  <si>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</si>
  <si>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</si>
  <si>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</si>
  <si>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</si>
  <si>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</si>
  <si>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</si>
  <si>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</si>
  <si>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</si>
  <si>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</si>
  <si>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</si>
  <si>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</si>
  <si>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</si>
  <si>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</si>
  <si>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</si>
  <si>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</si>
  <si>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</si>
  <si>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</si>
  <si>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</si>
  <si>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</si>
  <si>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</si>
  <si>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</si>
  <si>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</si>
  <si>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</si>
  <si>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</si>
  <si>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</si>
  <si>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</si>
  <si>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</si>
  <si>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</si>
  <si>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</si>
  <si>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</si>
  <si>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</si>
  <si>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</si>
  <si>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</si>
  <si>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</si>
  <si>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</si>
  <si>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</si>
  <si>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</si>
  <si>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</si>
  <si>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</si>
  <si>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</si>
  <si>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</si>
  <si>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</si>
  <si>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</si>
  <si>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</si>
  <si>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</si>
  <si>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</si>
  <si>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</si>
  <si>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</si>
  <si>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</si>
  <si>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</si>
  <si>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</si>
  <si>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</si>
  <si>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</si>
  <si>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</si>
  <si>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</si>
  <si>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</si>
  <si>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</si>
  <si>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</si>
  <si>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</si>
  <si>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</si>
  <si>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</si>
  <si>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</si>
  <si>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</si>
  <si>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</si>
  <si>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</si>
  <si>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</si>
  <si>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</si>
  <si>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</si>
  <si>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</si>
  <si>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</si>
  <si>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</si>
  <si>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</si>
  <si>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</si>
  <si>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</si>
  <si>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</si>
  <si>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</si>
  <si>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</si>
  <si>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</si>
  <si>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</si>
  <si>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</si>
  <si>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</si>
  <si>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</si>
  <si>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</si>
  <si>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</si>
  <si>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</si>
  <si>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</si>
  <si>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</si>
  <si>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</si>
  <si>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</si>
  <si>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</si>
  <si>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</si>
  <si>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</si>
  <si>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</si>
  <si>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</si>
  <si>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</si>
  <si>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</si>
  <si>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</si>
  <si>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</si>
  <si>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</si>
  <si>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</si>
  <si>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</si>
  <si>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</si>
  <si>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</si>
  <si>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</si>
  <si>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</si>
  <si>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</si>
  <si>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</si>
  <si>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</si>
  <si>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</si>
  <si>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</si>
  <si>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</si>
  <si>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</si>
  <si>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</si>
  <si>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</si>
  <si>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</si>
  <si>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</si>
  <si>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</si>
  <si>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</si>
  <si>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</si>
  <si>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</si>
  <si>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</si>
  <si>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</si>
  <si>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</si>
  <si>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</si>
  <si>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</si>
  <si>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</si>
  <si>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</si>
  <si>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</si>
  <si>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</si>
  <si>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</si>
  <si>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</si>
  <si>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</si>
  <si>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</si>
  <si>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</si>
  <si>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</si>
  <si>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</si>
  <si>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</si>
  <si>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</si>
  <si>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</si>
  <si>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</si>
  <si>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</si>
  <si>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</si>
  <si>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</si>
  <si>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</si>
  <si>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</si>
  <si>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</si>
  <si>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</si>
  <si>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</si>
  <si>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</si>
  <si>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</si>
  <si>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</si>
  <si>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</si>
  <si>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</si>
  <si>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</si>
  <si>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</si>
  <si>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</si>
  <si>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</si>
  <si>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</si>
  <si>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</si>
  <si>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</si>
  <si>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</si>
  <si>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</si>
  <si>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</si>
  <si>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</si>
  <si>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</si>
  <si>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</si>
  <si>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</si>
  <si>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</si>
  <si>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</si>
  <si>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</si>
  <si>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</si>
  <si>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</si>
  <si>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</si>
  <si>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</si>
  <si>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</si>
  <si>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</si>
  <si>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</si>
  <si>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</si>
  <si>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</si>
  <si>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</si>
  <si>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</si>
  <si>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</si>
  <si>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</si>
  <si>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</si>
  <si>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</si>
  <si>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</si>
  <si>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</si>
  <si>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</si>
  <si>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</si>
  <si>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</si>
  <si>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</si>
  <si>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</si>
  <si>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</si>
  <si>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</si>
  <si>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</si>
  <si>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</si>
  <si>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</si>
  <si>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</si>
  <si>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</si>
  <si>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</si>
  <si>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</si>
  <si>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</si>
  <si>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</si>
  <si>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</si>
  <si>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</si>
  <si>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</si>
  <si>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</si>
  <si>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</si>
  <si>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</si>
  <si>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</si>
  <si>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</si>
  <si>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</si>
  <si>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</si>
  <si>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</si>
  <si>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</si>
  <si>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</si>
  <si>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</si>
  <si>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</si>
  <si>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</si>
  <si>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</si>
  <si>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</si>
  <si>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</si>
  <si>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</si>
  <si>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</si>
  <si>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</si>
  <si>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</si>
  <si>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</si>
  <si>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</si>
  <si>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</si>
  <si>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</si>
  <si>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</si>
  <si>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</si>
  <si>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</si>
  <si>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</si>
  <si>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</si>
  <si>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</si>
  <si>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</si>
  <si>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</si>
  <si>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</si>
  <si>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</si>
  <si>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</si>
  <si>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</si>
  <si>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</si>
  <si>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</si>
  <si>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</si>
  <si>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</si>
  <si>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</si>
  <si>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</si>
  <si>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</si>
  <si>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</si>
  <si>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</si>
  <si>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</si>
  <si>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</si>
  <si>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</si>
  <si>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</si>
  <si>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</si>
  <si>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</si>
  <si>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</si>
  <si>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</si>
  <si>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</si>
  <si>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</si>
  <si>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</si>
  <si>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</si>
  <si>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</si>
  <si>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</si>
  <si>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</si>
  <si>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</si>
  <si>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</si>
  <si>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</si>
  <si>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</si>
  <si>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</si>
  <si>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</si>
  <si>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</si>
  <si>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</si>
  <si>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</si>
  <si>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</si>
  <si>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</si>
  <si>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</si>
  <si>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</si>
  <si>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</si>
  <si>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</si>
  <si>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</si>
  <si>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</si>
  <si>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</si>
  <si>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</si>
  <si>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</si>
  <si>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</si>
  <si>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</si>
  <si>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</si>
  <si>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</si>
  <si>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</si>
  <si>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</si>
  <si>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</si>
  <si>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</si>
  <si>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</si>
  <si>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</si>
  <si>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</si>
  <si>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</si>
  <si>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</si>
  <si>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</si>
  <si>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</si>
  <si>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</si>
  <si>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</si>
  <si>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</si>
  <si>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</si>
  <si>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</si>
  <si>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</si>
  <si>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</si>
  <si>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</si>
  <si>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</si>
  <si>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</si>
  <si>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</si>
  <si>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</si>
  <si>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</si>
  <si>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</si>
  <si>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</si>
  <si>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</si>
  <si>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</si>
  <si>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</si>
  <si>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</si>
  <si>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</si>
  <si>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</si>
  <si>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</si>
  <si>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</si>
  <si>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</si>
  <si>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</si>
  <si>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</si>
  <si>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</si>
  <si>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</si>
  <si>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</si>
  <si>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</si>
  <si>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</si>
  <si>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</si>
  <si>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</si>
  <si>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</si>
  <si>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</si>
  <si>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</si>
  <si>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</si>
  <si>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</si>
  <si>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</si>
  <si>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</si>
  <si>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</si>
  <si>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</si>
  <si>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</si>
  <si>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</si>
  <si>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</si>
  <si>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</si>
  <si>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</si>
  <si>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</si>
  <si>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</si>
  <si>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</si>
  <si>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</si>
  <si>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</si>
  <si>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</si>
  <si>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</si>
  <si>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</si>
  <si>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</si>
  <si>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</si>
  <si>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</si>
  <si>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</si>
  <si>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</si>
  <si>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</si>
  <si>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</si>
  <si>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</si>
  <si>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</si>
  <si>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</si>
  <si>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</si>
  <si>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</si>
  <si>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</si>
  <si>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</si>
  <si>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</si>
  <si>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</si>
  <si>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</si>
  <si>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</si>
  <si>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</si>
  <si>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</si>
  <si>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</si>
  <si>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</si>
  <si>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</si>
  <si>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</si>
  <si>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</si>
  <si>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</si>
  <si>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</si>
  <si>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</si>
  <si>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</si>
  <si>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</si>
  <si>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</si>
  <si>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</si>
  <si>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</si>
  <si>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</si>
  <si>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</si>
  <si>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</si>
  <si>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</si>
  <si>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</si>
  <si>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</si>
  <si>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</si>
  <si>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</si>
  <si>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</si>
  <si>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</si>
  <si>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</si>
  <si>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</si>
  <si>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</si>
  <si>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</si>
  <si>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</si>
  <si>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</si>
  <si>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</si>
  <si>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</si>
  <si>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</si>
  <si>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</si>
  <si>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</si>
  <si>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</si>
  <si>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</si>
  <si>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</si>
  <si>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</si>
  <si>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</si>
  <si>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</si>
  <si>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</si>
  <si>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</si>
  <si>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</si>
  <si>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</si>
  <si>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</si>
  <si>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</si>
  <si>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</si>
  <si>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</si>
  <si>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</si>
  <si>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</si>
  <si>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</si>
  <si>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</si>
  <si>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</si>
  <si>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</si>
  <si>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</si>
  <si>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</si>
  <si>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</si>
  <si>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</si>
  <si>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</si>
  <si>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</si>
  <si>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</si>
  <si>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</si>
  <si>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</si>
  <si>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</si>
  <si>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</si>
  <si>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</si>
  <si>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</si>
  <si>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</si>
  <si>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</si>
  <si>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</si>
  <si>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</si>
  <si>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</si>
  <si>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</si>
  <si>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</si>
  <si>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</si>
  <si>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</si>
  <si>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</si>
  <si>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</si>
  <si>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</si>
  <si>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</si>
  <si>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</si>
  <si>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</si>
  <si>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</si>
  <si>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</si>
  <si>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</si>
  <si>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</si>
  <si>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</si>
  <si>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</si>
  <si>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</si>
  <si>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</si>
  <si>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</si>
  <si>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</si>
  <si>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</si>
  <si>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</si>
  <si>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</si>
  <si>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</si>
  <si>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</si>
  <si>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</si>
  <si>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</si>
  <si>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</si>
  <si>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</si>
  <si>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</si>
  <si>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</si>
  <si>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</si>
  <si>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</si>
  <si>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</si>
  <si>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</si>
  <si>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</si>
  <si>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</si>
  <si>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</si>
  <si>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</si>
  <si>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</si>
  <si>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</si>
  <si>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</si>
  <si>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</si>
  <si>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</si>
  <si>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</si>
  <si>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</si>
  <si>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</si>
  <si>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</si>
  <si>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</si>
  <si>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</si>
  <si>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</si>
  <si>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</si>
  <si>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</si>
  <si>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</si>
  <si>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</si>
  <si>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</si>
  <si>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</si>
  <si>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</si>
  <si>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</si>
  <si>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</si>
  <si>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</si>
  <si>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</si>
  <si>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</si>
  <si>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</si>
  <si>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</si>
  <si>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</si>
  <si>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</si>
  <si>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</si>
  <si>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</si>
  <si>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</si>
  <si>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</si>
  <si>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</si>
  <si>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</si>
  <si>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</si>
  <si>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</si>
  <si>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</si>
  <si>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</si>
  <si>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</si>
  <si>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</si>
  <si>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</si>
  <si>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</si>
  <si>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</si>
  <si>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</si>
  <si>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</si>
  <si>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</si>
  <si>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</si>
  <si>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</si>
  <si>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</si>
  <si>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</si>
  <si>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</si>
  <si>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</si>
  <si>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</si>
  <si>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</si>
  <si>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</si>
  <si>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</si>
  <si>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</si>
  <si>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</si>
  <si>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</si>
  <si>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</si>
  <si>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</si>
  <si>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</si>
  <si>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</si>
  <si>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</si>
  <si>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</si>
  <si>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</si>
  <si>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</si>
  <si>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</si>
  <si>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</si>
  <si>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</si>
  <si>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</si>
  <si>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</si>
  <si>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</si>
  <si>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</si>
  <si>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</si>
  <si>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</si>
  <si>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</si>
  <si>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</si>
  <si>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</si>
  <si>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</si>
  <si>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</si>
  <si>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</si>
  <si>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</si>
  <si>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</si>
  <si>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</si>
  <si>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</si>
  <si>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</si>
  <si>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</si>
  <si>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</si>
  <si>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</si>
  <si>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</si>
  <si>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</si>
  <si>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</si>
  <si>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</si>
  <si>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</si>
  <si>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</si>
  <si>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</si>
  <si>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</si>
  <si>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</si>
  <si>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</si>
  <si>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</si>
  <si>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</si>
  <si>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</si>
  <si>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</si>
  <si>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</si>
  <si>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</si>
  <si>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</si>
  <si>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</si>
  <si>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</si>
  <si>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</si>
  <si>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</si>
  <si>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</si>
  <si>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</si>
  <si>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</si>
  <si>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</si>
  <si>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</si>
  <si>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</si>
  <si>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</si>
  <si>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</si>
  <si>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</si>
  <si>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</si>
  <si>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</si>
  <si>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</si>
  <si>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</si>
  <si>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</si>
  <si>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</si>
  <si>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</si>
  <si>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</si>
  <si>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</si>
  <si>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</si>
  <si>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</si>
  <si>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</si>
  <si>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</si>
  <si>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</si>
  <si>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</si>
  <si>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</si>
  <si>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</si>
  <si>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</si>
  <si>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</si>
  <si>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</si>
  <si>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</si>
  <si>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</si>
  <si>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</si>
  <si>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</si>
  <si>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</si>
  <si>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</si>
  <si>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</si>
  <si>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</si>
  <si>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</si>
  <si>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</si>
  <si>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</si>
  <si>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</si>
  <si>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</si>
  <si>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</si>
  <si>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</si>
  <si>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</si>
  <si>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</si>
  <si>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</si>
  <si>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</si>
  <si>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</si>
  <si>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</si>
  <si>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</si>
  <si>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</si>
  <si>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</si>
  <si>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</si>
  <si>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</si>
  <si>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</si>
  <si>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</si>
  <si>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</si>
  <si>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</si>
  <si>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</si>
  <si>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</si>
  <si>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</si>
  <si>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</si>
  <si>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</si>
  <si>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</si>
  <si>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</si>
  <si>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</si>
  <si>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</si>
  <si>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</si>
  <si>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</si>
  <si>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</si>
  <si>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</si>
  <si>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</si>
  <si>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</si>
  <si>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</si>
  <si>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</si>
  <si>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</si>
  <si>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</si>
  <si>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</si>
  <si>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</si>
  <si>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</si>
  <si>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</si>
  <si>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</si>
  <si>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</si>
  <si>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</si>
  <si>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</si>
  <si>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</si>
  <si>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</si>
  <si>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</si>
  <si>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</si>
  <si>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</si>
  <si>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</si>
  <si>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</si>
  <si>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</si>
  <si>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</si>
  <si>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</si>
  <si>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</si>
  <si>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</si>
  <si>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</si>
  <si>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</si>
  <si>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</si>
  <si>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</si>
  <si>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</si>
  <si>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</si>
  <si>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</si>
  <si>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</si>
  <si>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</si>
  <si>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</si>
  <si>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</si>
  <si>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</si>
  <si>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</si>
  <si>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</si>
  <si>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</si>
  <si>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</si>
  <si>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</si>
  <si>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</si>
  <si>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</si>
  <si>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</si>
  <si>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</si>
  <si>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</si>
  <si>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</si>
  <si>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</si>
  <si>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</si>
  <si>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</si>
  <si>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</si>
  <si>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</si>
  <si>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</si>
  <si>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</si>
  <si>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</si>
  <si>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</si>
  <si>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</si>
  <si>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</si>
  <si>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</si>
  <si>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</si>
  <si>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</si>
  <si>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</si>
  <si>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</si>
  <si>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</si>
  <si>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</si>
  <si>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</si>
  <si>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</si>
  <si>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</si>
  <si>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</si>
  <si>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</si>
  <si>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</si>
  <si>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</si>
  <si>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</si>
  <si>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</si>
  <si>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</si>
  <si>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</si>
  <si>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</si>
  <si>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</si>
  <si>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</si>
  <si>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</si>
  <si>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</si>
  <si>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</si>
  <si>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</si>
  <si>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</si>
  <si>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</si>
  <si>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</si>
  <si>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</si>
  <si>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</si>
  <si>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</si>
  <si>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</si>
  <si>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</si>
  <si>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</si>
  <si>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</si>
  <si>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</si>
  <si>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</si>
  <si>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</si>
  <si>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</si>
  <si>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</si>
  <si>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</si>
  <si>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</si>
  <si>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</si>
  <si>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</si>
  <si>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</si>
  <si>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</si>
  <si>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</si>
  <si>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</si>
  <si>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</si>
  <si>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</si>
  <si>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</si>
  <si>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</si>
  <si>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</si>
  <si>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</si>
  <si>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</si>
  <si>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</si>
  <si>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</si>
  <si>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</si>
  <si>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</si>
  <si>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</si>
  <si>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</si>
  <si>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</si>
  <si>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</si>
  <si>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</si>
  <si>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</si>
  <si>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</si>
  <si>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</si>
  <si>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</si>
  <si>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</si>
  <si>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</si>
  <si>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</si>
  <si>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</si>
  <si>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</si>
  <si>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</si>
  <si>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</si>
  <si>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</si>
  <si>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</si>
  <si>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</si>
  <si>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</si>
  <si>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</si>
  <si>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</si>
  <si>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</si>
  <si>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</si>
  <si>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</si>
  <si>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</si>
  <si>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</si>
  <si>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</si>
  <si>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</si>
  <si>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</si>
  <si>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</si>
  <si>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</si>
  <si>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</si>
  <si>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</si>
  <si>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</si>
  <si>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</si>
  <si>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</si>
  <si>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</si>
  <si>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</si>
  <si>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</si>
  <si>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</si>
  <si>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</si>
  <si>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</si>
  <si>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</si>
  <si>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</si>
  <si>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</si>
  <si>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</si>
  <si>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</si>
  <si>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</si>
  <si>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</si>
  <si>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</si>
  <si>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</si>
  <si>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</si>
  <si>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</si>
  <si>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</si>
  <si>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</si>
  <si>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</si>
  <si>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</si>
  <si>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</si>
  <si>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</si>
  <si>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</si>
  <si>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</si>
  <si>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</si>
  <si>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</si>
  <si>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</si>
  <si>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</si>
  <si>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</si>
  <si>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</si>
  <si>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</si>
  <si>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</si>
  <si>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</si>
  <si>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</si>
  <si>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</si>
  <si>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</si>
  <si>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</si>
  <si>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</si>
  <si>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</si>
  <si>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</si>
  <si>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</si>
  <si>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</si>
  <si>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</si>
  <si>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</si>
  <si>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</si>
  <si>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</si>
  <si>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</si>
  <si>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</si>
  <si>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</si>
  <si>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</si>
  <si>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</si>
  <si>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</si>
  <si>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</si>
  <si>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</si>
  <si>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</si>
  <si>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</si>
  <si>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</si>
  <si>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</si>
  <si>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</si>
  <si>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</si>
  <si>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</si>
  <si>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</si>
  <si>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</si>
  <si>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</si>
  <si>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</si>
  <si>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</si>
  <si>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</si>
  <si>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</si>
  <si>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</si>
  <si>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</si>
  <si>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</si>
  <si>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</si>
  <si>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</si>
  <si>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</si>
  <si>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</si>
  <si>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</si>
  <si>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</si>
  <si>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</si>
  <si>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</si>
  <si>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</si>
  <si>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</si>
  <si>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</si>
  <si>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</si>
  <si>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</si>
  <si>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</si>
  <si>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</si>
  <si>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</si>
  <si>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</si>
  <si>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</si>
  <si>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</si>
  <si>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</si>
  <si>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</si>
  <si>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</si>
  <si>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</si>
  <si>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</si>
  <si>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</si>
  <si>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</si>
  <si>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</si>
  <si>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</si>
  <si>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</si>
  <si>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</si>
  <si>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</si>
  <si>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</si>
  <si>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</si>
  <si>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</si>
  <si>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</si>
  <si>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</si>
  <si>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</si>
  <si>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</si>
  <si>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</si>
  <si>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</si>
  <si>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</si>
  <si>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</si>
  <si>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</si>
  <si>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</si>
  <si>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</si>
  <si>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</si>
  <si>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</si>
  <si>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</si>
  <si>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</si>
  <si>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</si>
  <si>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</si>
  <si>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</si>
  <si>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</si>
  <si>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</si>
  <si>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</si>
  <si>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</si>
  <si>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</si>
  <si>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</si>
  <si>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</si>
  <si>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</si>
  <si>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</si>
  <si>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</si>
  <si>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</si>
  <si>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</si>
  <si>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</si>
  <si>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</si>
  <si>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</si>
  <si>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</si>
  <si>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</si>
  <si>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</si>
  <si>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</si>
  <si>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</si>
  <si>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</si>
  <si>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</si>
  <si>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</si>
  <si>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</si>
  <si>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</si>
  <si>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</si>
  <si>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</si>
  <si>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</si>
  <si>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</si>
  <si>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</si>
  <si>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</si>
  <si>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</si>
  <si>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</si>
  <si>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</si>
  <si>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</si>
  <si>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</si>
  <si>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</si>
  <si>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</si>
  <si>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</si>
  <si>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</si>
  <si>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</si>
  <si>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</si>
  <si>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</si>
  <si>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</si>
  <si>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</si>
  <si>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</si>
  <si>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</si>
  <si>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</si>
  <si>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</si>
  <si>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</si>
  <si>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</si>
  <si>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</si>
  <si>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</si>
  <si>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</si>
  <si>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</si>
  <si>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</si>
  <si>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</si>
  <si>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</si>
  <si>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</si>
  <si>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</si>
  <si>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</si>
  <si>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</si>
  <si>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</si>
  <si>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</si>
  <si>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</si>
  <si>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</si>
  <si>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</si>
  <si>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</si>
  <si>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</si>
  <si>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</si>
  <si>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</si>
  <si>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</si>
  <si>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</si>
  <si>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</si>
  <si>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</si>
  <si>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</si>
  <si>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</si>
  <si>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</si>
  <si>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</si>
  <si>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</si>
  <si>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</si>
  <si>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</si>
  <si>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</si>
  <si>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</si>
  <si>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</si>
  <si>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</si>
  <si>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</si>
  <si>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</si>
  <si>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</si>
  <si>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</si>
  <si>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</si>
  <si>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</si>
  <si>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</si>
  <si>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</si>
  <si>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</si>
  <si>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</si>
  <si>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</si>
  <si>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</si>
  <si>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</si>
  <si>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</si>
  <si>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</si>
  <si>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</si>
  <si>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</si>
  <si>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</si>
  <si>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</si>
  <si>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</si>
  <si>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</si>
  <si>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</si>
  <si>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</si>
  <si>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</si>
  <si>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</si>
  <si>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</si>
  <si>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</si>
  <si>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</si>
  <si>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</si>
  <si>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</si>
  <si>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</si>
  <si>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</si>
  <si>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</si>
  <si>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</si>
  <si>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</si>
  <si>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</si>
  <si>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</si>
  <si>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</si>
  <si>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</si>
  <si>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</si>
  <si>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</si>
  <si>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</si>
  <si>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</si>
  <si>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</si>
  <si>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</si>
  <si>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</si>
  <si>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</si>
  <si>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</si>
  <si>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</si>
  <si>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</si>
  <si>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</si>
  <si>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</si>
  <si>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</si>
  <si>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</si>
  <si>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</si>
  <si>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</si>
  <si>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</si>
  <si>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</si>
  <si>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</si>
  <si>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</si>
  <si>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</si>
  <si>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</si>
  <si>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</si>
  <si>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</si>
  <si>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</si>
  <si>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</si>
  <si>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</si>
  <si>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</si>
  <si>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</si>
  <si>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</si>
  <si>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</si>
  <si>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</si>
  <si>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</si>
  <si>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</si>
  <si>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</si>
  <si>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</si>
  <si>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</si>
  <si>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</si>
  <si>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</si>
  <si>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</si>
  <si>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</si>
  <si>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</si>
  <si>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</si>
  <si>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</si>
  <si>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</si>
  <si>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</si>
  <si>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</si>
  <si>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</si>
  <si>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</si>
  <si>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</si>
  <si>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</si>
  <si>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</si>
  <si>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</si>
  <si>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</si>
  <si>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</si>
  <si>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</si>
  <si>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</si>
  <si>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</si>
  <si>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</si>
  <si>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</si>
  <si>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</si>
  <si>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</si>
  <si>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</si>
  <si>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</si>
  <si>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</si>
  <si>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</si>
  <si>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</si>
  <si>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</si>
  <si>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</si>
  <si>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</si>
  <si>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</si>
  <si>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</si>
  <si>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</si>
  <si>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</si>
  <si>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</si>
  <si>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</si>
  <si>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</si>
  <si>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</si>
  <si>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</si>
  <si>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</si>
  <si>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</si>
  <si>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</si>
  <si>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</si>
  <si>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</si>
  <si>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</si>
  <si>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</si>
  <si>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</si>
  <si>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</si>
  <si>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</si>
  <si>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</si>
  <si>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</si>
  <si>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</si>
  <si>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</si>
  <si>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</si>
  <si>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</si>
  <si>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</si>
  <si>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</si>
  <si>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</si>
  <si>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</si>
  <si>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</si>
  <si>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</si>
  <si>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</si>
  <si>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</si>
  <si>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</si>
  <si>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</si>
  <si>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</si>
  <si>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</si>
  <si>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</si>
  <si>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</si>
  <si>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</si>
  <si>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</si>
  <si>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</si>
  <si>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</si>
  <si>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</si>
  <si>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</si>
  <si>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</si>
  <si>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</si>
  <si>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</si>
  <si>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</si>
  <si>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</si>
  <si>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</si>
  <si>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</si>
  <si>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</si>
  <si>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</si>
  <si>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</si>
  <si>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</si>
  <si>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</si>
  <si>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</si>
  <si>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</si>
  <si>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</si>
  <si>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</si>
  <si>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</si>
  <si>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</si>
  <si>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</si>
  <si>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</si>
  <si>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</si>
  <si>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</si>
  <si>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</si>
  <si>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</si>
  <si>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</si>
  <si>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</si>
  <si>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</si>
  <si>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</si>
  <si>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</si>
  <si>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</si>
  <si>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</si>
  <si>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</si>
  <si>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</si>
  <si>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</si>
  <si>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</si>
  <si>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</si>
  <si>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</si>
  <si>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</si>
  <si>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</si>
  <si>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</si>
  <si>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</si>
  <si>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</si>
  <si>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</si>
  <si>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</si>
  <si>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</si>
  <si>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</si>
  <si>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</si>
  <si>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</si>
  <si>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</si>
  <si>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</si>
  <si>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</si>
  <si>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</si>
  <si>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</si>
  <si>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</si>
  <si>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</si>
  <si>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</si>
  <si>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</si>
  <si>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</si>
  <si>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</si>
  <si>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</si>
  <si>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</si>
  <si>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</si>
  <si>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</si>
  <si>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</si>
  <si>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</si>
  <si>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</si>
  <si>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</si>
  <si>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</si>
  <si>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</si>
  <si>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</si>
  <si>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</si>
  <si>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</si>
  <si>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</si>
  <si>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</si>
  <si>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</si>
  <si>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</si>
  <si>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</si>
  <si>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</si>
  <si>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</si>
  <si>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</si>
  <si>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</si>
  <si>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</si>
  <si>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</si>
  <si>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</si>
  <si>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</si>
  <si>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</si>
  <si>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</si>
  <si>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</si>
  <si>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</si>
  <si>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</si>
  <si>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</si>
  <si>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</si>
  <si>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</si>
  <si>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</si>
  <si>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</si>
  <si>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</si>
  <si>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</si>
  <si>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</si>
  <si>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</si>
  <si>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</si>
  <si>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</si>
  <si>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</si>
  <si>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</si>
  <si>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</si>
  <si>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</si>
  <si>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</si>
  <si>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</si>
  <si>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</si>
  <si>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</si>
  <si>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</si>
  <si>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</si>
  <si>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</si>
  <si>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</si>
  <si>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</si>
  <si>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</si>
  <si>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</si>
  <si>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</si>
  <si>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</si>
  <si>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</si>
  <si>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</si>
  <si>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</si>
  <si>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</si>
  <si>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</si>
  <si>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</si>
  <si>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</si>
  <si>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</si>
  <si>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</si>
  <si>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</si>
  <si>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</si>
  <si>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</si>
  <si>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</si>
  <si>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</si>
  <si>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</si>
  <si>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</si>
  <si>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</si>
  <si>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</si>
  <si>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</si>
  <si>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</si>
  <si>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</si>
  <si>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</si>
  <si>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</si>
  <si>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</si>
  <si>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</si>
  <si>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</si>
  <si>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</si>
  <si>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</si>
  <si>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</si>
  <si>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</si>
  <si>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</si>
  <si>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</si>
  <si>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</si>
  <si>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</si>
  <si>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</si>
  <si>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</si>
  <si>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</si>
  <si>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</si>
  <si>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</si>
  <si>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</si>
  <si>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</si>
  <si>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</si>
  <si>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</si>
  <si>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</si>
  <si>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</si>
  <si>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</si>
  <si>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</si>
  <si>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</si>
  <si>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</si>
  <si>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</si>
  <si>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</si>
  <si>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</si>
  <si>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</si>
  <si>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</si>
  <si>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</si>
  <si>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</si>
  <si>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</si>
  <si>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</si>
  <si>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</si>
  <si>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</si>
  <si>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</si>
  <si>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</si>
  <si>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</si>
  <si>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</si>
  <si>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</si>
  <si>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</si>
  <si>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</si>
  <si>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</si>
  <si>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</si>
  <si>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</si>
  <si>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</si>
  <si>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</si>
  <si>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</si>
  <si>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</si>
  <si>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</si>
  <si>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</si>
  <si>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</si>
  <si>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</si>
  <si>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</si>
  <si>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</si>
  <si>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</si>
  <si>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</si>
  <si>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</si>
  <si>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</si>
  <si>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</si>
  <si>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</si>
  <si>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</si>
  <si>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</si>
  <si>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</si>
  <si>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</si>
  <si>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</si>
  <si>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</si>
  <si>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</si>
  <si>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</si>
  <si>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</si>
  <si>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</si>
  <si>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</si>
  <si>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</si>
  <si>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</si>
  <si>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</si>
  <si>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</si>
  <si>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</si>
  <si>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</si>
  <si>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</si>
  <si>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</si>
  <si>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</si>
  <si>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</si>
  <si>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</si>
  <si>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</si>
  <si>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</si>
  <si>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</si>
  <si>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</si>
  <si>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</si>
  <si>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</si>
  <si>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</si>
  <si>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</si>
  <si>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</si>
  <si>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</si>
  <si>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</si>
  <si>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</si>
  <si>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</si>
  <si>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</si>
  <si>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</si>
  <si>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</si>
  <si>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</si>
  <si>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</si>
  <si>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</si>
  <si>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</si>
  <si>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</si>
  <si>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</si>
  <si>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</si>
  <si>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</si>
  <si>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</si>
  <si>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</si>
  <si>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</si>
  <si>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</si>
  <si>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</si>
  <si>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</si>
  <si>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</si>
  <si>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</si>
  <si>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</si>
  <si>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</si>
  <si>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</si>
  <si>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</si>
  <si>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</si>
  <si>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</si>
  <si>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</si>
  <si>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</si>
  <si>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</si>
  <si>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</si>
  <si>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</si>
  <si>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</si>
  <si>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</si>
  <si>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</si>
  <si>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</si>
  <si>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</si>
  <si>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</si>
  <si>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</si>
  <si>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</si>
  <si>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</si>
  <si>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</si>
  <si>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</si>
  <si>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</si>
  <si>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</si>
  <si>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</si>
  <si>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</si>
  <si>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</si>
  <si>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</si>
  <si>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</si>
  <si>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</si>
  <si>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</si>
  <si>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</si>
  <si>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</si>
  <si>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</si>
  <si>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</si>
  <si>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</si>
  <si>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</si>
  <si>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</si>
  <si>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</si>
  <si>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</si>
  <si>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</si>
  <si>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</si>
  <si>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</si>
  <si>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</si>
  <si>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</si>
  <si>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</si>
  <si>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</si>
  <si>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</si>
  <si>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</si>
  <si>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</si>
  <si>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</si>
  <si>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</si>
  <si>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</si>
  <si>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</si>
  <si>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</si>
  <si>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</si>
  <si>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</si>
  <si>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</si>
  <si>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</si>
  <si>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</si>
  <si>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</si>
  <si>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</si>
  <si>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</si>
  <si>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</si>
  <si>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</si>
  <si>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</si>
  <si>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</si>
  <si>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</si>
  <si>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</si>
  <si>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</si>
  <si>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</si>
  <si>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</si>
  <si>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</si>
  <si>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</si>
  <si>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</si>
  <si>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</si>
  <si>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</si>
  <si>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</si>
  <si>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</si>
  <si>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</si>
  <si>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</si>
  <si>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</si>
  <si>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</si>
  <si>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</si>
  <si>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</si>
  <si>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</si>
  <si>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</si>
  <si>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</si>
  <si>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</si>
  <si>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</si>
  <si>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</si>
  <si>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</si>
  <si>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</si>
  <si>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</si>
  <si>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</si>
  <si>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</si>
  <si>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</si>
  <si>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</si>
  <si>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</si>
  <si>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</si>
  <si>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</si>
  <si>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</si>
  <si>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</si>
  <si>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</si>
  <si>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</si>
  <si>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</si>
  <si>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</si>
  <si>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</si>
  <si>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</si>
  <si>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</si>
  <si>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</si>
  <si>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</si>
  <si>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</si>
  <si>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</si>
  <si>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</si>
  <si>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</si>
  <si>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</si>
  <si>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</si>
  <si>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</si>
  <si>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</si>
  <si>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</si>
  <si>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</si>
  <si>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</si>
  <si>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</si>
  <si>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</si>
  <si>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</si>
  <si>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</si>
  <si>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</si>
  <si>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</si>
  <si>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</si>
  <si>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</si>
  <si>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</si>
  <si>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</si>
  <si>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</si>
  <si>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</si>
  <si>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</si>
  <si>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</si>
  <si>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</si>
  <si>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</si>
  <si>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</si>
  <si>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</si>
  <si>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</si>
  <si>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</si>
  <si>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</si>
  <si>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</si>
  <si>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</si>
  <si>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</si>
  <si>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</si>
  <si>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</si>
  <si>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</si>
  <si>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</si>
  <si>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</si>
  <si>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</si>
  <si>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</si>
  <si>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</si>
  <si>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</si>
  <si>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</si>
  <si>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</si>
  <si>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</si>
  <si>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</si>
  <si>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</si>
  <si>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</si>
  <si>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</si>
  <si>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</si>
  <si>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</si>
  <si>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</si>
  <si>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</si>
  <si>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</si>
  <si>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</si>
  <si>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</si>
  <si>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</si>
  <si>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</si>
  <si>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</si>
  <si>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</si>
  <si>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</si>
  <si>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</si>
  <si>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</si>
  <si>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</si>
  <si>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</si>
  <si>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</si>
  <si>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</si>
  <si>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</si>
  <si>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</si>
  <si>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</si>
  <si>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</si>
  <si>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</si>
  <si>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</si>
  <si>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</si>
  <si>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</si>
  <si>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</si>
  <si>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</si>
  <si>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</si>
  <si>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</si>
  <si>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</si>
  <si>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</si>
  <si>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</si>
  <si>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</si>
  <si>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</si>
  <si>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</si>
  <si>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</si>
  <si>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</si>
  <si>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</si>
  <si>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</si>
  <si>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</si>
  <si>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</si>
  <si>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</si>
  <si>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</si>
  <si>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</si>
  <si>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</si>
  <si>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</si>
  <si>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</si>
  <si>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</si>
  <si>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</si>
  <si>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</si>
  <si>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</si>
  <si>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</si>
  <si>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</si>
  <si>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</si>
  <si>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</si>
  <si>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</si>
  <si>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</si>
  <si>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</si>
  <si>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</si>
  <si>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</si>
  <si>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</si>
  <si>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</si>
  <si>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</si>
  <si>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</si>
  <si>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</si>
  <si>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</si>
  <si>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</si>
  <si>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</si>
  <si>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</si>
  <si>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</si>
  <si>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</si>
  <si>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</si>
  <si>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</si>
  <si>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</si>
  <si>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</si>
  <si>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</si>
  <si>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</si>
  <si>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</si>
  <si>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</si>
  <si>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</si>
  <si>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</si>
  <si>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</si>
  <si>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</si>
  <si>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</si>
  <si>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</si>
  <si>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</si>
  <si>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</si>
  <si>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</si>
  <si>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</si>
  <si>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</si>
  <si>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</si>
  <si>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</si>
  <si>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</si>
  <si>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</si>
  <si>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</si>
  <si>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</si>
  <si>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</si>
  <si>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</si>
  <si>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</si>
  <si>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</si>
  <si>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</si>
  <si>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</si>
  <si>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</si>
  <si>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</si>
  <si>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</si>
  <si>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</si>
  <si>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</si>
  <si>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</si>
  <si>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</si>
  <si>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</si>
  <si>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</si>
  <si>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</si>
  <si>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</si>
  <si>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</si>
  <si>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</si>
  <si>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</si>
  <si>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</si>
  <si>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</si>
  <si>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</si>
  <si>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</si>
  <si>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</si>
  <si>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</si>
  <si>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</si>
  <si>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</si>
  <si>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</si>
  <si>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</si>
  <si>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</si>
  <si>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</si>
  <si>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</si>
  <si>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</si>
  <si>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</si>
  <si>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</si>
  <si>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</si>
  <si>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</si>
  <si>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</si>
  <si>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</si>
  <si>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</si>
  <si>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</si>
  <si>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</si>
  <si>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</si>
  <si>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</si>
  <si>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</si>
  <si>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</si>
  <si>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</si>
  <si>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</si>
  <si>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</si>
  <si>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</si>
  <si>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</si>
  <si>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</si>
  <si>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</si>
  <si>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</si>
  <si>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</si>
  <si>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</si>
  <si>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</si>
  <si>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</si>
  <si>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</si>
  <si>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</si>
  <si>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</si>
  <si>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</si>
  <si>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</si>
  <si>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</si>
  <si>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</si>
  <si>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</si>
  <si>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</si>
  <si>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</si>
  <si>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</si>
  <si>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</si>
  <si>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</si>
  <si>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</si>
  <si>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</si>
  <si>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</si>
  <si>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</si>
  <si>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</si>
  <si>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</si>
  <si>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</si>
  <si>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</si>
  <si>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</si>
  <si>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</si>
  <si>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</si>
  <si>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</si>
  <si>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</si>
  <si>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</si>
  <si>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</si>
  <si>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</si>
  <si>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</si>
  <si>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</si>
  <si>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</si>
  <si>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</si>
  <si>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</si>
  <si>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</si>
  <si>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</si>
  <si>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</si>
  <si>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</si>
  <si>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</si>
  <si>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</si>
  <si>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</si>
  <si>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</si>
  <si>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</si>
  <si>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</si>
  <si>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</si>
  <si>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</si>
  <si>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</si>
  <si>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</si>
  <si>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</si>
  <si>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</si>
  <si>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</si>
  <si>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</si>
  <si>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</si>
  <si>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</si>
  <si>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</si>
  <si>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</si>
  <si>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</si>
  <si>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</si>
  <si>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</si>
  <si>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</si>
  <si>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</si>
  <si>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</si>
  <si>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</si>
  <si>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</si>
  <si>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</si>
  <si>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</si>
  <si>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</si>
  <si>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</si>
  <si>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</si>
  <si>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</si>
  <si>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</si>
  <si>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</si>
  <si>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</si>
  <si>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</si>
  <si>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</si>
  <si>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</si>
  <si>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</si>
  <si>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</si>
  <si>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</si>
  <si>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</si>
  <si>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</si>
  <si>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</si>
  <si>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</si>
  <si>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</si>
  <si>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</si>
  <si>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</si>
  <si>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</si>
  <si>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</si>
  <si>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</si>
  <si>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</si>
  <si>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</si>
  <si>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</si>
  <si>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</si>
  <si>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</si>
  <si>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</si>
  <si>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</si>
  <si>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</si>
  <si>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</si>
  <si>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</si>
  <si>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</si>
  <si>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</si>
  <si>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</si>
  <si>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</si>
  <si>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</si>
  <si>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</si>
  <si>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</si>
  <si>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</si>
  <si>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</si>
  <si>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</si>
  <si>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</si>
  <si>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</si>
  <si>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</si>
  <si>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</si>
  <si>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</si>
  <si>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</si>
  <si>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</si>
  <si>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</si>
  <si>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</si>
  <si>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</si>
  <si>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</si>
  <si>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</si>
  <si>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</si>
  <si>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</si>
  <si>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</si>
  <si>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</si>
  <si>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</si>
  <si>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</si>
  <si>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</si>
  <si>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</si>
  <si>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</si>
  <si>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</si>
  <si>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</si>
  <si>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</si>
  <si>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</si>
  <si>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</si>
  <si>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</si>
  <si>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</si>
  <si>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</si>
  <si>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</si>
  <si>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</si>
  <si>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</si>
  <si>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</si>
  <si>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</si>
  <si>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</si>
  <si>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</si>
  <si>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</si>
  <si>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</si>
  <si>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</si>
  <si>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</si>
  <si>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</si>
  <si>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</si>
  <si>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</si>
  <si>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</si>
  <si>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</si>
  <si>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</si>
  <si>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</si>
  <si>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</si>
  <si>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</si>
  <si>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</si>
  <si>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</si>
  <si>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</si>
  <si>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</si>
  <si>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</si>
  <si>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</si>
  <si>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</si>
  <si>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</si>
  <si>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</si>
  <si>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</si>
  <si>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</si>
  <si>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</si>
  <si>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</si>
  <si>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</si>
  <si>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</si>
  <si>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</si>
  <si>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</si>
  <si>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</si>
  <si>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</si>
  <si>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</si>
  <si>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</si>
  <si>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</si>
  <si>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</si>
  <si>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</si>
  <si>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</si>
  <si>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</si>
  <si>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</si>
  <si>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</si>
  <si>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</si>
  <si>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</si>
  <si>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</si>
  <si>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</si>
  <si>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</si>
  <si>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</si>
  <si>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</si>
  <si>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</si>
  <si>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</si>
  <si>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</si>
  <si>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</si>
  <si>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</si>
  <si>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</si>
  <si>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</si>
  <si>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</si>
  <si>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</si>
  <si>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</si>
  <si>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</si>
  <si>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</si>
  <si>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</si>
  <si>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</si>
  <si>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</si>
  <si>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</si>
  <si>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</si>
  <si>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</si>
  <si>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</si>
  <si>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</si>
  <si>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</si>
  <si>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</si>
  <si>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</si>
  <si>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</si>
  <si>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</si>
  <si>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</si>
  <si>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</si>
  <si>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</si>
  <si>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</si>
  <si>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</si>
  <si>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</si>
  <si>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</si>
  <si>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</si>
  <si>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</si>
  <si>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</si>
  <si>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</si>
  <si>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</si>
  <si>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</si>
  <si>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</si>
  <si>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</si>
  <si>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</si>
  <si>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</si>
  <si>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</si>
  <si>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</si>
  <si>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</si>
  <si>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</si>
  <si>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</si>
  <si>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</si>
  <si>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</si>
  <si>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</si>
  <si>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</si>
  <si>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</si>
  <si>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</si>
  <si>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</si>
  <si>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</si>
  <si>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</si>
  <si>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</si>
  <si>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</si>
  <si>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</si>
  <si>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</si>
  <si>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</si>
  <si>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</si>
  <si>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</si>
  <si>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</si>
  <si>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</si>
  <si>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</si>
  <si>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</si>
  <si>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</si>
  <si>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</si>
  <si>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</si>
  <si>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</si>
  <si>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</si>
  <si>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</si>
  <si>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</si>
  <si>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</si>
  <si>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</si>
  <si>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</si>
  <si>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</si>
  <si>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</si>
  <si>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</si>
  <si>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</si>
  <si>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</si>
  <si>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</si>
  <si>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</si>
  <si>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</si>
  <si>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</si>
  <si>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</si>
  <si>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</si>
  <si>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</si>
  <si>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</si>
  <si>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</si>
  <si>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</si>
  <si>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</si>
  <si>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</si>
  <si>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</si>
  <si>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</si>
  <si>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</si>
  <si>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</si>
  <si>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</si>
  <si>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</si>
  <si>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</si>
  <si>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</si>
  <si>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</si>
  <si>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</si>
  <si>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</si>
  <si>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</si>
  <si>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</si>
  <si>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</si>
  <si>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</si>
  <si>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</si>
  <si>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</si>
  <si>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</si>
  <si>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</si>
  <si>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</si>
  <si>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</si>
  <si>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</si>
  <si>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</si>
  <si>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</si>
  <si>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</si>
  <si>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</si>
  <si>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</si>
  <si>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</si>
  <si>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</si>
  <si>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</si>
  <si>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</si>
  <si>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</si>
  <si>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</si>
  <si>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</si>
  <si>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</si>
  <si>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</si>
  <si>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</si>
  <si>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</si>
  <si>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</si>
  <si>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</si>
  <si>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</si>
  <si>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</si>
  <si>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</si>
  <si>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</si>
  <si>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</si>
  <si>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</si>
  <si>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</si>
  <si>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</si>
  <si>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</si>
  <si>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</si>
  <si>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</si>
  <si>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</si>
  <si>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</si>
  <si>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</si>
  <si>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</si>
  <si>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</si>
  <si>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</si>
  <si>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</si>
  <si>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</si>
  <si>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</si>
  <si>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</si>
  <si>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</si>
  <si>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</si>
  <si>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</si>
  <si>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</si>
  <si>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</si>
  <si>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</si>
  <si>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</si>
  <si>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</si>
  <si>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</si>
  <si>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</si>
  <si>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</si>
  <si>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</si>
  <si>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</si>
  <si>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</si>
  <si>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</si>
  <si>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</si>
  <si>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</si>
  <si>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</si>
  <si>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</si>
  <si>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</si>
  <si>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</si>
  <si>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</si>
  <si>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</si>
  <si>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</si>
  <si>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</si>
  <si>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</si>
  <si>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</si>
  <si>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</si>
  <si>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</si>
  <si>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</si>
  <si>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</si>
  <si>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</si>
  <si>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</si>
  <si>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</si>
  <si>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</si>
  <si>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</si>
  <si>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</si>
  <si>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</si>
  <si>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</si>
  <si>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</si>
  <si>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</si>
  <si>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</si>
  <si>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</si>
  <si>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</si>
  <si>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</si>
  <si>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</si>
  <si>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</si>
  <si>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</si>
  <si>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</si>
  <si>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</si>
  <si>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</si>
  <si>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</si>
  <si>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</si>
  <si>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</si>
  <si>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</si>
  <si>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</si>
  <si>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</si>
  <si>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</si>
  <si>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</si>
  <si>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</si>
  <si>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</si>
  <si>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</si>
  <si>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</si>
  <si>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</si>
  <si>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</si>
  <si>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</si>
  <si>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</si>
  <si>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</si>
  <si>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</si>
  <si>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</si>
  <si>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</si>
  <si>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</si>
  <si>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</si>
  <si>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</si>
  <si>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</si>
  <si>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</si>
  <si>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</si>
  <si>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</si>
  <si>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</si>
  <si>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</si>
  <si>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</si>
  <si>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</si>
  <si>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</si>
  <si>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</si>
  <si>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</si>
  <si>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</si>
  <si>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</si>
  <si>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</si>
  <si>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</si>
  <si>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</si>
  <si>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</si>
  <si>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</si>
  <si>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</si>
  <si>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</si>
  <si>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</si>
  <si>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</si>
  <si>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</si>
  <si>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</si>
  <si>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</si>
  <si>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</si>
  <si>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</si>
  <si>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</si>
  <si>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</si>
  <si>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</si>
  <si>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</si>
  <si>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</si>
  <si>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</si>
  <si>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</si>
  <si>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</si>
  <si>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</si>
  <si>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</si>
  <si>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</si>
  <si>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</si>
  <si>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</si>
  <si>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</si>
  <si>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</si>
  <si>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</si>
  <si>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</si>
  <si>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</si>
  <si>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</si>
  <si>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</si>
  <si>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</si>
  <si>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</si>
  <si>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</si>
  <si>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</si>
  <si>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</si>
  <si>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</si>
  <si>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</si>
  <si>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</si>
  <si>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</si>
  <si>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</si>
  <si>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</si>
  <si>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</si>
  <si>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</si>
  <si>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</si>
  <si>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</si>
  <si>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</si>
  <si>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</si>
  <si>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</si>
  <si>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</si>
  <si>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</si>
  <si>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</si>
  <si>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</si>
  <si>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</si>
  <si>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</si>
  <si>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</si>
  <si>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</si>
  <si>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</si>
  <si>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</si>
  <si>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</si>
  <si>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</si>
  <si>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</si>
  <si>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</si>
  <si>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</si>
  <si>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</si>
  <si>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</si>
  <si>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</si>
  <si>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</si>
  <si>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</si>
  <si>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</si>
  <si>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</si>
  <si>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</si>
  <si>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</si>
  <si>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</si>
  <si>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</si>
  <si>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</si>
  <si>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</si>
  <si>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</si>
  <si>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</si>
  <si>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</si>
  <si>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</si>
  <si>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</si>
  <si>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r>
      <t>50</t>
    </r>
    <r>
      <rPr>
        <sz val="11"/>
        <color theme="1"/>
        <rFont val="宋体"/>
        <family val="3"/>
        <charset val="134"/>
      </rPr>
      <t>（含）</t>
    </r>
    <r>
      <rPr>
        <sz val="11"/>
        <color theme="1"/>
        <rFont val="Arial"/>
        <family val="2"/>
      </rPr>
      <t>-100</t>
    </r>
    <phoneticPr fontId="45" type="noConversion"/>
  </si>
  <si>
    <r>
      <t>100</t>
    </r>
    <r>
      <rPr>
        <sz val="11"/>
        <color theme="1"/>
        <rFont val="宋体"/>
        <family val="3"/>
        <charset val="134"/>
      </rPr>
      <t>（含）以上</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</si>
  <si>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</si>
  <si>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</si>
  <si>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</si>
  <si>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</si>
  <si>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</si>
  <si>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</si>
  <si>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</si>
  <si>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</si>
  <si>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</si>
  <si>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</si>
  <si>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</si>
  <si>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100</t>
    </r>
    <r>
      <rPr>
        <sz val="11"/>
        <color indexed="10"/>
        <rFont val="宋体"/>
        <family val="3"/>
        <charset val="134"/>
      </rPr>
      <t>（含）以上</t>
    </r>
    <phoneticPr fontId="45" type="noConversion"/>
  </si>
  <si>
    <r>
      <t>50</t>
    </r>
    <r>
      <rPr>
        <sz val="11"/>
        <color indexed="10"/>
        <rFont val="宋体"/>
        <family val="3"/>
        <charset val="134"/>
      </rPr>
      <t>（含）</t>
    </r>
    <r>
      <rPr>
        <sz val="11"/>
        <color indexed="10"/>
        <rFont val="Arial"/>
        <family val="2"/>
      </rPr>
      <t>-100</t>
    </r>
    <phoneticPr fontId="45" type="noConversion"/>
  </si>
  <si>
    <t>租金</t>
  </si>
  <si>
    <r>
      <t>100</t>
    </r>
    <r>
      <rPr>
        <sz val="11"/>
        <color indexed="10"/>
        <rFont val="宋体"/>
        <family val="3"/>
        <charset val="134"/>
      </rPr>
      <t>（含）以上</t>
    </r>
    <phoneticPr fontId="45" type="noConversion"/>
  </si>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</sst>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9"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0" fontId="35" fillId="0" borderId="0" xfId="0" applyFont="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52600</v>
      </c>
    </row>
    <row r="21" spans="1:2" s="3063" customFormat="1">
      <c r="A21" s="3061" t="s">
        <v>2805</v>
      </c>
      <c r="B21" s="3062">
        <f ca="1">'预评函-2'!D7</f>
        <v>13889</v>
      </c>
    </row>
    <row r="22" spans="1:2" s="3063" customFormat="1">
      <c r="A22" s="3061" t="s">
        <v>2806</v>
      </c>
      <c r="B22" s="3062" t="str">
        <f ca="1">'预评函-2'!D6</f>
        <v>伍亿贰仟陆佰万元整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52600</v>
      </c>
    </row>
    <row r="31" spans="1:2" s="3063" customFormat="1">
      <c r="A31" s="3061" t="s">
        <v>2845</v>
      </c>
      <c r="B31" s="3062">
        <f ca="1">'预评函-2'!D15</f>
        <v>13889</v>
      </c>
    </row>
    <row r="32" spans="1:2" s="3063" customFormat="1">
      <c r="A32" s="3061" t="s">
        <v>2811</v>
      </c>
      <c r="B32" s="3062" t="str">
        <f ca="1">'预评函-2'!D14</f>
        <v>伍亿贰仟陆佰万元整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42370</v>
      </c>
    </row>
    <row r="48" spans="1:2" s="3063" customFormat="1">
      <c r="A48" s="3061" t="s">
        <v>2817</v>
      </c>
      <c r="B48" s="3062">
        <f ca="1">'预评函-3'!E4</f>
        <v>11188</v>
      </c>
    </row>
    <row r="49" spans="1:2" s="3063" customFormat="1">
      <c r="A49" s="3061" t="s">
        <v>2818</v>
      </c>
      <c r="B49" s="3062" t="str">
        <f ca="1">'预评函-3'!D5</f>
        <v>肆亿贰仟叁佰柒拾万元整</v>
      </c>
    </row>
    <row r="50" spans="1:2" s="3063" customFormat="1">
      <c r="A50" s="3061" t="s">
        <v>2843</v>
      </c>
      <c r="B50" s="3062" t="str">
        <f>'预评函-3'!F2</f>
        <v>建筑物价值</v>
      </c>
    </row>
    <row r="51" spans="1:2" s="3063" customFormat="1">
      <c r="A51" s="3061" t="s">
        <v>2819</v>
      </c>
      <c r="B51" s="3062">
        <f ca="1">'预评函-3'!F4</f>
        <v>10230</v>
      </c>
    </row>
    <row r="52" spans="1:2" s="3063" customFormat="1">
      <c r="A52" s="3061" t="s">
        <v>2820</v>
      </c>
      <c r="B52" s="3062">
        <f ca="1">'预评函-3'!G4</f>
        <v>2701</v>
      </c>
    </row>
    <row r="53" spans="1:2" s="3063" customFormat="1">
      <c r="A53" s="3061" t="s">
        <v>2849</v>
      </c>
      <c r="B53" s="3062" t="str">
        <f ca="1">'预评函-3'!F5</f>
        <v>壹亿零贰佰叁拾万元整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2"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2"/>
      <c r="B54" s="2095" t="s">
        <v>2016</v>
      </c>
      <c r="C54" s="1162" t="s">
        <v>2854</v>
      </c>
    </row>
    <row r="55" spans="1:4">
      <c r="A55" s="3422"/>
      <c r="B55" s="2095" t="s">
        <v>2017</v>
      </c>
      <c r="C55" s="1162" t="s">
        <v>2855</v>
      </c>
    </row>
    <row r="56" spans="1:4">
      <c r="A56" s="3422"/>
      <c r="B56" s="2095" t="s">
        <v>2018</v>
      </c>
      <c r="C56" s="1162" t="s">
        <v>2864</v>
      </c>
    </row>
    <row r="57" spans="1:4">
      <c r="A57" s="3422"/>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23" t="str">
        <f>IF(B10="北京市","北京市",C10)&amp;F10&amp;IF(结果表!G1="在建","出让国有建设用地使用权及在建建筑物",IF(结果表!G1="土地","出让国有建设用地使用权",))&amp;B9&amp;"预评估"</f>
        <v>重庆市北部新区金开大道1226号第三层房地产抵押价值预评估</v>
      </c>
      <c r="C1" s="3424"/>
      <c r="D1" s="3424"/>
      <c r="E1" s="3424"/>
      <c r="F1" s="3424"/>
      <c r="G1" s="3424"/>
      <c r="H1" s="3424"/>
      <c r="I1" s="3425"/>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3176</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7">
        <v>43026</v>
      </c>
      <c r="C3" s="1925" t="s">
        <v>2001</v>
      </c>
      <c r="D3" s="3377">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6"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26"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27"/>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8">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33" t="s">
        <v>3083</v>
      </c>
      <c r="C16" s="3434"/>
      <c r="D16" s="3435"/>
      <c r="E16" s="1958" t="s">
        <v>2021</v>
      </c>
      <c r="F16" s="3436" t="s">
        <v>3084</v>
      </c>
      <c r="G16" s="3437"/>
      <c r="H16" s="3437"/>
      <c r="I16" s="3438"/>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39" t="s">
        <v>3177</v>
      </c>
      <c r="F17" s="3440"/>
      <c r="G17" s="3440"/>
      <c r="H17" s="3440"/>
      <c r="I17" s="3441"/>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42" t="s">
        <v>3085</v>
      </c>
      <c r="F18" s="3443"/>
      <c r="G18" s="3443"/>
      <c r="H18" s="3443"/>
      <c r="I18" s="3444"/>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29" t="s">
        <v>2044</v>
      </c>
      <c r="C20" s="3430"/>
      <c r="D20" s="3431" t="s">
        <v>2045</v>
      </c>
      <c r="E20" s="3432"/>
      <c r="F20" s="2069" t="s">
        <v>2046</v>
      </c>
      <c r="G20" s="2002"/>
      <c r="H20" s="2002"/>
      <c r="I20" s="2002"/>
      <c r="J20" s="2002"/>
      <c r="K20" s="3428"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28"/>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28"/>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9">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46"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46"/>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46"/>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47"/>
      <c r="B30" s="1942" t="s">
        <v>2060</v>
      </c>
      <c r="C30" s="3448"/>
      <c r="D30" s="3449"/>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0"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51"/>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51"/>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45" t="s">
        <v>2097</v>
      </c>
      <c r="T34" s="2015" t="str">
        <f>NUMBERSTRING(7-K34,1)&amp;"通"</f>
        <v>七通</v>
      </c>
      <c r="U34" s="1197"/>
      <c r="V34" s="1197"/>
    </row>
    <row r="35" spans="1:22" ht="18" customHeight="1">
      <c r="A35" s="2016"/>
      <c r="B35" s="3452" t="s">
        <v>1871</v>
      </c>
      <c r="C35" s="3452"/>
      <c r="D35" s="3452"/>
      <c r="E35" s="3452"/>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45"/>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3" t="s">
        <v>2</v>
      </c>
      <c r="B1" s="3393" t="s">
        <v>37</v>
      </c>
      <c r="C1" s="3393" t="s">
        <v>38</v>
      </c>
      <c r="D1" s="3453" t="s">
        <v>197</v>
      </c>
      <c r="E1" s="3453" t="s">
        <v>198</v>
      </c>
      <c r="F1" s="3453"/>
      <c r="G1" s="3453"/>
      <c r="H1" s="3453"/>
      <c r="I1" s="3453"/>
      <c r="J1" s="3453"/>
      <c r="K1" s="3453"/>
      <c r="L1" s="3453"/>
      <c r="M1" s="3453"/>
    </row>
    <row r="2" spans="1:13" ht="27" customHeight="1">
      <c r="A2" s="3393"/>
      <c r="B2" s="3393"/>
      <c r="C2" s="3393"/>
      <c r="D2" s="3453"/>
      <c r="E2" s="3453" t="s">
        <v>181</v>
      </c>
      <c r="F2" s="3453" t="s">
        <v>182</v>
      </c>
      <c r="G2" s="3453"/>
      <c r="H2" s="3453"/>
      <c r="I2" s="3453"/>
      <c r="J2" s="3453" t="s">
        <v>183</v>
      </c>
      <c r="K2" s="3453"/>
      <c r="L2" s="3453"/>
      <c r="M2" s="3453"/>
    </row>
    <row r="3" spans="1:13" ht="28.5">
      <c r="A3" s="3393"/>
      <c r="B3" s="3393"/>
      <c r="C3" s="3393"/>
      <c r="D3" s="3453"/>
      <c r="E3" s="3453"/>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3" t="s">
        <v>199</v>
      </c>
      <c r="B9" s="3453"/>
      <c r="C9" s="345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3" t="s">
        <v>641</v>
      </c>
      <c r="B2" s="3463"/>
      <c r="C2" s="3463"/>
      <c r="D2" s="2210" t="s">
        <v>642</v>
      </c>
      <c r="E2" s="19" t="s">
        <v>643</v>
      </c>
      <c r="F2" s="2226"/>
      <c r="G2" s="1180"/>
      <c r="H2" s="1181"/>
      <c r="I2" s="2218" t="s">
        <v>644</v>
      </c>
      <c r="J2" s="2226"/>
      <c r="K2" s="2226"/>
      <c r="L2" s="2226"/>
      <c r="M2" s="2226"/>
      <c r="N2" s="2235"/>
      <c r="O2" s="2226"/>
      <c r="P2" s="2226"/>
    </row>
    <row r="3" spans="1:16" ht="15.75" thickBot="1">
      <c r="A3" s="3464" t="s">
        <v>645</v>
      </c>
      <c r="B3" s="3464"/>
      <c r="C3" s="3464"/>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5"/>
      <c r="B4" s="3466"/>
      <c r="C4" s="3467"/>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68" t="s">
        <v>649</v>
      </c>
      <c r="C5" s="3468"/>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68" t="s">
        <v>650</v>
      </c>
      <c r="C6" s="3468"/>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0"/>
      <c r="B7" s="3461"/>
      <c r="C7" s="3462"/>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57" t="s">
        <v>531</v>
      </c>
      <c r="L16" s="3458"/>
      <c r="M16" s="3458"/>
      <c r="N16" s="3458"/>
      <c r="O16" s="3458"/>
      <c r="P16" s="3459"/>
    </row>
    <row r="17" spans="1:19" ht="14.25">
      <c r="A17" s="29" t="s">
        <v>661</v>
      </c>
      <c r="B17" s="30" t="s">
        <v>662</v>
      </c>
      <c r="C17" s="34" t="s">
        <v>2379</v>
      </c>
      <c r="D17" s="2076" t="s">
        <v>642</v>
      </c>
      <c r="E17" s="2074" t="s">
        <v>643</v>
      </c>
      <c r="F17" s="36"/>
      <c r="G17" s="37"/>
      <c r="H17" s="1184" t="s">
        <v>663</v>
      </c>
      <c r="I17" s="1185" t="s">
        <v>204</v>
      </c>
      <c r="J17" s="2226"/>
      <c r="K17" s="3454" t="s">
        <v>669</v>
      </c>
      <c r="L17" s="3455"/>
      <c r="M17" s="3456"/>
      <c r="N17" s="3454" t="s">
        <v>2681</v>
      </c>
      <c r="O17" s="3455"/>
      <c r="P17" s="3456"/>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0.84599999999999997</v>
      </c>
      <c r="H6" s="1476">
        <v>0.05</v>
      </c>
      <c r="I6" s="1476">
        <v>5.5E-2</v>
      </c>
      <c r="J6" s="364">
        <v>0.08</v>
      </c>
      <c r="K6" s="2497">
        <f>SUMIF('数据-汇总表'!C$19:C$33,A6,'数据-汇总表'!E$19:E$33)</f>
        <v>37870.639999999999</v>
      </c>
      <c r="L6" s="1477">
        <v>2200</v>
      </c>
      <c r="M6" s="365">
        <f t="shared" ref="M6:M14" si="0">ROUND(K6*L6/10000,0)</f>
        <v>8332</v>
      </c>
      <c r="N6" s="3759">
        <v>0.8</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租约!E2</f>
        <v>0.17</v>
      </c>
      <c r="V6" s="369">
        <v>0</v>
      </c>
      <c r="W6" s="369">
        <v>0</v>
      </c>
      <c r="X6" s="2507"/>
      <c r="Y6" s="370">
        <f>N6</f>
        <v>0.8</v>
      </c>
      <c r="Z6" s="371">
        <f>租约!G7</f>
        <v>3.1300400006100002</v>
      </c>
      <c r="AA6" s="364">
        <v>0.03</v>
      </c>
      <c r="AB6" s="364">
        <v>0.1</v>
      </c>
      <c r="AC6" s="2507"/>
      <c r="AD6" s="372">
        <v>0.8</v>
      </c>
      <c r="AE6" s="2508">
        <f ca="1">IF(AN6="",0,SUMIF(INDIRECT("'"&amp;AN6&amp;"'"&amp;"!E:E"),$AE$5,INDIRECT("'"&amp;AN6&amp;"'"&amp;"!F:F")))</f>
        <v>26.5</v>
      </c>
      <c r="AF6" s="352">
        <f>租约!H6</f>
        <v>4.43</v>
      </c>
      <c r="AG6" s="478">
        <f ca="1">IF(AF6="",0,AE6-AF6)</f>
        <v>22.07</v>
      </c>
      <c r="AH6" s="373"/>
      <c r="AI6" s="375">
        <v>365</v>
      </c>
      <c r="AJ6" s="376"/>
      <c r="AK6" s="377">
        <v>1.4999999999999999E-2</v>
      </c>
      <c r="AL6" s="378">
        <v>1.5E-3</v>
      </c>
      <c r="AM6" s="379">
        <v>0.01</v>
      </c>
      <c r="AN6" s="2577" t="s">
        <v>3067</v>
      </c>
      <c r="AO6" s="344">
        <f ca="1">SUMIF(INDIRECT("'"&amp;AN6&amp;"'"&amp;"!A:A"),"总价",INDIRECT("'"&amp;AN6&amp;"'"&amp;"!B:B"))</f>
        <v>42657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0.84599999999999997</v>
      </c>
      <c r="H16" s="389">
        <f>ROUND(SUMPRODUCT(H6:H13,K6:K13)/SUMPRODUCT((H6:H13&gt;0)*(K6:K13)),3)</f>
        <v>0.05</v>
      </c>
      <c r="I16" s="390"/>
      <c r="J16" s="390"/>
      <c r="K16" s="391">
        <f>SUM(K6:K15)</f>
        <v>37870.639999999999</v>
      </c>
      <c r="L16" s="392">
        <f>ROUND(M16*10000/SUM(K6:K14),0)</f>
        <v>2200</v>
      </c>
      <c r="M16" s="392">
        <f>SUM(M6:M14)</f>
        <v>8332</v>
      </c>
      <c r="N16" s="393">
        <f>ROUND(SUMPRODUCT(M6:M14,N6:N14)/M16,3)</f>
        <v>0.8</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0.03</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0.02</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0.02</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9" t="s">
        <v>748</v>
      </c>
      <c r="B1" s="3470"/>
      <c r="C1" s="3470"/>
      <c r="D1" s="3470"/>
      <c r="E1" s="3470"/>
      <c r="F1" s="3470"/>
      <c r="G1" s="3470"/>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40.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54">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40.5">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52600</v>
      </c>
      <c r="C5" s="3255">
        <f ca="1">ROUND(B5*10000/$B$1,0)</f>
        <v>13889</v>
      </c>
      <c r="D5" s="3255">
        <f ca="1">ROUND(B5*10000/$B$2,0)</f>
        <v>67661</v>
      </c>
      <c r="E5" s="3254"/>
      <c r="F5" s="3252"/>
      <c r="G5" s="3252"/>
    </row>
    <row r="6" spans="1:10" ht="16.5">
      <c r="A6" s="3255" t="s">
        <v>2963</v>
      </c>
      <c r="B6" s="3255">
        <f ca="1">SUM(G14:G23)</f>
        <v>52600</v>
      </c>
      <c r="C6" s="3255">
        <f ca="1">ROUND(B6*10000/$B$1,0)</f>
        <v>13889</v>
      </c>
      <c r="D6" s="3255">
        <f ca="1">ROUND(B6*10000/$B$2,0)</f>
        <v>67661</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52600</v>
      </c>
      <c r="E14" s="3253">
        <f ca="1">ROUND(D14*10000/B14,0)</f>
        <v>13889</v>
      </c>
      <c r="F14" s="3253">
        <f ca="1">ROUND(D14*10000/C14,0)</f>
        <v>67661</v>
      </c>
      <c r="G14" s="3253">
        <f ca="1">结果表!D122</f>
        <v>52600</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1" sqref="I1"/>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48" t="str">
        <f>项目基本情况!S2</f>
        <v>重庆市北部新区金开大道1226号第三层房地产</v>
      </c>
      <c r="B2" s="3549"/>
      <c r="C2" s="3549"/>
      <c r="D2" s="3549"/>
      <c r="E2" s="3549"/>
      <c r="F2" s="3549"/>
      <c r="G2" s="3549"/>
      <c r="H2" s="3549"/>
      <c r="I2" s="3550"/>
    </row>
    <row r="3" spans="1:12" ht="12">
      <c r="A3" s="3552" t="s">
        <v>10</v>
      </c>
      <c r="B3" s="3553"/>
      <c r="C3" s="3553"/>
      <c r="D3" s="3553"/>
      <c r="E3" s="3553"/>
      <c r="F3" s="3553"/>
      <c r="G3" s="3553"/>
      <c r="H3" s="3553"/>
      <c r="I3" s="3553"/>
    </row>
    <row r="4" spans="1:12" ht="13.5">
      <c r="A4" s="429" t="s">
        <v>11</v>
      </c>
      <c r="B4" s="430" t="s">
        <v>12</v>
      </c>
      <c r="C4" s="431" t="s">
        <v>3070</v>
      </c>
      <c r="D4" s="431" t="s">
        <v>3067</v>
      </c>
      <c r="E4" s="3557" t="s">
        <v>758</v>
      </c>
      <c r="F4" s="3558"/>
      <c r="G4" s="3558"/>
      <c r="H4" s="3558"/>
      <c r="I4" s="3559"/>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23" t="s">
        <v>13</v>
      </c>
      <c r="B5" s="3551">
        <v>25</v>
      </c>
      <c r="C5" s="3554"/>
      <c r="D5" s="3541"/>
      <c r="E5" s="471" t="s">
        <v>800</v>
      </c>
      <c r="F5" s="432"/>
      <c r="G5" s="432"/>
      <c r="H5" s="432"/>
      <c r="I5" s="433"/>
    </row>
    <row r="6" spans="1:12" ht="12.75">
      <c r="A6" s="3523"/>
      <c r="B6" s="3551"/>
      <c r="C6" s="3556"/>
      <c r="D6" s="3541"/>
      <c r="E6" s="471" t="s">
        <v>801</v>
      </c>
      <c r="F6" s="432"/>
      <c r="G6" s="432"/>
      <c r="H6" s="432"/>
      <c r="I6" s="433"/>
    </row>
    <row r="7" spans="1:12" ht="12.75">
      <c r="A7" s="3523"/>
      <c r="B7" s="3551"/>
      <c r="C7" s="3555"/>
      <c r="D7" s="3541"/>
      <c r="E7" s="471" t="s">
        <v>802</v>
      </c>
      <c r="F7" s="432"/>
      <c r="G7" s="432"/>
      <c r="H7" s="432"/>
      <c r="I7" s="433"/>
    </row>
    <row r="8" spans="1:12" ht="12.75">
      <c r="A8" s="3523" t="s">
        <v>14</v>
      </c>
      <c r="B8" s="3551">
        <v>15</v>
      </c>
      <c r="C8" s="3554"/>
      <c r="D8" s="3541"/>
      <c r="E8" s="471" t="s">
        <v>803</v>
      </c>
      <c r="F8" s="432"/>
      <c r="G8" s="432"/>
      <c r="H8" s="432"/>
      <c r="I8" s="433"/>
    </row>
    <row r="9" spans="1:12" ht="12.75">
      <c r="A9" s="3523"/>
      <c r="B9" s="3551"/>
      <c r="C9" s="3555"/>
      <c r="D9" s="3541"/>
      <c r="E9" s="471" t="s">
        <v>804</v>
      </c>
      <c r="F9" s="432"/>
      <c r="G9" s="432"/>
      <c r="H9" s="432"/>
      <c r="I9" s="433"/>
    </row>
    <row r="10" spans="1:12" ht="12.75">
      <c r="A10" s="3523" t="s">
        <v>15</v>
      </c>
      <c r="B10" s="3551">
        <v>15</v>
      </c>
      <c r="C10" s="3554"/>
      <c r="D10" s="3541"/>
      <c r="E10" s="471" t="s">
        <v>805</v>
      </c>
      <c r="F10" s="432"/>
      <c r="G10" s="432"/>
      <c r="H10" s="432"/>
      <c r="I10" s="433"/>
    </row>
    <row r="11" spans="1:12" ht="12.75">
      <c r="A11" s="3523"/>
      <c r="B11" s="3551"/>
      <c r="C11" s="3555"/>
      <c r="D11" s="3541"/>
      <c r="E11" s="471" t="s">
        <v>806</v>
      </c>
      <c r="F11" s="432"/>
      <c r="G11" s="432"/>
      <c r="H11" s="432"/>
      <c r="I11" s="433"/>
    </row>
    <row r="12" spans="1:12" ht="12.75">
      <c r="A12" s="3523" t="s">
        <v>16</v>
      </c>
      <c r="B12" s="3551">
        <v>15</v>
      </c>
      <c r="C12" s="3554"/>
      <c r="D12" s="3541"/>
      <c r="E12" s="471" t="s">
        <v>807</v>
      </c>
      <c r="F12" s="432"/>
      <c r="G12" s="432"/>
      <c r="H12" s="432"/>
      <c r="I12" s="433"/>
    </row>
    <row r="13" spans="1:12" ht="12.75">
      <c r="A13" s="3523"/>
      <c r="B13" s="3551"/>
      <c r="C13" s="3555"/>
      <c r="D13" s="3541"/>
      <c r="E13" s="471" t="s">
        <v>808</v>
      </c>
      <c r="F13" s="432"/>
      <c r="G13" s="432"/>
      <c r="H13" s="432"/>
      <c r="I13" s="433"/>
    </row>
    <row r="14" spans="1:12" ht="12.75">
      <c r="A14" s="3523" t="s">
        <v>17</v>
      </c>
      <c r="B14" s="3551">
        <v>30</v>
      </c>
      <c r="C14" s="3554">
        <v>4</v>
      </c>
      <c r="D14" s="3541">
        <v>6</v>
      </c>
      <c r="E14" s="471" t="s">
        <v>809</v>
      </c>
      <c r="F14" s="432"/>
      <c r="G14" s="432"/>
      <c r="H14" s="432"/>
      <c r="I14" s="433"/>
    </row>
    <row r="15" spans="1:12" ht="12.75">
      <c r="A15" s="3523"/>
      <c r="B15" s="3551"/>
      <c r="C15" s="3556"/>
      <c r="D15" s="3541"/>
      <c r="E15" s="471" t="s">
        <v>810</v>
      </c>
      <c r="F15" s="432"/>
      <c r="G15" s="432"/>
      <c r="H15" s="432"/>
      <c r="I15" s="433"/>
    </row>
    <row r="16" spans="1:12" ht="12.75">
      <c r="A16" s="3523"/>
      <c r="B16" s="3551"/>
      <c r="C16" s="3555"/>
      <c r="D16" s="3541"/>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67514</v>
      </c>
      <c r="D19" s="475">
        <f ca="1">SUMIF(INDIRECT("'"&amp;D4&amp;"'"&amp;"!A:A"),结果表!B19,INDIRECT("'"&amp;D4&amp;"'"&amp;"!B:B"))</f>
        <v>42657</v>
      </c>
      <c r="E19" s="436" t="s">
        <v>176</v>
      </c>
      <c r="F19" s="437" t="s">
        <v>20</v>
      </c>
      <c r="G19" s="476">
        <f ca="1">ROUND(C19*$C$18+D19*$D$18,0)</f>
        <v>52600</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17828</v>
      </c>
      <c r="D20" s="478">
        <f ca="1">SUMIF(INDIRECT("'"&amp;D4&amp;"'"&amp;"!A:A"),结果表!B20,INDIRECT("'"&amp;D4&amp;"'"&amp;"!B:B"))</f>
        <v>11264</v>
      </c>
      <c r="E20" s="439"/>
      <c r="F20" s="440" t="s">
        <v>21</v>
      </c>
      <c r="G20" s="479">
        <f ca="1">ROUND(C20*$C$18+D20*$D$18,0)</f>
        <v>13890</v>
      </c>
      <c r="H20" s="441" t="s">
        <v>224</v>
      </c>
      <c r="I20" s="2277"/>
    </row>
    <row r="21" spans="1:35" ht="15" customHeight="1" thickBot="1">
      <c r="A21" s="443"/>
      <c r="B21" s="444" t="s">
        <v>22</v>
      </c>
      <c r="C21" s="1422">
        <f ca="1">ROUND(C19*10000/L19,0)</f>
        <v>86846</v>
      </c>
      <c r="D21" s="1423">
        <f ca="1">ROUND(D19*10000/L19,0)</f>
        <v>54871</v>
      </c>
      <c r="E21" s="443"/>
      <c r="F21" s="444" t="s">
        <v>22</v>
      </c>
      <c r="G21" s="480">
        <f ca="1">ROUND(G19*10000/L19,0)</f>
        <v>67661</v>
      </c>
      <c r="H21" s="445" t="s">
        <v>224</v>
      </c>
      <c r="I21" s="2277"/>
    </row>
    <row r="22" spans="1:35" ht="15" thickBot="1">
      <c r="A22" s="275" t="s">
        <v>178</v>
      </c>
      <c r="B22" s="1424"/>
      <c r="C22" s="1425"/>
      <c r="D22" s="1426">
        <f ca="1">IF(C19&lt;D19,D19/C19-1,C19/D19-1)</f>
        <v>0.58271795953770766</v>
      </c>
      <c r="E22" s="2277"/>
      <c r="F22" s="2277"/>
      <c r="G22" s="2277"/>
      <c r="H22" s="2277"/>
      <c r="I22" s="2277"/>
    </row>
    <row r="23" spans="1:35" ht="12.75" thickBot="1">
      <c r="A23" s="1243"/>
      <c r="B23" s="1243"/>
      <c r="C23" s="1243"/>
      <c r="D23" s="1243"/>
      <c r="E23" s="2277"/>
      <c r="F23" s="2277"/>
      <c r="G23" s="2277"/>
      <c r="H23" s="2277"/>
      <c r="I23" s="2277"/>
    </row>
    <row r="24" spans="1:35" ht="14.25">
      <c r="A24" s="3566" t="s">
        <v>174</v>
      </c>
      <c r="B24" s="437" t="s">
        <v>20</v>
      </c>
      <c r="C24" s="476">
        <f>IF(B30=0,0,D30)</f>
        <v>0</v>
      </c>
      <c r="D24" s="446"/>
      <c r="E24" s="2277"/>
      <c r="F24" s="2277"/>
      <c r="G24" s="2277"/>
      <c r="H24" s="2277"/>
      <c r="I24" s="2277"/>
    </row>
    <row r="25" spans="1:35" ht="14.25">
      <c r="A25" s="3567"/>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52600</v>
      </c>
      <c r="D32" s="2092" t="s">
        <v>207</v>
      </c>
      <c r="E32" s="2277"/>
      <c r="F32" s="2277"/>
      <c r="G32" s="2277"/>
      <c r="H32" s="2277"/>
      <c r="I32" s="2277"/>
    </row>
    <row r="33" spans="1:15" ht="13.5">
      <c r="A33" s="457" t="s">
        <v>759</v>
      </c>
      <c r="B33" s="2091"/>
      <c r="C33" s="2874" t="s">
        <v>2683</v>
      </c>
      <c r="D33" s="2877" t="s">
        <v>3067</v>
      </c>
      <c r="E33" s="2089" t="s">
        <v>2100</v>
      </c>
      <c r="F33" s="2090" t="str">
        <f>IF(D32="楼面单价","取值（单价）","取值（总价）")</f>
        <v>取值（总价）</v>
      </c>
      <c r="G33" s="2277"/>
      <c r="H33" s="2277"/>
      <c r="I33" s="2277"/>
    </row>
    <row r="34" spans="1:15" ht="15">
      <c r="A34" s="458"/>
      <c r="B34" s="459" t="s">
        <v>762</v>
      </c>
      <c r="C34" s="489">
        <f ca="1">IF(C33="自定义",F34,C32-C35)</f>
        <v>42370</v>
      </c>
      <c r="D34" s="2093">
        <f ca="1">IF(C33="自定义",ROUND(C34/C32,3),IF(C33="收益比率",SUMIF(INDIRECT("'"&amp;D33&amp;"'"&amp;"!b:b"),"土地收益比率",INDIRECT("'"&amp;D33&amp;"'"&amp;"!c:c")),SUMIF(INDIRECT("'"&amp;D33&amp;"'"&amp;"!b:b"),"土地成本比率",INDIRECT("'"&amp;D33&amp;"'"&amp;"!c:c"))))</f>
        <v>0.80600000000000005</v>
      </c>
      <c r="E34" s="2875" t="s">
        <v>2101</v>
      </c>
      <c r="F34" s="3248">
        <f ca="1">G19-F35</f>
        <v>42370</v>
      </c>
      <c r="G34" s="2277"/>
      <c r="H34" s="2277"/>
      <c r="I34" s="2277"/>
    </row>
    <row r="35" spans="1:15" ht="15.75" thickBot="1">
      <c r="A35" s="461"/>
      <c r="B35" s="2878" t="s">
        <v>764</v>
      </c>
      <c r="C35" s="2879">
        <f ca="1">IF(C33="自定义",F35,ROUND(C32*D35,0))</f>
        <v>10230</v>
      </c>
      <c r="D35" s="2880">
        <f ca="1">IF(C33="自定义",ROUND(C35/C32,3),IF(C33="收益比率",SUMIF(INDIRECT("'"&amp;D33&amp;"'"&amp;"!b:b"),"建筑物收益比率",INDIRECT("'"&amp;D33&amp;"'"&amp;"!c:c")),SUMIF(INDIRECT("'"&amp;D33&amp;"'"&amp;"!b:b"),"建筑物成本比率",INDIRECT("'"&amp;D33&amp;"'"&amp;"!c:c"))))</f>
        <v>0.19400000000000001</v>
      </c>
      <c r="E35" s="2876" t="s">
        <v>2102</v>
      </c>
      <c r="F35" s="495">
        <f ca="1">收益法!C13</f>
        <v>10230</v>
      </c>
      <c r="G35" s="2277"/>
      <c r="H35" s="2277"/>
      <c r="I35" s="2277"/>
    </row>
    <row r="36" spans="1:15" ht="15.75" thickBot="1">
      <c r="A36" s="3542" t="s">
        <v>760</v>
      </c>
      <c r="B36" s="455" t="s">
        <v>761</v>
      </c>
      <c r="C36" s="486">
        <v>20000</v>
      </c>
      <c r="D36" s="456" t="s">
        <v>3179</v>
      </c>
      <c r="E36" s="1246"/>
      <c r="F36" s="2278"/>
      <c r="G36" s="2277"/>
      <c r="H36" s="2277"/>
      <c r="I36" s="2277"/>
    </row>
    <row r="37" spans="1:15" ht="15.75" thickBot="1">
      <c r="A37" s="3543"/>
      <c r="B37" s="13" t="s">
        <v>763</v>
      </c>
      <c r="C37" s="488"/>
      <c r="D37" s="2226"/>
      <c r="E37" s="2226"/>
      <c r="F37" s="2278"/>
      <c r="G37" s="2277"/>
      <c r="H37" s="2277"/>
      <c r="I37" s="2277"/>
    </row>
    <row r="38" spans="1:15" ht="15.75" thickBot="1">
      <c r="A38" s="3544"/>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563" t="s">
        <v>792</v>
      </c>
      <c r="B45" s="3564"/>
      <c r="C45" s="3565"/>
      <c r="D45" s="496">
        <f ca="1">ROUND(H101*F45,0)</f>
        <v>52600</v>
      </c>
      <c r="E45" s="497" t="s">
        <v>793</v>
      </c>
      <c r="F45" s="498">
        <v>1</v>
      </c>
      <c r="G45" s="499" t="s">
        <v>794</v>
      </c>
      <c r="H45" s="2277"/>
      <c r="I45" s="2277"/>
      <c r="J45" s="3473" t="s">
        <v>212</v>
      </c>
      <c r="K45" s="3473"/>
      <c r="L45" s="3473"/>
      <c r="M45" s="3473"/>
      <c r="N45" s="3473"/>
      <c r="O45" s="3473"/>
    </row>
    <row r="46" spans="1:15" ht="14.25" customHeight="1">
      <c r="A46" s="3560" t="s">
        <v>284</v>
      </c>
      <c r="B46" s="3561"/>
      <c r="C46" s="3561"/>
      <c r="D46" s="3561"/>
      <c r="E46" s="3561"/>
      <c r="F46" s="3561"/>
      <c r="G46" s="3562"/>
      <c r="H46" s="2279"/>
      <c r="I46" s="2232"/>
      <c r="J46" s="1501">
        <v>1</v>
      </c>
      <c r="K46" s="3473" t="s">
        <v>213</v>
      </c>
      <c r="L46" s="3473"/>
      <c r="M46" s="3474"/>
      <c r="N46" s="3474"/>
      <c r="O46" s="3474"/>
    </row>
    <row r="47" spans="1:15" ht="12" customHeight="1">
      <c r="A47" s="501" t="s">
        <v>285</v>
      </c>
      <c r="B47" s="502"/>
      <c r="C47" s="503"/>
      <c r="D47" s="504" t="s">
        <v>286</v>
      </c>
      <c r="E47" s="313" t="s">
        <v>287</v>
      </c>
      <c r="F47" s="505" t="s">
        <v>795</v>
      </c>
      <c r="G47" s="506" t="s">
        <v>796</v>
      </c>
      <c r="H47" s="2279"/>
      <c r="I47" s="2232"/>
      <c r="J47" s="1501">
        <v>2</v>
      </c>
      <c r="K47" s="3473" t="s">
        <v>214</v>
      </c>
      <c r="L47" s="3473"/>
      <c r="M47" s="3475">
        <f>'数据-取费表'!B2</f>
        <v>43026</v>
      </c>
      <c r="N47" s="3475"/>
      <c r="O47" s="3475"/>
    </row>
    <row r="48" spans="1:15" ht="25.5">
      <c r="A48" s="3546" t="s">
        <v>288</v>
      </c>
      <c r="B48" s="3547"/>
      <c r="C48" s="3547"/>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473" t="s">
        <v>776</v>
      </c>
      <c r="L48" s="3473"/>
      <c r="M48" s="3476">
        <f ca="1">H101</f>
        <v>52600</v>
      </c>
      <c r="N48" s="3476"/>
      <c r="O48" s="3476"/>
    </row>
    <row r="49" spans="1:35" ht="25.5" customHeight="1">
      <c r="A49" s="508" t="s">
        <v>797</v>
      </c>
      <c r="B49" s="3526" t="s">
        <v>798</v>
      </c>
      <c r="C49" s="3526"/>
      <c r="D49" s="509">
        <v>0</v>
      </c>
      <c r="E49" s="312" t="s">
        <v>799</v>
      </c>
      <c r="F49" s="317" t="s">
        <v>168</v>
      </c>
      <c r="G49" s="3505"/>
      <c r="H49" s="2277"/>
      <c r="I49" s="2280"/>
      <c r="J49" s="1501">
        <v>4</v>
      </c>
      <c r="K49" s="3473" t="str">
        <f>IF(项目基本情况!E8="房地产抵押价值","房地产抵押价值","抵押担保权已注销时的房地产抵押价值")</f>
        <v>房地产抵押价值</v>
      </c>
      <c r="L49" s="3473"/>
      <c r="M49" s="3476">
        <f ca="1">IF(项目基本情况!E8="房地产抵押价值",H107,H109)</f>
        <v>52600</v>
      </c>
      <c r="N49" s="3476"/>
      <c r="O49" s="3476"/>
    </row>
    <row r="50" spans="1:35" ht="25.5" customHeight="1">
      <c r="A50" s="510"/>
      <c r="B50" s="3526" t="s">
        <v>291</v>
      </c>
      <c r="C50" s="3526"/>
      <c r="D50" s="511"/>
      <c r="E50" s="320"/>
      <c r="F50" s="512"/>
      <c r="G50" s="3506"/>
      <c r="H50" s="2277"/>
      <c r="I50" s="2280"/>
      <c r="J50" s="3473" t="s">
        <v>215</v>
      </c>
      <c r="K50" s="3473"/>
      <c r="L50" s="3473"/>
      <c r="M50" s="3473"/>
      <c r="N50" s="3473"/>
      <c r="O50" s="3473"/>
    </row>
    <row r="51" spans="1:35" ht="12" customHeight="1">
      <c r="A51" s="513"/>
      <c r="B51" s="3526" t="s">
        <v>292</v>
      </c>
      <c r="C51" s="3526"/>
      <c r="D51" s="514"/>
      <c r="E51" s="319"/>
      <c r="F51" s="512"/>
      <c r="G51" s="3507"/>
      <c r="H51" s="2277"/>
      <c r="I51" s="2280"/>
      <c r="J51" s="3267" t="s">
        <v>216</v>
      </c>
      <c r="K51" s="3473" t="s">
        <v>217</v>
      </c>
      <c r="L51" s="3473"/>
      <c r="M51" s="3267" t="s">
        <v>2985</v>
      </c>
      <c r="N51" s="3267" t="s">
        <v>218</v>
      </c>
      <c r="O51" s="3267" t="s">
        <v>219</v>
      </c>
    </row>
    <row r="52" spans="1:35" ht="24" customHeight="1">
      <c r="A52" s="515" t="s">
        <v>293</v>
      </c>
      <c r="B52" s="3526" t="s">
        <v>294</v>
      </c>
      <c r="C52" s="3526"/>
      <c r="D52" s="514">
        <f ca="1">ROUND(D45*'数据-取费表'!B41/(1+'数据-取费表'!C42),0)</f>
        <v>2805</v>
      </c>
      <c r="E52" s="299" t="s">
        <v>295</v>
      </c>
      <c r="F52" s="516">
        <f>'数据-取费表'!B41</f>
        <v>5.6000000000000001E-2</v>
      </c>
      <c r="G52" s="466"/>
      <c r="H52" s="2277"/>
      <c r="I52" s="2280"/>
      <c r="J52" s="1501">
        <v>1</v>
      </c>
      <c r="K52" s="3499" t="s">
        <v>777</v>
      </c>
      <c r="L52" s="3499"/>
      <c r="M52" s="3268">
        <f>D48</f>
        <v>0</v>
      </c>
      <c r="N52" s="1500" t="str">
        <f>E48</f>
        <v>销售额×税（费）率</v>
      </c>
      <c r="O52" s="3269" t="str">
        <f>F48</f>
        <v>免征</v>
      </c>
    </row>
    <row r="53" spans="1:35" ht="12" customHeight="1">
      <c r="A53" s="515" t="s">
        <v>296</v>
      </c>
      <c r="B53" s="3527" t="s">
        <v>297</v>
      </c>
      <c r="C53" s="3528"/>
      <c r="D53" s="514">
        <f ca="1">ROUND(D45*'数据-取费表'!B41/(1+'数据-取费表'!C42),0)</f>
        <v>2805</v>
      </c>
      <c r="E53" s="299" t="s">
        <v>295</v>
      </c>
      <c r="F53" s="516">
        <f>'数据-取费表'!B41</f>
        <v>5.6000000000000001E-2</v>
      </c>
      <c r="G53" s="466"/>
      <c r="H53" s="2277"/>
      <c r="I53" s="2280"/>
      <c r="J53" s="1501">
        <v>2</v>
      </c>
      <c r="K53" s="3499" t="s">
        <v>778</v>
      </c>
      <c r="L53" s="3499"/>
      <c r="M53" s="3268">
        <f t="shared" ref="M53:O54" ca="1" si="0">D55</f>
        <v>26</v>
      </c>
      <c r="N53" s="1500" t="str">
        <f t="shared" si="0"/>
        <v>销售额×税（费）率</v>
      </c>
      <c r="O53" s="3269">
        <f t="shared" si="0"/>
        <v>5.0000000000000001E-4</v>
      </c>
    </row>
    <row r="54" spans="1:35" ht="12" customHeight="1">
      <c r="A54" s="515" t="s">
        <v>298</v>
      </c>
      <c r="B54" s="3527" t="s">
        <v>299</v>
      </c>
      <c r="C54" s="3528"/>
      <c r="D54" s="514">
        <f ca="1">C68</f>
        <v>2805</v>
      </c>
      <c r="E54" s="319" t="s">
        <v>300</v>
      </c>
      <c r="F54" s="516">
        <f>'数据-取费表'!B41</f>
        <v>5.6000000000000001E-2</v>
      </c>
      <c r="G54" s="466"/>
      <c r="H54" s="2281"/>
      <c r="I54" s="2280"/>
      <c r="J54" s="1501">
        <v>3</v>
      </c>
      <c r="K54" s="3499" t="s">
        <v>779</v>
      </c>
      <c r="L54" s="3499"/>
      <c r="M54" s="3268">
        <f t="shared" ca="1" si="0"/>
        <v>29771</v>
      </c>
      <c r="N54" s="1500" t="str">
        <f t="shared" si="0"/>
        <v>增值额×税（费）率</v>
      </c>
      <c r="O54" s="3270" t="str">
        <f t="shared" si="0"/>
        <v>——</v>
      </c>
    </row>
    <row r="55" spans="1:35" ht="24" customHeight="1">
      <c r="A55" s="3569" t="s">
        <v>301</v>
      </c>
      <c r="B55" s="3547"/>
      <c r="C55" s="3547"/>
      <c r="D55" s="517">
        <f ca="1">IF(H55="个人住宅",0,ROUND(D45*I55,0))</f>
        <v>26</v>
      </c>
      <c r="E55" s="299" t="s">
        <v>302</v>
      </c>
      <c r="F55" s="516">
        <f>IF(H55="正常",I55,"免征")</f>
        <v>5.0000000000000001E-4</v>
      </c>
      <c r="G55" s="466"/>
      <c r="H55" s="1432" t="s">
        <v>152</v>
      </c>
      <c r="I55" s="518">
        <f>'数据-取费表'!B49</f>
        <v>5.0000000000000001E-4</v>
      </c>
      <c r="J55" s="1501" t="str">
        <f>IF(H59="非个人房产","",4)</f>
        <v/>
      </c>
      <c r="K55" s="3499" t="str">
        <f>IF(H59="非个人房产","——","个人所得税")</f>
        <v>——</v>
      </c>
      <c r="L55" s="3499"/>
      <c r="M55" s="3271" t="str">
        <f>D59</f>
        <v>——</v>
      </c>
      <c r="N55" s="3272" t="str">
        <f>E59</f>
        <v>——</v>
      </c>
      <c r="O55" s="3273" t="str">
        <f>F59</f>
        <v>——</v>
      </c>
    </row>
    <row r="56" spans="1:35" ht="24.75">
      <c r="A56" s="3569" t="s">
        <v>303</v>
      </c>
      <c r="B56" s="3547"/>
      <c r="C56" s="3547"/>
      <c r="D56" s="517">
        <f ca="1">IF(H56="个人住宅",D57,D58)</f>
        <v>29771</v>
      </c>
      <c r="E56" s="299" t="s">
        <v>304</v>
      </c>
      <c r="F56" s="516" t="str">
        <f>IF(H56="正常",F58,"免征")</f>
        <v>——</v>
      </c>
      <c r="G56" s="1256" t="s">
        <v>780</v>
      </c>
      <c r="H56" s="1431" t="s">
        <v>152</v>
      </c>
      <c r="I56" s="2282"/>
      <c r="J56" s="1501" t="str">
        <f>IF(项目基本情况!K6="上海银行",IF(J55="",4,J55+1),"")</f>
        <v/>
      </c>
      <c r="K56" s="3479" t="str">
        <f>IF(项目基本情况!K6="上海银行","其他处置费用","")</f>
        <v/>
      </c>
      <c r="L56" s="3480"/>
      <c r="M56" s="3268" t="str">
        <f>IF(项目基本情况!K6="上海银行",M69,"")</f>
        <v/>
      </c>
      <c r="N56" s="3482" t="str">
        <f>IF(项目基本情况!K6="上海银行","包含处置中涉及的律师、诉讼、拍卖、评估等费用","")</f>
        <v/>
      </c>
      <c r="O56" s="3483"/>
    </row>
    <row r="57" spans="1:35" ht="12.75">
      <c r="A57" s="515" t="s">
        <v>289</v>
      </c>
      <c r="B57" s="3532" t="s">
        <v>305</v>
      </c>
      <c r="C57" s="3533"/>
      <c r="D57" s="519">
        <v>0</v>
      </c>
      <c r="E57" s="312" t="s">
        <v>290</v>
      </c>
      <c r="F57" s="487"/>
      <c r="G57" s="466"/>
      <c r="H57" s="2282"/>
      <c r="I57" s="2282"/>
      <c r="J57" s="3511">
        <f>IF(AND(J55="",J56=""),4,IF(项目基本情况!K6="上海银行",结果表!J56+1,结果表!J55+1))</f>
        <v>4</v>
      </c>
      <c r="K57" s="3499" t="s">
        <v>781</v>
      </c>
      <c r="L57" s="3274" t="s">
        <v>220</v>
      </c>
      <c r="M57" s="3275"/>
      <c r="N57" s="3276">
        <f ca="1">SUMIF(M52:M56,"&lt;9e307")</f>
        <v>29797</v>
      </c>
      <c r="O57" s="3277"/>
      <c r="P57" s="3264">
        <f ca="1">N57/M49</f>
        <v>0.56648288973384031</v>
      </c>
    </row>
    <row r="58" spans="1:35" ht="24.75">
      <c r="A58" s="515" t="s">
        <v>293</v>
      </c>
      <c r="B58" s="3532" t="s">
        <v>306</v>
      </c>
      <c r="C58" s="3545"/>
      <c r="D58" s="517">
        <f ca="1">IF(H58="转让取得",C81,C97)</f>
        <v>29771</v>
      </c>
      <c r="E58" s="299" t="s">
        <v>304</v>
      </c>
      <c r="F58" s="313" t="s">
        <v>168</v>
      </c>
      <c r="G58" s="466"/>
      <c r="H58" s="1431" t="s">
        <v>1130</v>
      </c>
      <c r="I58" s="2282"/>
      <c r="J58" s="3511"/>
      <c r="K58" s="3499"/>
      <c r="L58" s="3274" t="s">
        <v>221</v>
      </c>
      <c r="M58" s="3278"/>
      <c r="N58" s="3279" t="str">
        <f ca="1">NUMBERSTRING(INT(N57*10000),2)&amp;"元整"</f>
        <v>贰亿玖仟柒佰玖拾柒万元整</v>
      </c>
      <c r="O58" s="3280"/>
    </row>
    <row r="59" spans="1:35" ht="24.75" thickBot="1">
      <c r="A59" s="3503" t="s">
        <v>307</v>
      </c>
      <c r="B59" s="3504"/>
      <c r="C59" s="3504"/>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01">
        <f>J57+1</f>
        <v>5</v>
      </c>
      <c r="K59" s="3499" t="s">
        <v>169</v>
      </c>
      <c r="L59" s="1500" t="s">
        <v>220</v>
      </c>
      <c r="M59" s="3281"/>
      <c r="N59" s="3282">
        <f ca="1">M49-N57</f>
        <v>22803</v>
      </c>
      <c r="O59" s="3283"/>
    </row>
    <row r="60" spans="1:35" ht="12" customHeight="1">
      <c r="A60" s="1258"/>
      <c r="B60" s="1243"/>
      <c r="C60" s="1243"/>
      <c r="D60" s="1243"/>
      <c r="E60" s="229"/>
      <c r="F60" s="2282"/>
      <c r="G60" s="2282"/>
      <c r="H60" s="2283"/>
      <c r="I60" s="2277"/>
      <c r="J60" s="3502"/>
      <c r="K60" s="3499"/>
      <c r="L60" s="3274" t="s">
        <v>221</v>
      </c>
      <c r="M60" s="3278"/>
      <c r="N60" s="3279" t="str">
        <f ca="1">NUMBERSTRING(INT(N59*10000),2)&amp;"元整"</f>
        <v>贰亿贰仟捌佰零叁万元整</v>
      </c>
      <c r="O60" s="3280"/>
    </row>
    <row r="61" spans="1:35" ht="13.5" thickBot="1">
      <c r="A61" s="3568" t="s">
        <v>308</v>
      </c>
      <c r="B61" s="3568"/>
      <c r="C61" s="3568"/>
      <c r="D61" s="3568"/>
      <c r="E61" s="3568"/>
      <c r="F61" s="2282"/>
      <c r="G61" s="2282"/>
      <c r="H61" s="2283"/>
      <c r="I61" s="2277"/>
      <c r="J61" s="1501">
        <f>J59+1</f>
        <v>6</v>
      </c>
      <c r="K61" s="3499" t="s">
        <v>222</v>
      </c>
      <c r="L61" s="3499"/>
      <c r="M61" s="3284"/>
      <c r="N61" s="3285">
        <f ca="1">ROUND(N59*10000/'数据-汇总表'!E3,0)</f>
        <v>6021</v>
      </c>
      <c r="O61" s="3286"/>
    </row>
    <row r="62" spans="1:35" ht="12.75">
      <c r="A62" s="3520" t="s">
        <v>309</v>
      </c>
      <c r="B62" s="3521"/>
      <c r="C62" s="1918"/>
      <c r="D62" s="1918" t="s">
        <v>317</v>
      </c>
      <c r="E62" s="524" t="s">
        <v>318</v>
      </c>
      <c r="F62" s="2282"/>
      <c r="G62" s="2282"/>
      <c r="H62" s="2283"/>
      <c r="I62" s="2277"/>
    </row>
    <row r="63" spans="1:35" ht="12.75">
      <c r="A63" s="535" t="s">
        <v>1892</v>
      </c>
      <c r="B63" s="525" t="s">
        <v>310</v>
      </c>
      <c r="C63" s="526">
        <f ca="1">ROUND((C64+C65)/(1+'数据-取费表'!C42),0)</f>
        <v>50095</v>
      </c>
      <c r="D63" s="527"/>
      <c r="E63" s="528"/>
      <c r="F63" s="2282"/>
      <c r="G63" s="2282"/>
      <c r="H63" s="2283"/>
      <c r="I63" s="2277"/>
      <c r="J63" s="3481" t="s">
        <v>2978</v>
      </c>
      <c r="K63" s="3263" t="s">
        <v>2979</v>
      </c>
      <c r="L63" s="3261">
        <f ca="1">IF(M49&gt;10000,M49*0.5%,IF(AND(M49&gt;1000,M49&lt;=10000),M49*1%,IF(AND(M49&gt;100,M49&lt;=1000),M49*3%,IF(AND(M49&gt;10,M49&lt;=100),M49*5%,M49*8%))))</f>
        <v>263</v>
      </c>
      <c r="M63" s="313">
        <f ca="1">ROUND(L63,1)</f>
        <v>263</v>
      </c>
      <c r="Z63" s="1434"/>
      <c r="AI63" s="1244"/>
    </row>
    <row r="64" spans="1:35" ht="14.25" customHeight="1">
      <c r="A64" s="529" t="s">
        <v>1887</v>
      </c>
      <c r="B64" s="530" t="s">
        <v>311</v>
      </c>
      <c r="C64" s="531">
        <f ca="1">D45</f>
        <v>52600</v>
      </c>
      <c r="D64" s="532" t="s">
        <v>164</v>
      </c>
      <c r="E64" s="533"/>
      <c r="F64" s="2282"/>
      <c r="G64" s="2282"/>
      <c r="H64" s="2283"/>
      <c r="I64" s="2277"/>
      <c r="J64" s="3481"/>
      <c r="K64" s="3263" t="s">
        <v>2980</v>
      </c>
      <c r="L64" s="3261">
        <f ca="1">IF(M49&gt;2000,M49*0.5%,IF(AND(M49&gt;1000,M49&lt;=2000),M49*0.6%,IF(AND(M49&gt;500,M49&lt;=1000),M49*0.7%,IF(AND(M49&gt;200,M49&lt;=500),M49*0.8%,IF(AND(M49&gt;100,M49&lt;=200),M49*0.9%,IF(AND(M49&gt;50,M49&lt;=100),M49*1%,IF(AND(M49&gt;20,M49&lt;=50),M49*1.5%,IF(AND(M49&gt;10,M49&lt;=20),M49*2%,IF(AND(M49&gt;1,M49&lt;=10),M49*2.5%)))))))))</f>
        <v>263</v>
      </c>
      <c r="M64" s="313">
        <f t="shared" ref="M64:M65" ca="1" si="1">ROUND(L64,1)</f>
        <v>263</v>
      </c>
      <c r="N64" s="469" t="s">
        <v>2986</v>
      </c>
      <c r="Z64" s="1434"/>
      <c r="AI64" s="1244"/>
    </row>
    <row r="65" spans="1:35" ht="14.25" customHeight="1">
      <c r="A65" s="529" t="s">
        <v>1888</v>
      </c>
      <c r="B65" s="530" t="s">
        <v>312</v>
      </c>
      <c r="C65" s="534"/>
      <c r="D65" s="532"/>
      <c r="E65" s="533"/>
      <c r="F65" s="2282"/>
      <c r="G65" s="2282"/>
      <c r="H65" s="2283"/>
      <c r="I65" s="2277"/>
      <c r="J65" s="3481"/>
      <c r="K65" s="3263" t="s">
        <v>2981</v>
      </c>
      <c r="L65" s="3261">
        <f ca="1">IF(M49&gt;1000,M49*0.1%,IF(AND(M49&gt;500,M49&lt;=1000),M49*0.5%,IF(AND(M49&gt;50,M49&lt;=500),M49*1%,IF(AND(M49&gt;1,M49&lt;=50),M49*1.5%))))</f>
        <v>52.6</v>
      </c>
      <c r="M65" s="313">
        <f t="shared" ca="1" si="1"/>
        <v>52.6</v>
      </c>
      <c r="N65" s="469" t="s">
        <v>2987</v>
      </c>
      <c r="Z65" s="1434"/>
      <c r="AI65" s="1244"/>
    </row>
    <row r="66" spans="1:35" ht="14.25" customHeight="1">
      <c r="A66" s="535" t="s">
        <v>1889</v>
      </c>
      <c r="B66" s="536" t="s">
        <v>313</v>
      </c>
      <c r="C66" s="537"/>
      <c r="D66" s="538" t="s">
        <v>164</v>
      </c>
      <c r="E66" s="3313" t="s">
        <v>3025</v>
      </c>
      <c r="F66" s="2282"/>
      <c r="G66" s="2282"/>
      <c r="H66" s="2283"/>
      <c r="I66" s="2277"/>
      <c r="J66" s="3481"/>
      <c r="K66" s="3263" t="s">
        <v>2982</v>
      </c>
      <c r="L66" s="3261">
        <f ca="1">M49*0.5%</f>
        <v>263</v>
      </c>
      <c r="M66" s="313">
        <f ca="1">IF(L66&gt;0.5,0.5,ROUND(L66,0))</f>
        <v>0.5</v>
      </c>
      <c r="N66" s="469" t="s">
        <v>2988</v>
      </c>
      <c r="Z66" s="1434"/>
      <c r="AI66" s="1244"/>
    </row>
    <row r="67" spans="1:35" ht="14.25" customHeight="1">
      <c r="A67" s="535" t="s">
        <v>1890</v>
      </c>
      <c r="B67" s="536" t="s">
        <v>314</v>
      </c>
      <c r="C67" s="539">
        <f ca="1">C63-C66</f>
        <v>50095</v>
      </c>
      <c r="D67" s="532" t="s">
        <v>164</v>
      </c>
      <c r="E67" s="533"/>
      <c r="F67" s="2282"/>
      <c r="G67" s="2282"/>
      <c r="H67" s="2283"/>
      <c r="I67" s="2277"/>
      <c r="J67" s="3481"/>
      <c r="K67" s="3263" t="s">
        <v>2983</v>
      </c>
      <c r="L67" s="3261">
        <f ca="1">IF(M49&gt;=10000,(8.25+(M49-10000)*0.01%),IF(AND(M49&gt;=8000,M49&lt;10000),(7.85+(M49-8000)*0.02%),IF(AND(M49&gt;=5000,M49&lt;8000),(6.65+(M49-5000)*0.04%),IF(AND(M49&gt;=2000,M49&lt;5000),(4.25+(PM49-2000)*0.08%),IF(AND(M49&gt;=1000,M49&lt;2000),(2.75+(M49-1000)*0.15%),IF(AND(M49&gt;=100,M49&lt;1000),(0.5+(M49-100)*0.25%),IF(AND(M49&gt;0,M49&lt;100),M49*0.5%)))))))</f>
        <v>12.51</v>
      </c>
      <c r="M67" s="313">
        <f ca="1">ROUND(L67*0.9,1)</f>
        <v>11.3</v>
      </c>
      <c r="Z67" s="1434"/>
      <c r="AI67" s="1244"/>
    </row>
    <row r="68" spans="1:35" ht="14.25" customHeight="1" thickBot="1">
      <c r="A68" s="540" t="s">
        <v>1891</v>
      </c>
      <c r="B68" s="541" t="s">
        <v>315</v>
      </c>
      <c r="C68" s="542">
        <f ca="1">IF(C67&lt;=0,0,ROUND(C67*D68,0))</f>
        <v>2805</v>
      </c>
      <c r="D68" s="543">
        <f>'数据-取费表'!B41</f>
        <v>5.6000000000000001E-2</v>
      </c>
      <c r="E68" s="544"/>
      <c r="F68" s="2282"/>
      <c r="G68" s="2282"/>
      <c r="H68" s="2283"/>
      <c r="I68" s="2277"/>
      <c r="J68" s="3481"/>
      <c r="K68" s="3263" t="s">
        <v>2984</v>
      </c>
      <c r="L68" s="3261">
        <f ca="1">IF(M49&gt;10000,M49*0.5%,IF(AND(M49&gt;5000,M49&lt;=10000),M49*1%,IF(AND(M49&gt;1000,M49&lt;=5000),M49*2%,IF(AND(M49&gt;200,M49&lt;=1000),M49*3%,M49*5%))))</f>
        <v>263</v>
      </c>
      <c r="M68" s="313">
        <f ca="1">ROUND(L68,1)</f>
        <v>263</v>
      </c>
      <c r="Z68" s="1434"/>
      <c r="AI68" s="1244"/>
    </row>
    <row r="69" spans="1:35" s="1245" customFormat="1" ht="16.5" customHeight="1">
      <c r="A69" s="1259"/>
      <c r="B69" s="1260"/>
      <c r="C69" s="1261"/>
      <c r="D69" s="1262"/>
      <c r="E69" s="1263"/>
      <c r="F69" s="229"/>
      <c r="G69" s="229"/>
      <c r="H69" s="241"/>
      <c r="I69" s="1243"/>
      <c r="J69" s="3481"/>
      <c r="K69" s="3263" t="s">
        <v>184</v>
      </c>
      <c r="L69" s="3262"/>
      <c r="M69" s="313">
        <f ca="1">ROUND(SUM(M63:M68),0)</f>
        <v>853</v>
      </c>
      <c r="N69" s="3264">
        <f ca="1">M69/M49</f>
        <v>1.6216730038022813E-2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0" t="s">
        <v>316</v>
      </c>
      <c r="B70" s="3531"/>
      <c r="C70" s="3531"/>
      <c r="D70" s="3531"/>
      <c r="E70" s="3531"/>
      <c r="F70" s="3531"/>
      <c r="G70" s="3531"/>
      <c r="H70" s="3531"/>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20" t="s">
        <v>309</v>
      </c>
      <c r="B71" s="3521"/>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50095</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301</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527" t="s">
        <v>325</v>
      </c>
      <c r="F76" s="3526"/>
      <c r="G76" s="3526"/>
      <c r="H76" s="3529"/>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301</v>
      </c>
      <c r="D78" s="558">
        <f>'数据-取费表'!B43</f>
        <v>6.000000000000001E-3</v>
      </c>
      <c r="E78" s="3522" t="s">
        <v>2495</v>
      </c>
      <c r="F78" s="3518"/>
      <c r="G78" s="3518"/>
      <c r="H78" s="3519"/>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49794</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165.42857142857142</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1900</v>
      </c>
      <c r="B81" s="541" t="s">
        <v>330</v>
      </c>
      <c r="C81" s="560">
        <f ca="1">ROUND(IF(C79&lt;=0,0,IF(C80&gt;=200%,C79*60%-C73*35%,IF(C80&gt;=100%,C79*50%-C73*15%,IF(C80&gt;=50%,C79*40%-C73*5%,IF(C80&lt;50%,C79*30%,0))))),0)</f>
        <v>29771</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30" t="s">
        <v>331</v>
      </c>
      <c r="B83" s="3531"/>
      <c r="C83" s="3531"/>
      <c r="D83" s="3531"/>
      <c r="E83" s="3531"/>
      <c r="F83" s="3531"/>
      <c r="G83" s="3531"/>
      <c r="H83" s="3531"/>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20" t="s">
        <v>309</v>
      </c>
      <c r="B84" s="3521"/>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50095</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301</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517" t="s">
        <v>791</v>
      </c>
      <c r="F91" s="3518"/>
      <c r="G91" s="3518"/>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517" t="s">
        <v>340</v>
      </c>
      <c r="F92" s="3518"/>
      <c r="G92" s="3518"/>
      <c r="H92" s="3519"/>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301</v>
      </c>
      <c r="D93" s="558">
        <f>'数据-取费表'!B43</f>
        <v>6.000000000000001E-3</v>
      </c>
      <c r="E93" s="3522" t="s">
        <v>2495</v>
      </c>
      <c r="F93" s="3518"/>
      <c r="G93" s="3518"/>
      <c r="H93" s="3519"/>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570" t="s">
        <v>3040</v>
      </c>
      <c r="F94" s="3571"/>
      <c r="G94" s="3571"/>
      <c r="H94" s="3572"/>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49794</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165.42857142857142</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1900</v>
      </c>
      <c r="B97" s="541" t="s">
        <v>330</v>
      </c>
      <c r="C97" s="560">
        <f ca="1">ROUND(IF(C95&lt;=0,0,IF(C96&gt;=200%,C95*60%-C86*35%,IF(C96&gt;=100%,C95*50%-C86*15%,IF(C96&gt;=50%,C95*40%-C86*5%,IF(C96&lt;50%,C95*30%,0))))),0)</f>
        <v>29771</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5" t="s">
        <v>227</v>
      </c>
      <c r="B100" s="3466"/>
      <c r="C100" s="3466"/>
      <c r="D100" s="3500"/>
      <c r="E100" s="3466" t="s">
        <v>2891</v>
      </c>
      <c r="F100" s="3466"/>
      <c r="G100" s="3466"/>
      <c r="H100" s="3500"/>
      <c r="I100" s="2277"/>
    </row>
    <row r="101" spans="1:35" ht="18.75" customHeight="1">
      <c r="A101" s="3508" t="s">
        <v>205</v>
      </c>
      <c r="B101" s="3509"/>
      <c r="C101" s="1266" t="str">
        <f>C4</f>
        <v>比较法-商业</v>
      </c>
      <c r="D101" s="1267" t="str">
        <f>D4</f>
        <v>收益法</v>
      </c>
      <c r="E101" s="3477" t="s">
        <v>1906</v>
      </c>
      <c r="F101" s="3478"/>
      <c r="G101" s="1268" t="s">
        <v>207</v>
      </c>
      <c r="H101" s="1986">
        <f ca="1">H118</f>
        <v>52600</v>
      </c>
      <c r="I101" s="2277"/>
    </row>
    <row r="102" spans="1:35" ht="18.75" customHeight="1">
      <c r="A102" s="3510" t="s">
        <v>206</v>
      </c>
      <c r="B102" s="1268" t="s">
        <v>207</v>
      </c>
      <c r="C102" s="1235">
        <f ca="1">C19</f>
        <v>67514</v>
      </c>
      <c r="D102" s="1236">
        <f ca="1">D19</f>
        <v>42657</v>
      </c>
      <c r="E102" s="3477"/>
      <c r="F102" s="3478"/>
      <c r="G102" s="1268" t="s">
        <v>208</v>
      </c>
      <c r="H102" s="711">
        <f ca="1">I118</f>
        <v>13889</v>
      </c>
      <c r="I102" s="2277"/>
    </row>
    <row r="103" spans="1:35" ht="42.75" customHeight="1">
      <c r="A103" s="3510"/>
      <c r="B103" s="1268" t="s">
        <v>208</v>
      </c>
      <c r="C103" s="1237">
        <f ca="1">C20</f>
        <v>17828</v>
      </c>
      <c r="D103" s="1238">
        <f ca="1">D20</f>
        <v>11264</v>
      </c>
      <c r="E103" s="3471" t="s">
        <v>3001</v>
      </c>
      <c r="F103" s="3472"/>
      <c r="G103" s="1269" t="s">
        <v>210</v>
      </c>
      <c r="H103" s="1986">
        <f>IF(D36="正常操作",H104+H105+H106,H105+H106)</f>
        <v>0</v>
      </c>
      <c r="I103" s="2277"/>
    </row>
    <row r="104" spans="1:35" ht="18.75" customHeight="1">
      <c r="A104" s="3510" t="s">
        <v>209</v>
      </c>
      <c r="B104" s="1270" t="s">
        <v>207</v>
      </c>
      <c r="C104" s="1239">
        <f ca="1">H118</f>
        <v>52600</v>
      </c>
      <c r="D104" s="1240"/>
      <c r="E104" s="13" t="s">
        <v>1905</v>
      </c>
      <c r="F104" s="6"/>
      <c r="G104" s="1269" t="s">
        <v>210</v>
      </c>
      <c r="H104" s="1987">
        <f>IF(D36="同一抵押权人同一抵押物续贷",C36&amp;"（未扣减，详见特别提示）",C36)</f>
        <v>20000</v>
      </c>
      <c r="I104" s="2277"/>
    </row>
    <row r="105" spans="1:35" ht="18.75" customHeight="1" thickBot="1">
      <c r="A105" s="3524"/>
      <c r="B105" s="1271" t="s">
        <v>208</v>
      </c>
      <c r="C105" s="1241">
        <f ca="1">I118</f>
        <v>13889</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2" t="str">
        <f>IF(项目基本情况!E8="已注销","——","3.房地产抵押价值")</f>
        <v>3.房地产抵押价值</v>
      </c>
      <c r="F107" s="3478"/>
      <c r="G107" s="1268" t="s">
        <v>207</v>
      </c>
      <c r="H107" s="1986">
        <f ca="1">IF(E107="——","——",H101-H103)</f>
        <v>52600</v>
      </c>
      <c r="I107" s="2277"/>
    </row>
    <row r="108" spans="1:35" ht="18.75" customHeight="1">
      <c r="A108" s="2277"/>
      <c r="B108" s="2277"/>
      <c r="C108" s="2277"/>
      <c r="D108" s="2277"/>
      <c r="E108" s="3512"/>
      <c r="F108" s="3478"/>
      <c r="G108" s="1268" t="s">
        <v>208</v>
      </c>
      <c r="H108" s="711">
        <f ca="1">ROUND(H107*10000/'数据-汇总表'!E3,0)</f>
        <v>13889</v>
      </c>
      <c r="I108" s="2277"/>
    </row>
    <row r="109" spans="1:35" ht="18.75" customHeight="1">
      <c r="A109" s="2277"/>
      <c r="B109" s="2277"/>
      <c r="C109" s="2277"/>
      <c r="D109" s="2277"/>
      <c r="E109" s="3512" t="str">
        <f>IF(项目基本情况!E8="已注销及未注销","4.抵押担保权已注销时的房地产抵押价值",IF(项目基本情况!E8="已注销","3.抵押担保权已注销时的房地产抵押价值","——"))</f>
        <v>——</v>
      </c>
      <c r="F109" s="3478"/>
      <c r="G109" s="1268" t="s">
        <v>207</v>
      </c>
      <c r="H109" s="685" t="str">
        <f>IF(E109="——","——",H101-H105-H106)</f>
        <v>——</v>
      </c>
      <c r="I109" s="2277"/>
    </row>
    <row r="110" spans="1:35" ht="18.75" customHeight="1">
      <c r="A110" s="2277"/>
      <c r="B110" s="2277"/>
      <c r="C110" s="2277"/>
      <c r="D110" s="2277"/>
      <c r="E110" s="3512"/>
      <c r="F110" s="3478"/>
      <c r="G110" s="1268" t="s">
        <v>208</v>
      </c>
      <c r="H110" s="711" t="str">
        <f>IF(H109="——","——",ROUND(H109*10000/'数据-汇总表'!E3,0))</f>
        <v>——</v>
      </c>
      <c r="I110" s="2277"/>
    </row>
    <row r="111" spans="1:35" ht="18.75" customHeight="1">
      <c r="A111" s="2277"/>
      <c r="B111" s="2277"/>
      <c r="C111" s="2277"/>
      <c r="D111" s="2277"/>
      <c r="E111" s="3513" t="str">
        <f>IF(项目基本情况!E9="抵押净值",IF(OR(项目基本情况!E8="已注销",项目基本情况!E8="房地产抵押价值"),"4.抵押净值","5.抵押净值"),"——")</f>
        <v>——</v>
      </c>
      <c r="F111" s="3514"/>
      <c r="G111" s="1268" t="s">
        <v>207</v>
      </c>
      <c r="H111" s="1986" t="str">
        <f>IF(E111="——","——",N59)</f>
        <v>——</v>
      </c>
      <c r="I111" s="2277"/>
    </row>
    <row r="112" spans="1:35" ht="18.75" customHeight="1" thickBot="1">
      <c r="A112" s="2277"/>
      <c r="B112" s="2277"/>
      <c r="C112" s="2277"/>
      <c r="D112" s="2277"/>
      <c r="E112" s="3515"/>
      <c r="F112" s="3516"/>
      <c r="G112" s="1272" t="s">
        <v>208</v>
      </c>
      <c r="H112" s="1423" t="str">
        <f>IF(E111="——","——",N61)</f>
        <v>——</v>
      </c>
      <c r="I112" s="2277"/>
    </row>
    <row r="113" spans="1:11" ht="18.75" customHeight="1">
      <c r="A113" s="2277"/>
      <c r="B113" s="2277"/>
      <c r="C113" s="2277"/>
      <c r="D113" s="2277"/>
      <c r="E113" s="3525" t="s">
        <v>1999</v>
      </c>
      <c r="F113" s="3525"/>
      <c r="G113" s="3525"/>
      <c r="H113" s="3525"/>
      <c r="I113" s="2277"/>
    </row>
    <row r="114" spans="1:11" ht="3.75" customHeight="1">
      <c r="A114" s="1243"/>
      <c r="B114" s="1243"/>
      <c r="C114" s="1243"/>
      <c r="D114" s="1243"/>
      <c r="E114" s="1258"/>
      <c r="F114" s="1258"/>
      <c r="G114" s="1258"/>
      <c r="H114" s="1258"/>
      <c r="I114" s="1243"/>
    </row>
    <row r="115" spans="1:11" ht="18.75" customHeight="1">
      <c r="A115" s="3538" t="s">
        <v>223</v>
      </c>
      <c r="B115" s="3539"/>
      <c r="C115" s="3539"/>
      <c r="D115" s="3539"/>
      <c r="E115" s="3539"/>
      <c r="F115" s="3539"/>
      <c r="G115" s="3539"/>
      <c r="H115" s="3539"/>
      <c r="I115" s="3540"/>
    </row>
    <row r="116" spans="1:11" ht="27" customHeight="1">
      <c r="A116" s="3445" t="s">
        <v>5</v>
      </c>
      <c r="B116" s="3487" t="s">
        <v>3046</v>
      </c>
      <c r="C116" s="3487" t="s">
        <v>3180</v>
      </c>
      <c r="D116" s="3496" t="s">
        <v>203</v>
      </c>
      <c r="E116" s="3497"/>
      <c r="F116" s="3534" t="s">
        <v>3181</v>
      </c>
      <c r="G116" s="3534"/>
      <c r="H116" s="3445" t="s">
        <v>6</v>
      </c>
      <c r="I116" s="3445"/>
    </row>
    <row r="117" spans="1:11" ht="18.75" customHeight="1">
      <c r="A117" s="3445"/>
      <c r="B117" s="3488"/>
      <c r="C117" s="3488"/>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42370</v>
      </c>
      <c r="E118" s="1920">
        <f ca="1">ROUND(IF(C33="自定义",IF(D32="楼面单价",C34,D118*10000/B118),I118-G118),0)</f>
        <v>11188</v>
      </c>
      <c r="F118" s="1920">
        <f ca="1">ROUND(IF(D32="总价",C35,G118*B118/10000),0)</f>
        <v>10230</v>
      </c>
      <c r="G118" s="1920">
        <f ca="1">ROUND(IF(D32="楼面单价",C35,F118*10000/B118),0)</f>
        <v>2701</v>
      </c>
      <c r="H118" s="1920">
        <f ca="1">ROUND(IF(D32="总价",C32,I118*B118/10000),0)</f>
        <v>52600</v>
      </c>
      <c r="I118" s="1920">
        <f ca="1">ROUND(IF(D32="楼面单价",C32,H118*10000/B118),0)</f>
        <v>13889</v>
      </c>
    </row>
    <row r="119" spans="1:11" ht="18.75" customHeight="1">
      <c r="A119" s="3445" t="s">
        <v>9</v>
      </c>
      <c r="B119" s="3445"/>
      <c r="C119" s="3445"/>
      <c r="D119" s="3489" t="str">
        <f ca="1">NUMBERSTRING(INT(D118*10000),2)&amp;"元整"</f>
        <v>肆亿贰仟叁佰柒拾万元整</v>
      </c>
      <c r="E119" s="3490"/>
      <c r="F119" s="3489" t="str">
        <f ca="1">NUMBERSTRING(INT(F118*10000),2)&amp;"元整"</f>
        <v>壹亿零贰佰叁拾万元整</v>
      </c>
      <c r="G119" s="3490"/>
      <c r="H119" s="3489" t="str">
        <f ca="1">NUMBERSTRING(INT(H118*10000),2)&amp;"元整"</f>
        <v>伍亿贰仟陆佰万元整</v>
      </c>
      <c r="I119" s="3490"/>
    </row>
    <row r="120" spans="1:11" ht="18.75" customHeight="1">
      <c r="A120" s="3491" t="str">
        <f>IF(项目基本情况!B9="房地产市场价值","",MID(E103,3,LEN(E103)-2))</f>
        <v>估价师知悉的法定优先受偿款</v>
      </c>
      <c r="B120" s="3492"/>
      <c r="C120" s="3493"/>
      <c r="D120" s="3484">
        <f>H103</f>
        <v>0</v>
      </c>
      <c r="E120" s="3485"/>
      <c r="F120" s="3485"/>
      <c r="G120" s="3485"/>
      <c r="H120" s="3485"/>
      <c r="I120" s="3486"/>
      <c r="K120" s="1434" t="str">
        <f>IF(D120=0,"故，本次评估不存在"&amp;A120,"故，本次评估"&amp;A120&amp;"为人民币"&amp;D120&amp;"万元整。")</f>
        <v>故，本次评估不存在估价师知悉的法定优先受偿款</v>
      </c>
    </row>
    <row r="121" spans="1:11" ht="18.75" customHeight="1">
      <c r="A121" s="3535" t="s">
        <v>9</v>
      </c>
      <c r="B121" s="3536"/>
      <c r="C121" s="3537"/>
      <c r="D121" s="3489" t="str">
        <f>IF(D120=0,"零元整",NUMBERSTRING(INT(D120*10000),2)&amp;"元整")</f>
        <v>零元整</v>
      </c>
      <c r="E121" s="3494"/>
      <c r="F121" s="3494"/>
      <c r="G121" s="3494"/>
      <c r="H121" s="3494"/>
      <c r="I121" s="3490"/>
    </row>
    <row r="122" spans="1:11" ht="18.75" customHeight="1">
      <c r="A122" s="3498" t="str">
        <f>IF(项目基本情况!B9="房地产市场价值","",MID(E107,3,LEN(E107)-2))</f>
        <v>房地产抵押价值</v>
      </c>
      <c r="B122" s="3498"/>
      <c r="C122" s="3498"/>
      <c r="D122" s="3484">
        <f ca="1">H107</f>
        <v>52600</v>
      </c>
      <c r="E122" s="3485"/>
      <c r="F122" s="3485"/>
      <c r="G122" s="3485"/>
      <c r="H122" s="3485"/>
      <c r="I122" s="3486"/>
    </row>
    <row r="123" spans="1:11" ht="18.75" customHeight="1">
      <c r="A123" s="3445" t="s">
        <v>9</v>
      </c>
      <c r="B123" s="3445"/>
      <c r="C123" s="3445"/>
      <c r="D123" s="3489" t="str">
        <f ca="1">NUMBERSTRING(INT(D122*10000),2)&amp;"元整"</f>
        <v>伍亿贰仟陆佰万元整</v>
      </c>
      <c r="E123" s="3494"/>
      <c r="F123" s="3494"/>
      <c r="G123" s="3494"/>
      <c r="H123" s="3494"/>
      <c r="I123" s="3490"/>
    </row>
    <row r="124" spans="1:11" ht="18.75" customHeight="1">
      <c r="A124" s="3498" t="str">
        <f>IF(项目基本情况!B9="房地产市场价值","",MID(E109,3,LEN(E109)-2))</f>
        <v/>
      </c>
      <c r="B124" s="3498"/>
      <c r="C124" s="3498"/>
      <c r="D124" s="3484" t="str">
        <f>H109</f>
        <v>——</v>
      </c>
      <c r="E124" s="3485"/>
      <c r="F124" s="3485"/>
      <c r="G124" s="3485"/>
      <c r="H124" s="3485"/>
      <c r="I124" s="3486"/>
    </row>
    <row r="125" spans="1:11" ht="18.75" customHeight="1">
      <c r="A125" s="3445" t="s">
        <v>9</v>
      </c>
      <c r="B125" s="3445"/>
      <c r="C125" s="3445"/>
      <c r="D125" s="3489" t="e">
        <f>NUMBERSTRING(INT(D124*10000),2)&amp;"元整"</f>
        <v>#VALUE!</v>
      </c>
      <c r="E125" s="3494"/>
      <c r="F125" s="3494"/>
      <c r="G125" s="3494"/>
      <c r="H125" s="3494"/>
      <c r="I125" s="3490"/>
    </row>
    <row r="126" spans="1:11" ht="18.75" customHeight="1">
      <c r="A126" s="3498" t="str">
        <f>IF(项目基本情况!B9="房地产市场价值","",MID(E111,3,LEN(E111)-2))</f>
        <v/>
      </c>
      <c r="B126" s="3498"/>
      <c r="C126" s="3498"/>
      <c r="D126" s="3484" t="str">
        <f>H111</f>
        <v>——</v>
      </c>
      <c r="E126" s="3485"/>
      <c r="F126" s="3485"/>
      <c r="G126" s="3485"/>
      <c r="H126" s="3485"/>
      <c r="I126" s="3486"/>
    </row>
    <row r="127" spans="1:11" ht="18.75" customHeight="1">
      <c r="A127" s="3445" t="s">
        <v>9</v>
      </c>
      <c r="B127" s="3445"/>
      <c r="C127" s="3445"/>
      <c r="D127" s="3489" t="e">
        <f>NUMBERSTRING(INT(D126*10000),2)&amp;"元整"</f>
        <v>#VALUE!</v>
      </c>
      <c r="E127" s="3494"/>
      <c r="F127" s="3494"/>
      <c r="G127" s="3494"/>
      <c r="H127" s="3494"/>
      <c r="I127" s="3490"/>
    </row>
    <row r="128" spans="1:11" ht="21.75" customHeight="1">
      <c r="A128" s="3495" t="s">
        <v>1998</v>
      </c>
      <c r="B128" s="3495"/>
      <c r="C128" s="3495"/>
      <c r="D128" s="3495"/>
      <c r="E128" s="3495"/>
      <c r="F128" s="3495"/>
      <c r="G128" s="3495"/>
      <c r="H128" s="3495"/>
      <c r="I128" s="3495"/>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11270</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2976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15</v>
      </c>
      <c r="D20" s="608"/>
      <c r="E20" s="608"/>
      <c r="F20" s="609">
        <f>'数据-取费表'!B37</f>
        <v>0.02</v>
      </c>
      <c r="G20" s="2620" t="s">
        <v>2510</v>
      </c>
    </row>
    <row r="21" spans="1:7" s="590" customFormat="1" ht="13.5" customHeight="1">
      <c r="A21" s="1803" t="s">
        <v>2501</v>
      </c>
      <c r="B21" s="586" t="s">
        <v>834</v>
      </c>
      <c r="C21" s="611">
        <f>F21</f>
        <v>0.02</v>
      </c>
      <c r="D21" s="612" t="s">
        <v>855</v>
      </c>
      <c r="E21" s="608"/>
      <c r="F21" s="609">
        <f>'数据-取费表'!B38</f>
        <v>0.02</v>
      </c>
      <c r="G21" s="610" t="s">
        <v>835</v>
      </c>
    </row>
    <row r="22" spans="1:7" s="590" customFormat="1" ht="13.5" customHeight="1">
      <c r="A22" s="1803" t="s">
        <v>1913</v>
      </c>
      <c r="B22" s="586" t="s">
        <v>836</v>
      </c>
      <c r="C22" s="2699">
        <f ca="1">ROUND(SUM(C23:C25),0)</f>
        <v>33</v>
      </c>
      <c r="D22" s="611">
        <f ca="1">C26</f>
        <v>4.0000000000000002E-4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0</v>
      </c>
      <c r="D25" s="614"/>
      <c r="E25" s="617"/>
      <c r="F25" s="615"/>
      <c r="G25" s="618" t="s">
        <v>839</v>
      </c>
    </row>
    <row r="26" spans="1:7" s="590" customFormat="1">
      <c r="A26" s="1806" t="s">
        <v>1922</v>
      </c>
      <c r="B26" s="591" t="s">
        <v>2502</v>
      </c>
      <c r="C26" s="614">
        <f ca="1">ROUND(IF('数据-取费表'!B22&lt;=1,F21*F22*'数据-取费表'!B23/2,F21*(POWER((1+F22),'数据-取费表'!B23/2)-1)),4)</f>
        <v>4.0000000000000002E-4</v>
      </c>
      <c r="D26" s="614"/>
      <c r="E26" s="617"/>
      <c r="F26" s="615"/>
      <c r="G26" s="619"/>
    </row>
    <row r="27" spans="1:7" s="590" customFormat="1" ht="24.75">
      <c r="A27" s="1803" t="s">
        <v>1914</v>
      </c>
      <c r="B27" s="620" t="s">
        <v>841</v>
      </c>
      <c r="C27" s="621">
        <f ca="1">C28</f>
        <v>154</v>
      </c>
      <c r="D27" s="611">
        <f ca="1">C29</f>
        <v>4.0000000000000001E-3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154</v>
      </c>
      <c r="D28" s="611"/>
      <c r="E28" s="612"/>
      <c r="F28" s="622"/>
      <c r="G28" s="623"/>
    </row>
    <row r="29" spans="1:7" s="590" customFormat="1" ht="13.5" customHeight="1">
      <c r="A29" s="1806" t="s">
        <v>1919</v>
      </c>
      <c r="B29" s="624" t="s">
        <v>2505</v>
      </c>
      <c r="C29" s="614">
        <f ca="1">ROUND(C21*F27*'数据-取费表'!B21/'数据-取费表'!B20,4)</f>
        <v>4.0000000000000001E-3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1040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9464</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8332</v>
      </c>
      <c r="D34" s="593"/>
      <c r="E34" s="596"/>
      <c r="F34" s="633">
        <f ca="1">IF('数据-取费表'!B24=0,1,IF(B1="",'数据-取费表'!N16,INDIRECT("'数据-取费表'!n"&amp;$G$1)))</f>
        <v>1</v>
      </c>
      <c r="G34" s="595" t="s">
        <v>845</v>
      </c>
    </row>
    <row r="35" spans="1:7" ht="13.5" customHeight="1">
      <c r="A35" s="1806" t="s">
        <v>1923</v>
      </c>
      <c r="B35" s="591" t="s">
        <v>347</v>
      </c>
      <c r="C35" s="596">
        <f ca="1">ROUND(C34*F35,0)</f>
        <v>250</v>
      </c>
      <c r="D35" s="596"/>
      <c r="E35" s="596"/>
      <c r="F35" s="635">
        <f>'数据-取费表'!B33</f>
        <v>0.03</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125</v>
      </c>
      <c r="D38" s="596"/>
      <c r="E38" s="596"/>
      <c r="F38" s="635">
        <f>'数据-取费表'!B36</f>
        <v>1.4999999999999999E-2</v>
      </c>
      <c r="G38" s="595" t="s">
        <v>846</v>
      </c>
    </row>
    <row r="39" spans="1:7" s="590" customFormat="1" ht="13.5" customHeight="1">
      <c r="A39" s="1803" t="s">
        <v>1910</v>
      </c>
      <c r="B39" s="586" t="s">
        <v>833</v>
      </c>
      <c r="C39" s="608">
        <f ca="1">ROUND(C33*F20,0)</f>
        <v>189</v>
      </c>
      <c r="D39" s="608"/>
      <c r="E39" s="608"/>
      <c r="F39" s="609"/>
      <c r="G39" s="2620" t="s">
        <v>2513</v>
      </c>
    </row>
    <row r="40" spans="1:7" s="590" customFormat="1" ht="13.5" customHeight="1">
      <c r="A40" s="1803" t="s">
        <v>1911</v>
      </c>
      <c r="B40" s="586" t="s">
        <v>834</v>
      </c>
      <c r="C40" s="3233">
        <f>F21</f>
        <v>0.02</v>
      </c>
      <c r="D40" s="612" t="s">
        <v>858</v>
      </c>
      <c r="E40" s="608"/>
      <c r="F40" s="609"/>
      <c r="G40" s="610" t="s">
        <v>849</v>
      </c>
    </row>
    <row r="41" spans="1:7" s="590" customFormat="1" ht="13.5" customHeight="1">
      <c r="A41" s="1803" t="s">
        <v>1912</v>
      </c>
      <c r="B41" s="586" t="s">
        <v>836</v>
      </c>
      <c r="C41" s="608">
        <f ca="1">ROUND(SUM(C42:C43),0)</f>
        <v>210</v>
      </c>
      <c r="D41" s="611">
        <f ca="1">C44</f>
        <v>4.0000000000000002E-4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206</v>
      </c>
      <c r="D42" s="614"/>
      <c r="E42" s="614"/>
      <c r="F42" s="615"/>
      <c r="G42" s="3573" t="s">
        <v>850</v>
      </c>
    </row>
    <row r="43" spans="1:7" ht="13.5" customHeight="1">
      <c r="A43" s="1806" t="s">
        <v>1919</v>
      </c>
      <c r="B43" s="591" t="s">
        <v>2506</v>
      </c>
      <c r="C43" s="614">
        <f ca="1">ROUND(IF('数据-取费表'!B22&lt;=1,C39*F22*'数据-取费表'!B21/2,C39*(POWER((1+F22),'数据-取费表'!B21/2)-1)),0)</f>
        <v>4</v>
      </c>
      <c r="D43" s="614"/>
      <c r="E43" s="614"/>
      <c r="F43" s="615"/>
      <c r="G43" s="3574"/>
    </row>
    <row r="44" spans="1:7" ht="13.5" customHeight="1">
      <c r="A44" s="1806" t="s">
        <v>1920</v>
      </c>
      <c r="B44" s="591" t="s">
        <v>2508</v>
      </c>
      <c r="C44" s="614">
        <f ca="1">ROUND(IF('数据-取费表'!B22&lt;=1,C40*F22*'数据-取费表'!B21/2,C40*(POWER((1+F22),'数据-取费表'!B21/2)-1)),4)</f>
        <v>4.0000000000000002E-4</v>
      </c>
      <c r="D44" s="614"/>
      <c r="E44" s="614"/>
      <c r="F44" s="615"/>
      <c r="G44" s="3575"/>
    </row>
    <row r="45" spans="1:7" s="590" customFormat="1" ht="13.5" customHeight="1">
      <c r="A45" s="1803" t="s">
        <v>1913</v>
      </c>
      <c r="B45" s="620" t="s">
        <v>841</v>
      </c>
      <c r="C45" s="621">
        <f ca="1">C46</f>
        <v>1931</v>
      </c>
      <c r="D45" s="611">
        <f ca="1">C47</f>
        <v>4.0000000000000001E-3</v>
      </c>
      <c r="E45" s="612" t="s">
        <v>858</v>
      </c>
      <c r="F45" s="622"/>
      <c r="G45" s="623" t="s">
        <v>2514</v>
      </c>
    </row>
    <row r="46" spans="1:7" s="590" customFormat="1" ht="13.5" customHeight="1">
      <c r="A46" s="1806" t="s">
        <v>1918</v>
      </c>
      <c r="B46" s="624" t="s">
        <v>2507</v>
      </c>
      <c r="C46" s="625">
        <f ca="1">ROUND((C33+C39)*F27,0)</f>
        <v>1931</v>
      </c>
      <c r="D46" s="639"/>
      <c r="E46" s="612"/>
      <c r="F46" s="622"/>
      <c r="G46" s="623"/>
    </row>
    <row r="47" spans="1:7" s="590" customFormat="1" ht="13.5" customHeight="1">
      <c r="A47" s="1806" t="s">
        <v>1919</v>
      </c>
      <c r="B47" s="624" t="s">
        <v>2509</v>
      </c>
      <c r="C47" s="614">
        <f ca="1">ROUND(C40*F27,4)</f>
        <v>4.0000000000000001E-3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12788</v>
      </c>
      <c r="D49" s="608"/>
      <c r="E49" s="608"/>
      <c r="F49" s="640"/>
      <c r="G49" s="610" t="s">
        <v>2515</v>
      </c>
    </row>
    <row r="50" spans="1:7" s="634" customFormat="1" ht="24">
      <c r="A50" s="1803" t="s">
        <v>1916</v>
      </c>
      <c r="B50" s="586" t="s">
        <v>853</v>
      </c>
      <c r="C50" s="608"/>
      <c r="D50" s="608"/>
      <c r="E50" s="608"/>
      <c r="F50" s="640">
        <f>IF('数据-取费表'!B24=0,'数据-取费表'!N16,1)</f>
        <v>0.8</v>
      </c>
      <c r="G50" s="623" t="s">
        <v>854</v>
      </c>
    </row>
    <row r="51" spans="1:7" ht="16.5" customHeight="1">
      <c r="A51" s="1803" t="s">
        <v>1917</v>
      </c>
      <c r="B51" s="586" t="s">
        <v>861</v>
      </c>
      <c r="C51" s="608">
        <f ca="1">ROUND(C49*F50,0)</f>
        <v>10230</v>
      </c>
      <c r="D51" s="608"/>
      <c r="E51" s="608"/>
      <c r="F51" s="640"/>
      <c r="G51" s="610" t="s">
        <v>351</v>
      </c>
    </row>
    <row r="52" spans="1:7" s="584" customFormat="1" ht="16.5" thickBot="1">
      <c r="A52" s="641" t="s">
        <v>352</v>
      </c>
      <c r="B52" s="642"/>
      <c r="C52" s="643">
        <f ca="1">C31+C51</f>
        <v>11270</v>
      </c>
      <c r="D52" s="642"/>
      <c r="E52" s="642"/>
      <c r="F52" s="642"/>
      <c r="G52" s="644"/>
    </row>
    <row r="55" spans="1:7" ht="15">
      <c r="B55" s="646" t="s">
        <v>353</v>
      </c>
      <c r="C55" s="647"/>
    </row>
    <row r="56" spans="1:7">
      <c r="B56" s="2872" t="s">
        <v>2689</v>
      </c>
      <c r="C56" s="651">
        <f ca="1">1-C57</f>
        <v>9.1999999999999971E-2</v>
      </c>
    </row>
    <row r="57" spans="1:7">
      <c r="B57" s="2872" t="s">
        <v>2688</v>
      </c>
      <c r="C57" s="650">
        <f ca="1">ROUND(C51/C52,3)</f>
        <v>0.90800000000000003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0" t="str">
        <f>项目基本情况!B1</f>
        <v>重庆市北部新区金开大道1226号第三层房地产抵押价值预评估</v>
      </c>
      <c r="C37" s="3380"/>
      <c r="D37" s="3380"/>
      <c r="E37" s="3380"/>
      <c r="F37" s="3380"/>
      <c r="G37" s="3380"/>
      <c r="H37" s="3380"/>
      <c r="I37" s="3380"/>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12781</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3375</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371132</v>
      </c>
      <c r="D20" s="608"/>
      <c r="E20" s="608"/>
      <c r="F20" s="609">
        <f>'数据-取费表'!B37</f>
        <v>0.02</v>
      </c>
      <c r="G20" s="2620" t="s">
        <v>2510</v>
      </c>
    </row>
    <row r="21" spans="1:7" s="590" customFormat="1" ht="13.5" customHeight="1">
      <c r="A21" s="1803" t="s">
        <v>1912</v>
      </c>
      <c r="B21" s="586" t="s">
        <v>834</v>
      </c>
      <c r="C21" s="611">
        <f>F21</f>
        <v>0.02</v>
      </c>
      <c r="D21" s="612" t="s">
        <v>855</v>
      </c>
      <c r="E21" s="608"/>
      <c r="F21" s="609">
        <f>'数据-取费表'!B38</f>
        <v>0.02</v>
      </c>
      <c r="G21" s="610" t="s">
        <v>835</v>
      </c>
    </row>
    <row r="22" spans="1:7" s="590" customFormat="1" ht="13.5" customHeight="1">
      <c r="A22" s="1803" t="s">
        <v>1913</v>
      </c>
      <c r="B22" s="586" t="s">
        <v>836</v>
      </c>
      <c r="C22" s="2754">
        <f ca="1">ROUND(SUM(C23:C25),0)</f>
        <v>815285</v>
      </c>
      <c r="D22" s="611">
        <f ca="1">C26</f>
        <v>4.0000000000000002E-4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8072</v>
      </c>
      <c r="D25" s="614"/>
      <c r="E25" s="617"/>
      <c r="F25" s="615"/>
      <c r="G25" s="618" t="s">
        <v>839</v>
      </c>
    </row>
    <row r="26" spans="1:7" s="590" customFormat="1">
      <c r="A26" s="1806" t="s">
        <v>1922</v>
      </c>
      <c r="B26" s="591" t="s">
        <v>2502</v>
      </c>
      <c r="C26" s="614">
        <f ca="1">ROUND(IF('数据-取费表'!B22&lt;=1,F21*F22*'数据-取费表'!B22/2,F21*(POWER((1+F22),'数据-取费表'!B22/2)-1)),4)</f>
        <v>4.0000000000000002E-4</v>
      </c>
      <c r="D26" s="614"/>
      <c r="E26" s="617"/>
      <c r="F26" s="615"/>
      <c r="G26" s="619"/>
    </row>
    <row r="27" spans="1:7" s="590" customFormat="1" ht="24.75">
      <c r="A27" s="1803" t="s">
        <v>1914</v>
      </c>
      <c r="B27" s="620" t="s">
        <v>841</v>
      </c>
      <c r="C27" s="621">
        <f ca="1">C28</f>
        <v>3785549</v>
      </c>
      <c r="D27" s="611">
        <f ca="1">C29</f>
        <v>4.0000000000000001E-3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3785549</v>
      </c>
      <c r="D28" s="611"/>
      <c r="E28" s="612"/>
      <c r="F28" s="622"/>
      <c r="G28" s="623"/>
    </row>
    <row r="29" spans="1:7" s="590" customFormat="1" ht="13.5" customHeight="1">
      <c r="A29" s="1806" t="s">
        <v>1919</v>
      </c>
      <c r="B29" s="624" t="s">
        <v>2505</v>
      </c>
      <c r="C29" s="614">
        <f ca="1">ROUND(C21*F27,4)</f>
        <v>4.0000000000000001E-3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25510767</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94638729</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83315408</v>
      </c>
      <c r="D34" s="593"/>
      <c r="E34" s="596"/>
      <c r="F34" s="633"/>
      <c r="G34" s="595"/>
    </row>
    <row r="35" spans="1:7" ht="13.5" customHeight="1">
      <c r="A35" s="1806" t="s">
        <v>1923</v>
      </c>
      <c r="B35" s="591" t="s">
        <v>347</v>
      </c>
      <c r="C35" s="596">
        <f ca="1">ROUND(C34*F35,0)</f>
        <v>2499462</v>
      </c>
      <c r="D35" s="596"/>
      <c r="E35" s="596"/>
      <c r="F35" s="635">
        <f>'数据-取费表'!B33</f>
        <v>0.03</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1249731</v>
      </c>
      <c r="D38" s="596"/>
      <c r="E38" s="596"/>
      <c r="F38" s="635">
        <f>'数据-取费表'!B36</f>
        <v>1.4999999999999999E-2</v>
      </c>
      <c r="G38" s="595" t="s">
        <v>846</v>
      </c>
    </row>
    <row r="39" spans="1:7" s="590" customFormat="1" ht="13.5" customHeight="1">
      <c r="A39" s="1803" t="s">
        <v>1910</v>
      </c>
      <c r="B39" s="586" t="s">
        <v>833</v>
      </c>
      <c r="C39" s="608">
        <f ca="1">ROUND(C33*F20,0)</f>
        <v>1892775</v>
      </c>
      <c r="D39" s="608"/>
      <c r="E39" s="608"/>
      <c r="F39" s="609"/>
      <c r="G39" s="2620" t="s">
        <v>2513</v>
      </c>
    </row>
    <row r="40" spans="1:7" s="590" customFormat="1" ht="13.5" customHeight="1">
      <c r="A40" s="1803" t="s">
        <v>1911</v>
      </c>
      <c r="B40" s="586" t="s">
        <v>834</v>
      </c>
      <c r="C40" s="3233">
        <f>F21</f>
        <v>0.02</v>
      </c>
      <c r="D40" s="612" t="s">
        <v>858</v>
      </c>
      <c r="E40" s="608"/>
      <c r="F40" s="609"/>
      <c r="G40" s="610" t="s">
        <v>849</v>
      </c>
    </row>
    <row r="41" spans="1:7" s="590" customFormat="1" ht="13.5" customHeight="1">
      <c r="A41" s="1803" t="s">
        <v>1912</v>
      </c>
      <c r="B41" s="586" t="s">
        <v>836</v>
      </c>
      <c r="C41" s="608">
        <f ca="1">ROUND(SUM(C42:C43),0)</f>
        <v>2099560</v>
      </c>
      <c r="D41" s="611">
        <f ca="1">C44</f>
        <v>4.0000000000000002E-4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2058392</v>
      </c>
      <c r="D42" s="614"/>
      <c r="E42" s="614"/>
      <c r="F42" s="615"/>
      <c r="G42" s="3576" t="s">
        <v>2618</v>
      </c>
    </row>
    <row r="43" spans="1:7" ht="13.5" customHeight="1">
      <c r="A43" s="1806" t="s">
        <v>1919</v>
      </c>
      <c r="B43" s="591" t="s">
        <v>2498</v>
      </c>
      <c r="C43" s="614">
        <f ca="1">ROUND(IF('数据-取费表'!B22&lt;=1,C39*F22*'数据-取费表'!B20/2,C39*(POWER((1+F22),'数据-取费表'!B20/2)-1)),0)</f>
        <v>41168</v>
      </c>
      <c r="D43" s="614"/>
      <c r="E43" s="614"/>
      <c r="F43" s="615"/>
      <c r="G43" s="3574"/>
    </row>
    <row r="44" spans="1:7" ht="13.5" customHeight="1">
      <c r="A44" s="1806" t="s">
        <v>1920</v>
      </c>
      <c r="B44" s="591" t="s">
        <v>2500</v>
      </c>
      <c r="C44" s="614">
        <f ca="1">ROUND(IF('数据-取费表'!B22&lt;=1,C40*F22*'数据-取费表'!B20/2,C40*(POWER((1+F22),'数据-取费表'!B20/2)-1)),4)</f>
        <v>4.0000000000000002E-4</v>
      </c>
      <c r="D44" s="614"/>
      <c r="E44" s="614"/>
      <c r="F44" s="615"/>
      <c r="G44" s="3575"/>
    </row>
    <row r="45" spans="1:7" s="590" customFormat="1" ht="13.5" customHeight="1">
      <c r="A45" s="1803" t="s">
        <v>1913</v>
      </c>
      <c r="B45" s="620" t="s">
        <v>841</v>
      </c>
      <c r="C45" s="621">
        <f ca="1">C46</f>
        <v>19306301</v>
      </c>
      <c r="D45" s="611">
        <f ca="1">C47</f>
        <v>4.0000000000000001E-3</v>
      </c>
      <c r="E45" s="612" t="s">
        <v>858</v>
      </c>
      <c r="F45" s="622"/>
      <c r="G45" s="623" t="s">
        <v>2514</v>
      </c>
    </row>
    <row r="46" spans="1:7" s="590" customFormat="1" ht="13.5" customHeight="1">
      <c r="A46" s="1806" t="s">
        <v>1918</v>
      </c>
      <c r="B46" s="624" t="s">
        <v>2507</v>
      </c>
      <c r="C46" s="625">
        <f ca="1">ROUND((C33+C39)*F27,0)</f>
        <v>19306301</v>
      </c>
      <c r="D46" s="639"/>
      <c r="E46" s="612"/>
      <c r="F46" s="622"/>
      <c r="G46" s="623"/>
    </row>
    <row r="47" spans="1:7" s="590" customFormat="1" ht="13.5" customHeight="1">
      <c r="A47" s="1806" t="s">
        <v>1919</v>
      </c>
      <c r="B47" s="624" t="s">
        <v>2509</v>
      </c>
      <c r="C47" s="614">
        <f ca="1">ROUND(C40*F27,4)</f>
        <v>4.0000000000000001E-3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127873105</v>
      </c>
      <c r="D49" s="608"/>
      <c r="E49" s="608"/>
      <c r="F49" s="640"/>
      <c r="G49" s="610" t="s">
        <v>2515</v>
      </c>
    </row>
    <row r="50" spans="1:7" s="634" customFormat="1">
      <c r="A50" s="1803" t="s">
        <v>1916</v>
      </c>
      <c r="B50" s="586" t="s">
        <v>853</v>
      </c>
      <c r="C50" s="608"/>
      <c r="D50" s="608"/>
      <c r="E50" s="608"/>
      <c r="F50" s="640">
        <f>IF('数据-取费表'!B24=0,'数据-取费表'!N16,1)</f>
        <v>0.8</v>
      </c>
      <c r="G50" s="623"/>
    </row>
    <row r="51" spans="1:7" ht="16.5" customHeight="1">
      <c r="A51" s="1803" t="s">
        <v>1917</v>
      </c>
      <c r="B51" s="586" t="s">
        <v>2617</v>
      </c>
      <c r="C51" s="608">
        <f ca="1">ROUND(C49*F50,0)</f>
        <v>102298484</v>
      </c>
      <c r="D51" s="608"/>
      <c r="E51" s="608"/>
      <c r="F51" s="640"/>
      <c r="G51" s="610" t="s">
        <v>351</v>
      </c>
    </row>
    <row r="52" spans="1:7" s="584" customFormat="1" ht="16.5" thickBot="1">
      <c r="A52" s="641" t="s">
        <v>352</v>
      </c>
      <c r="B52" s="642"/>
      <c r="C52" s="643">
        <f ca="1">C31+C51</f>
        <v>127809251</v>
      </c>
      <c r="D52" s="642"/>
      <c r="E52" s="642"/>
      <c r="F52" s="642"/>
      <c r="G52" s="644"/>
    </row>
    <row r="55" spans="1:7" ht="15">
      <c r="B55" s="646" t="s">
        <v>353</v>
      </c>
      <c r="C55" s="647"/>
    </row>
    <row r="56" spans="1:7">
      <c r="B56" s="2872" t="s">
        <v>2689</v>
      </c>
      <c r="C56" s="651">
        <f ca="1">1-C57</f>
        <v>0.19999999999999996</v>
      </c>
    </row>
    <row r="57" spans="1:7">
      <c r="B57" s="2872" t="s">
        <v>2688</v>
      </c>
      <c r="C57" s="650">
        <f ca="1">ROUND(C51/C52,3)</f>
        <v>0.8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-1306</v>
      </c>
      <c r="C2" s="88" t="s">
        <v>1096</v>
      </c>
      <c r="D2" s="652"/>
      <c r="E2" s="652"/>
      <c r="F2" s="652"/>
      <c r="G2" s="652"/>
      <c r="H2" s="652"/>
      <c r="I2" s="652"/>
      <c r="J2" s="652"/>
      <c r="K2" s="652"/>
    </row>
    <row r="3" spans="1:33" ht="18" customHeight="1" thickBot="1">
      <c r="A3" s="579" t="s">
        <v>814</v>
      </c>
      <c r="B3" s="580">
        <f ca="1">ROUND(B2*10000/IF(C1="",'数据-汇总表'!E3,INDIRECT("'数据-取费表'!K"&amp;$K$1)),0)</f>
        <v>-345</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0.03</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22</v>
      </c>
      <c r="D22" s="657"/>
      <c r="E22" s="657"/>
      <c r="F22" s="1844">
        <f>'数据-取费表'!B37</f>
        <v>0.02</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0.02</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224</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224</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-1306</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J49" sqref="J4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42657</v>
      </c>
      <c r="C2" s="1300" t="s">
        <v>1097</v>
      </c>
      <c r="D2" s="1276"/>
      <c r="E2" s="2575"/>
      <c r="F2" s="1277"/>
      <c r="G2" s="2287"/>
      <c r="H2" s="1275"/>
      <c r="I2" s="1275"/>
      <c r="J2" s="1275"/>
      <c r="K2" s="1299"/>
      <c r="L2" s="1275"/>
      <c r="M2" s="1275"/>
    </row>
    <row r="3" spans="1:37" ht="18" customHeight="1" thickBot="1">
      <c r="A3" s="675" t="s">
        <v>814</v>
      </c>
      <c r="B3" s="1408">
        <f ca="1">IF(ISERROR(B2*10000/F43),0,ROUND(B2*10000/F43,0))</f>
        <v>11264</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235</v>
      </c>
      <c r="D5" s="2636" t="s">
        <v>2526</v>
      </c>
      <c r="E5" s="2627"/>
      <c r="F5" s="2628"/>
      <c r="G5" s="2288"/>
      <c r="H5" s="681">
        <v>1</v>
      </c>
      <c r="I5" s="682" t="s">
        <v>2524</v>
      </c>
      <c r="J5" s="2626">
        <f ca="1">J6+J10+J12</f>
        <v>3899</v>
      </c>
      <c r="K5" s="2629" t="s">
        <v>2526</v>
      </c>
      <c r="L5" s="2627"/>
      <c r="M5" s="2628"/>
    </row>
    <row r="6" spans="1:37" ht="18" customHeight="1">
      <c r="A6" s="2622" t="s">
        <v>2531</v>
      </c>
      <c r="B6" s="3579" t="s">
        <v>2525</v>
      </c>
      <c r="C6" s="2631">
        <f ca="1">ROUND(F6*F8*F7*(1-F9)/10000,0)</f>
        <v>235</v>
      </c>
      <c r="D6" s="2625" t="s">
        <v>2527</v>
      </c>
      <c r="E6" s="684" t="s">
        <v>910</v>
      </c>
      <c r="F6" s="685">
        <f ca="1">INDIRECT("'数据-取费表'!u"&amp;$G$1)</f>
        <v>0.17</v>
      </c>
      <c r="G6" s="2288"/>
      <c r="H6" s="2622" t="s">
        <v>2534</v>
      </c>
      <c r="I6" s="3579" t="s">
        <v>2525</v>
      </c>
      <c r="J6" s="683">
        <f ca="1">ROUND(M6*M8*M7*(1-M9)/10000,0)</f>
        <v>3894</v>
      </c>
      <c r="K6" s="2625" t="s">
        <v>2527</v>
      </c>
      <c r="L6" s="684" t="s">
        <v>910</v>
      </c>
      <c r="M6" s="685">
        <f ca="1">INDIRECT("'数据-取费表'!z"&amp;$G$1)</f>
        <v>3.1300400006100002</v>
      </c>
    </row>
    <row r="7" spans="1:37" ht="18" customHeight="1">
      <c r="A7" s="2630"/>
      <c r="B7" s="3580"/>
      <c r="C7" s="2632"/>
      <c r="D7" s="2062"/>
      <c r="E7" s="2633" t="s">
        <v>911</v>
      </c>
      <c r="F7" s="685">
        <f ca="1">IF(INDIRECT("'数据-取费表'!ah"&amp;$G$1)="",INDIRECT("'数据-取费表'!k"&amp;$G$1),INDIRECT("'数据-取费表'!ah"&amp;$G$1))</f>
        <v>37870.639999999999</v>
      </c>
      <c r="G7" s="2288"/>
      <c r="H7" s="686"/>
      <c r="I7" s="3580"/>
      <c r="J7" s="688"/>
      <c r="K7" s="689"/>
      <c r="L7" s="684" t="s">
        <v>911</v>
      </c>
      <c r="M7" s="685">
        <f ca="1">F7</f>
        <v>37870.639999999999</v>
      </c>
    </row>
    <row r="8" spans="1:37" ht="18" customHeight="1">
      <c r="A8" s="686"/>
      <c r="B8" s="3580"/>
      <c r="C8" s="688"/>
      <c r="D8" s="689"/>
      <c r="E8" s="684" t="s">
        <v>912</v>
      </c>
      <c r="F8" s="685">
        <f ca="1">INDIRECT("'数据-取费表'!ai"&amp;$G$1)</f>
        <v>365</v>
      </c>
      <c r="G8" s="2288"/>
      <c r="H8" s="686"/>
      <c r="I8" s="3580"/>
      <c r="J8" s="688"/>
      <c r="K8" s="689"/>
      <c r="L8" s="684" t="s">
        <v>912</v>
      </c>
      <c r="M8" s="685">
        <f ca="1">INDIRECT("'数据-取费表'!ai"&amp;$G$1)</f>
        <v>365</v>
      </c>
    </row>
    <row r="9" spans="1:37" ht="18" customHeight="1">
      <c r="A9" s="686"/>
      <c r="B9" s="3581"/>
      <c r="C9" s="688"/>
      <c r="D9" s="689"/>
      <c r="E9" s="684" t="s">
        <v>913</v>
      </c>
      <c r="F9" s="694">
        <f ca="1">INDIRECT("'数据-取费表'!w"&amp;$G$1)</f>
        <v>0</v>
      </c>
      <c r="G9" s="2288"/>
      <c r="H9" s="686"/>
      <c r="I9" s="3581"/>
      <c r="J9" s="688"/>
      <c r="K9" s="689"/>
      <c r="L9" s="695" t="s">
        <v>913</v>
      </c>
      <c r="M9" s="696">
        <f ca="1">INDIRECT("'数据-取费表'!ab"&amp;$G$1)</f>
        <v>0.1</v>
      </c>
    </row>
    <row r="10" spans="1:37" ht="18" customHeight="1">
      <c r="A10" s="2622" t="s">
        <v>2532</v>
      </c>
      <c r="B10" s="2623" t="s">
        <v>2520</v>
      </c>
      <c r="C10" s="698">
        <f ca="1">ROUND(IF(F10="押一",F6*F8*F7/12*F11,IF(F10="押二",F6*F8*F7/12*2*F11,IF(F10="押三",F6*F8*F7/12*3*F11,C11*F11)))/10000,0)</f>
        <v>0</v>
      </c>
      <c r="D10" s="2634" t="s">
        <v>2528</v>
      </c>
      <c r="E10" s="2097" t="s">
        <v>2522</v>
      </c>
      <c r="F10" s="2828" t="s">
        <v>3069</v>
      </c>
      <c r="G10" s="2288"/>
      <c r="H10" s="2622" t="s">
        <v>2535</v>
      </c>
      <c r="I10" s="2623" t="s">
        <v>2520</v>
      </c>
      <c r="J10" s="683">
        <f ca="1">ROUND(IF(M10="押一",M6*M8*M7/12*M11,IF(M10="押二",M6*M8*M7/12*2*M11,IF(M10="押三",M6*M8*M7/12*3*M11,J11*M11)))/10000,0)</f>
        <v>5</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10230</v>
      </c>
      <c r="D13" s="2668" t="s">
        <v>915</v>
      </c>
      <c r="E13" s="2668" t="s">
        <v>916</v>
      </c>
      <c r="F13" s="2669">
        <f ca="1">INDIRECT("'数据-取费表'!y"&amp;$G$1)</f>
        <v>0.8</v>
      </c>
      <c r="G13" s="2288"/>
      <c r="H13" s="2666">
        <v>2</v>
      </c>
      <c r="I13" s="2667" t="s">
        <v>914</v>
      </c>
      <c r="J13" s="2621">
        <f ca="1">ROUND(J14*J15,0)</f>
        <v>10230</v>
      </c>
      <c r="K13" s="2676" t="s">
        <v>915</v>
      </c>
      <c r="L13" s="2687"/>
      <c r="M13" s="2688"/>
    </row>
    <row r="14" spans="1:37" ht="18" customHeight="1">
      <c r="A14" s="2438" t="s">
        <v>2362</v>
      </c>
      <c r="B14" s="684" t="s">
        <v>356</v>
      </c>
      <c r="C14" s="702">
        <f ca="1">INDIRECT("'数据-取费表'!m"&amp;$G$1)+INDIRECT("'数据-取费表'!t"&amp;$G$1)</f>
        <v>8332</v>
      </c>
      <c r="D14" s="2215" t="s">
        <v>917</v>
      </c>
      <c r="E14" s="2214"/>
      <c r="F14" s="703"/>
      <c r="G14" s="2288"/>
      <c r="H14" s="2438" t="s">
        <v>2365</v>
      </c>
      <c r="I14" s="684" t="s">
        <v>918</v>
      </c>
      <c r="J14" s="313">
        <f ca="1">C29</f>
        <v>12788</v>
      </c>
      <c r="K14" s="303"/>
      <c r="L14" s="700"/>
      <c r="M14" s="701"/>
    </row>
    <row r="15" spans="1:37" s="706" customFormat="1" ht="18" customHeight="1" thickBot="1">
      <c r="A15" s="2438" t="s">
        <v>2597</v>
      </c>
      <c r="B15" s="684" t="s">
        <v>357</v>
      </c>
      <c r="C15" s="313">
        <f ca="1">ROUND(C14*F15,0)</f>
        <v>250</v>
      </c>
      <c r="D15" s="704" t="s">
        <v>919</v>
      </c>
      <c r="E15" s="704" t="s">
        <v>920</v>
      </c>
      <c r="F15" s="705">
        <f>'数据-取费表'!B33</f>
        <v>0.03</v>
      </c>
      <c r="G15" s="2289"/>
      <c r="H15" s="2678" t="s">
        <v>2372</v>
      </c>
      <c r="I15" s="2679" t="s">
        <v>916</v>
      </c>
      <c r="J15" s="2690">
        <f ca="1">INDIRECT("'数据-取费表'!ad"&amp;$G$1)</f>
        <v>0.8</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577</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330.9</v>
      </c>
      <c r="K17" s="2215" t="s">
        <v>925</v>
      </c>
      <c r="L17" s="2213" t="s">
        <v>926</v>
      </c>
      <c r="M17" s="708">
        <f ca="1">IF(项目基本情况!B11="企业","",IF(INDIRECT("'数据-取费表'!c"&amp;$G$1)="住宅",5%,IF(M6*M7*M8/12/(1+'数据-取费表'!C42)&gt;20000,12%,7%)))</f>
        <v>0.12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125</v>
      </c>
      <c r="D18" s="684" t="s">
        <v>919</v>
      </c>
      <c r="E18" s="684" t="s">
        <v>920</v>
      </c>
      <c r="F18" s="707">
        <f>'数据-取费表'!B36</f>
        <v>1.4999999999999999E-2</v>
      </c>
      <c r="G18" s="2289"/>
      <c r="H18" s="2438" t="s">
        <v>2362</v>
      </c>
      <c r="I18" s="684" t="s">
        <v>927</v>
      </c>
      <c r="J18" s="313">
        <f ca="1">ROUND(J5*M18/(1+'数据-取费表'!C42),2)</f>
        <v>207.95</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9464</v>
      </c>
      <c r="D19" s="471" t="s">
        <v>929</v>
      </c>
      <c r="E19" s="2223"/>
      <c r="F19" s="315"/>
      <c r="G19" s="2288"/>
      <c r="H19" s="2438" t="s">
        <v>2597</v>
      </c>
      <c r="I19" s="684" t="s">
        <v>930</v>
      </c>
      <c r="J19" s="313">
        <f ca="1">IF(K19="按租金收入计税",ROUND(J5*M19,2),ROUND(C29*M19*0.7,2))</f>
        <v>107.42</v>
      </c>
      <c r="K19" s="1301" t="s">
        <v>2404</v>
      </c>
      <c r="L19" s="684" t="s">
        <v>920</v>
      </c>
      <c r="M19" s="707">
        <f>IF(K19="按租金收入计税",'数据-取费表'!B51,'数据-取费表'!B50)</f>
        <v>1.2E-2</v>
      </c>
    </row>
    <row r="20" spans="1:37" s="706" customFormat="1" ht="18" customHeight="1">
      <c r="A20" s="2438" t="s">
        <v>2601</v>
      </c>
      <c r="B20" s="684" t="s">
        <v>364</v>
      </c>
      <c r="C20" s="313">
        <f ca="1">ROUND(C19*F20,0)</f>
        <v>189</v>
      </c>
      <c r="D20" s="709" t="s">
        <v>931</v>
      </c>
      <c r="E20" s="684" t="s">
        <v>920</v>
      </c>
      <c r="F20" s="707">
        <f>'数据-取费表'!B37</f>
        <v>0.02</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0.02</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191.8</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210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15.3</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4.0000000000000002E-4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39</v>
      </c>
      <c r="K24" s="2681" t="s">
        <v>946</v>
      </c>
      <c r="L24" s="2679" t="s">
        <v>920</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3322</v>
      </c>
      <c r="K25" s="2684" t="s">
        <v>949</v>
      </c>
      <c r="L25" s="2685"/>
      <c r="M25" s="2686"/>
    </row>
    <row r="26" spans="1:37" ht="18" customHeight="1">
      <c r="A26" s="2438" t="s">
        <v>2362</v>
      </c>
      <c r="B26" s="684" t="s">
        <v>2518</v>
      </c>
      <c r="C26" s="313">
        <f ca="1">ROUND((C19+C20)*F26,0)</f>
        <v>1931</v>
      </c>
      <c r="D26" s="709" t="s">
        <v>950</v>
      </c>
      <c r="E26" s="695" t="s">
        <v>951</v>
      </c>
      <c r="F26" s="694">
        <f ca="1">INDIRECT("'数据-取费表'!q"&amp;$G$1)</f>
        <v>0.2</v>
      </c>
      <c r="G26" s="2288"/>
      <c r="H26" s="681" t="s">
        <v>2348</v>
      </c>
      <c r="I26" s="682" t="s">
        <v>952</v>
      </c>
      <c r="J26" s="683">
        <f ca="1">IF(J5&lt;&gt;0,ROUND(J25*(1-((1+M28)/(1+M26))^M27)/(M26-M28),0),0)</f>
        <v>54610</v>
      </c>
      <c r="K26" s="710" t="s">
        <v>953</v>
      </c>
      <c r="L26" s="684" t="s">
        <v>959</v>
      </c>
      <c r="M26" s="694">
        <f ca="1">INDIRECT("'数据-取费表'!I"&amp;$G$1)</f>
        <v>5.5E-2</v>
      </c>
    </row>
    <row r="27" spans="1:37" ht="18" customHeight="1">
      <c r="A27" s="2438" t="s">
        <v>2368</v>
      </c>
      <c r="B27" s="684" t="s">
        <v>372</v>
      </c>
      <c r="C27" s="313">
        <f ca="1">ROUND(F21*F26,4)</f>
        <v>4.0000000000000001E-3</v>
      </c>
      <c r="D27" s="709" t="s">
        <v>954</v>
      </c>
      <c r="E27" s="704"/>
      <c r="F27" s="705"/>
      <c r="G27" s="2288"/>
      <c r="H27" s="686"/>
      <c r="I27" s="687"/>
      <c r="J27" s="688"/>
      <c r="K27" s="718" t="s">
        <v>955</v>
      </c>
      <c r="L27" s="684" t="s">
        <v>960</v>
      </c>
      <c r="M27" s="719">
        <f ca="1">INDIRECT("'数据-取费表'!ag"&amp;$G$1)</f>
        <v>22.07</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0.03</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12788</v>
      </c>
      <c r="D29" s="2681"/>
      <c r="E29" s="2679"/>
      <c r="F29" s="2682"/>
      <c r="G29" s="2289"/>
      <c r="H29" s="720" t="s">
        <v>2355</v>
      </c>
      <c r="I29" s="721" t="s">
        <v>956</v>
      </c>
      <c r="J29" s="722">
        <f ca="1">ROUND(J26/(1+F40)^F41,0)</f>
        <v>43079</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345</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135.5</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12.53</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107.42</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191.8</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15.3</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2.4</v>
      </c>
      <c r="D38" s="2681" t="s">
        <v>368</v>
      </c>
      <c r="E38" s="2679" t="s">
        <v>367</v>
      </c>
      <c r="F38" s="2675">
        <f ca="1">INDIRECT("'数据-取费表'!Am"&amp;$G$1)</f>
        <v>0.01</v>
      </c>
      <c r="G38" s="2288"/>
      <c r="H38" s="1290"/>
      <c r="I38" s="2881"/>
      <c r="J38" s="2882"/>
      <c r="K38" s="1295"/>
      <c r="L38" s="1290"/>
      <c r="M38" s="1290"/>
    </row>
    <row r="39" spans="1:18" ht="24.6" customHeight="1" thickTop="1">
      <c r="A39" s="2666" t="s">
        <v>2345</v>
      </c>
      <c r="B39" s="2683" t="s">
        <v>374</v>
      </c>
      <c r="C39" s="692">
        <f ca="1">C5-C30</f>
        <v>-110</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-422</v>
      </c>
      <c r="D40" s="710" t="s">
        <v>370</v>
      </c>
      <c r="E40" s="684" t="s">
        <v>371</v>
      </c>
      <c r="F40" s="694">
        <f ca="1">INDIRECT("'数据-取费表'!I"&amp;$G$1)</f>
        <v>5.5E-2</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4.43</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f ca="1">ROUND(C40*10000/F43,0)</f>
        <v>-111</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11795</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42657</v>
      </c>
      <c r="R47" s="2588" t="s">
        <v>2459</v>
      </c>
    </row>
    <row r="48" spans="1:18" s="1455" customFormat="1" ht="47.25" thickBot="1">
      <c r="A48" s="2711" t="s">
        <v>2608</v>
      </c>
      <c r="B48" s="682" t="s">
        <v>2324</v>
      </c>
      <c r="C48" s="2721">
        <f ca="1">C49+C53+C55</f>
        <v>3364</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3359</v>
      </c>
      <c r="D49" s="2533" t="s">
        <v>2325</v>
      </c>
      <c r="E49" s="2536" t="s">
        <v>2318</v>
      </c>
      <c r="F49" s="2539">
        <f>租约!B7</f>
        <v>2.7</v>
      </c>
      <c r="G49" s="1459"/>
      <c r="H49" s="1458"/>
      <c r="I49" s="2544" t="s">
        <v>2426</v>
      </c>
      <c r="J49" s="2556"/>
      <c r="K49" s="2566" t="s">
        <v>2431</v>
      </c>
      <c r="L49" s="2567"/>
      <c r="O49" s="2589" t="s">
        <v>2442</v>
      </c>
      <c r="P49" s="2597" t="s">
        <v>2461</v>
      </c>
      <c r="Q49" s="2588">
        <f ca="1">C29</f>
        <v>12788</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-13472</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5</v>
      </c>
      <c r="D53" s="2634" t="s">
        <v>2528</v>
      </c>
      <c r="E53" s="2097" t="s">
        <v>2522</v>
      </c>
      <c r="F53" s="2828" t="s">
        <v>3069</v>
      </c>
      <c r="I53" s="2570" t="s">
        <v>2438</v>
      </c>
      <c r="J53" s="2571">
        <f ca="1">IF(M47="住宅",J51,MIN(J51,L48))</f>
        <v>26.5</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7" t="s">
        <v>2446</v>
      </c>
      <c r="P53" s="2597" t="s">
        <v>2464</v>
      </c>
      <c r="Q53" s="2588">
        <f ca="1">Q47+Q48</f>
        <v>42657</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10230</v>
      </c>
      <c r="D56" s="2698"/>
      <c r="E56" s="2411"/>
      <c r="F56" s="2540"/>
      <c r="I56" s="2543" t="s">
        <v>2416</v>
      </c>
      <c r="J56" s="2572" t="s">
        <v>3043</v>
      </c>
      <c r="K56" s="2544" t="s">
        <v>2420</v>
      </c>
      <c r="L56" s="2168" t="str">
        <f ca="1">IF(L48&lt;J51,"——",L48-J51)</f>
        <v>——</v>
      </c>
      <c r="O56" s="2587" t="s">
        <v>2440</v>
      </c>
      <c r="P56" s="2597" t="s">
        <v>2458</v>
      </c>
      <c r="Q56" s="2588">
        <f ca="1">C40+J29</f>
        <v>42657</v>
      </c>
      <c r="R56" s="2588" t="s">
        <v>2459</v>
      </c>
    </row>
    <row r="57" spans="1:18" s="1455" customFormat="1" ht="29.25" thickBot="1">
      <c r="A57" s="2541"/>
      <c r="B57" s="2402" t="s">
        <v>2359</v>
      </c>
      <c r="C57" s="614">
        <f ca="1">C29</f>
        <v>12788</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543</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302.39999999999998</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179.41</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107.42</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42657</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191.8</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15.3</v>
      </c>
      <c r="D65" s="2420" t="s">
        <v>2343</v>
      </c>
      <c r="E65" s="2402" t="s">
        <v>2335</v>
      </c>
      <c r="F65" s="716">
        <f t="shared" ca="1" si="0"/>
        <v>1.5E-3</v>
      </c>
      <c r="I65" s="2547" t="s">
        <v>2425</v>
      </c>
      <c r="J65" s="3320">
        <v>40</v>
      </c>
      <c r="K65" s="3320">
        <v>30</v>
      </c>
      <c r="L65" s="3320">
        <v>50</v>
      </c>
      <c r="M65" s="3318">
        <v>0.02</v>
      </c>
      <c r="O65" s="2587" t="s">
        <v>2440</v>
      </c>
      <c r="P65" s="2597" t="s">
        <v>2458</v>
      </c>
      <c r="Q65" s="2588">
        <f ca="1">C40+J29</f>
        <v>42657</v>
      </c>
      <c r="R65" s="2588" t="s">
        <v>2459</v>
      </c>
    </row>
    <row r="66" spans="1:18" s="1455" customFormat="1" ht="20.25" thickBot="1">
      <c r="A66" s="2438" t="s">
        <v>2367</v>
      </c>
      <c r="B66" s="2402" t="s">
        <v>364</v>
      </c>
      <c r="C66" s="313">
        <f ca="1">ROUND(C48*F66,1)</f>
        <v>33.6</v>
      </c>
      <c r="D66" s="2420" t="s">
        <v>2344</v>
      </c>
      <c r="E66" s="2402" t="s">
        <v>2335</v>
      </c>
      <c r="F66" s="694">
        <f t="shared" ca="1" si="0"/>
        <v>0.01</v>
      </c>
      <c r="O66" s="2587" t="s">
        <v>2441</v>
      </c>
      <c r="P66" s="2597" t="s">
        <v>2465</v>
      </c>
      <c r="Q66" s="2588">
        <f ca="1">L60</f>
        <v>0</v>
      </c>
      <c r="R66" s="2588" t="s">
        <v>2448</v>
      </c>
    </row>
    <row r="67" spans="1:18" s="1455" customFormat="1" ht="24.75" thickBot="1">
      <c r="A67" s="2409" t="s">
        <v>2345</v>
      </c>
      <c r="B67" s="2423" t="s">
        <v>2346</v>
      </c>
      <c r="C67" s="698">
        <f ca="1">C48-C58</f>
        <v>2821</v>
      </c>
      <c r="D67" s="2419" t="s">
        <v>2347</v>
      </c>
      <c r="E67" s="2424"/>
      <c r="F67" s="2425"/>
      <c r="O67" s="2589" t="s">
        <v>2442</v>
      </c>
      <c r="P67" s="2597" t="s">
        <v>2472</v>
      </c>
      <c r="Q67" s="2592">
        <f ca="1">L51</f>
        <v>-13472</v>
      </c>
      <c r="R67" s="2593" t="s">
        <v>2482</v>
      </c>
    </row>
    <row r="68" spans="1:18" s="1455" customFormat="1" ht="20.25" thickBot="1">
      <c r="A68" s="2399" t="s">
        <v>2348</v>
      </c>
      <c r="B68" s="2400" t="s">
        <v>2349</v>
      </c>
      <c r="C68" s="683">
        <f ca="1">ROUND(C67*(1-((1+F70)/(1+F68))^F69)/(F68-F70),0)</f>
        <v>11373</v>
      </c>
      <c r="D68" s="2421" t="s">
        <v>2350</v>
      </c>
      <c r="E68" s="2402" t="s">
        <v>2351</v>
      </c>
      <c r="F68" s="694">
        <f ca="1">F40</f>
        <v>5.5E-2</v>
      </c>
      <c r="O68" s="2589" t="s">
        <v>2443</v>
      </c>
      <c r="P68" s="2598" t="s">
        <v>2476</v>
      </c>
      <c r="Q68" s="2588">
        <f ca="1">ROUND(Q69-Q70*Q71,0)</f>
        <v>-928</v>
      </c>
      <c r="R68" s="2588" t="s">
        <v>2481</v>
      </c>
    </row>
    <row r="69" spans="1:18" s="1455" customFormat="1" ht="15.75" thickBot="1">
      <c r="A69" s="2403"/>
      <c r="B69" s="2404"/>
      <c r="C69" s="688"/>
      <c r="D69" s="2426" t="s">
        <v>2352</v>
      </c>
      <c r="E69" s="2402" t="s">
        <v>2353</v>
      </c>
      <c r="F69" s="719">
        <f ca="1">F41</f>
        <v>4.43</v>
      </c>
      <c r="O69" s="2589" t="s">
        <v>2451</v>
      </c>
      <c r="P69" s="2598" t="s">
        <v>2466</v>
      </c>
      <c r="Q69" s="2588">
        <f ca="1">C39</f>
        <v>-110</v>
      </c>
      <c r="R69" s="2588" t="s">
        <v>2459</v>
      </c>
    </row>
    <row r="70" spans="1:18" s="1455" customFormat="1" ht="15.75" thickBot="1">
      <c r="A70" s="2406"/>
      <c r="B70" s="2407"/>
      <c r="C70" s="692"/>
      <c r="D70" s="2422"/>
      <c r="E70" s="2402" t="s">
        <v>2354</v>
      </c>
      <c r="F70" s="2532">
        <f>租约!G2</f>
        <v>0.03</v>
      </c>
      <c r="O70" s="2589" t="s">
        <v>2452</v>
      </c>
      <c r="P70" s="2598" t="s">
        <v>2467</v>
      </c>
      <c r="Q70" s="2588">
        <f ca="1">C13</f>
        <v>10230</v>
      </c>
      <c r="R70" s="2588" t="s">
        <v>2459</v>
      </c>
    </row>
    <row r="71" spans="1:18" s="1455" customFormat="1" ht="15.75" thickBot="1">
      <c r="A71" s="2427" t="s">
        <v>2355</v>
      </c>
      <c r="B71" s="2428" t="s">
        <v>2356</v>
      </c>
      <c r="C71" s="722">
        <f ca="1">ROUND(C68*10000/F71,0)</f>
        <v>3003</v>
      </c>
      <c r="D71" s="2429" t="s">
        <v>2357</v>
      </c>
      <c r="E71" s="2430" t="s">
        <v>2358</v>
      </c>
      <c r="F71" s="725">
        <f ca="1">F43</f>
        <v>37870.639999999999</v>
      </c>
      <c r="I71" s="2397"/>
      <c r="K71" s="2397"/>
      <c r="O71" s="2589" t="s">
        <v>2453</v>
      </c>
      <c r="P71" s="2598" t="s">
        <v>2479</v>
      </c>
      <c r="Q71" s="2590">
        <f ca="1">C76</f>
        <v>0.08</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818</v>
      </c>
      <c r="D75" s="1455"/>
      <c r="E75" s="1455"/>
      <c r="F75" s="1455"/>
      <c r="K75" s="1456"/>
      <c r="L75" s="1455"/>
      <c r="O75" s="2587" t="s">
        <v>2446</v>
      </c>
      <c r="P75" s="2597" t="s">
        <v>2464</v>
      </c>
      <c r="Q75" s="2588">
        <f ca="1">Q65+Q66</f>
        <v>42657</v>
      </c>
      <c r="R75" s="2588" t="s">
        <v>2447</v>
      </c>
    </row>
    <row r="76" spans="1:18">
      <c r="B76" s="731" t="s">
        <v>969</v>
      </c>
      <c r="C76" s="732">
        <f ca="1">INDIRECT("'数据-取费表'!j"&amp;$G$1)</f>
        <v>0.08</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8.4359999999999999</v>
      </c>
    </row>
    <row r="80" spans="1:18">
      <c r="B80" s="2873" t="s">
        <v>2690</v>
      </c>
      <c r="C80" s="650">
        <f ca="1">ROUND(C75/C39,3)</f>
        <v>-7.4359999999999999</v>
      </c>
    </row>
    <row r="81" spans="2:3">
      <c r="B81" s="646" t="s">
        <v>384</v>
      </c>
      <c r="C81" s="647"/>
    </row>
    <row r="82" spans="2:3">
      <c r="B82" s="2872" t="s">
        <v>2689</v>
      </c>
      <c r="C82" s="651">
        <f ca="1">1-C83</f>
        <v>25.242000000000001</v>
      </c>
    </row>
    <row r="83" spans="2:3">
      <c r="B83" s="2872" t="s">
        <v>2688</v>
      </c>
      <c r="C83" s="650">
        <f ca="1">ROUND(C13/C40,3)</f>
        <v>-24.242000000000001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79" t="s">
        <v>2525</v>
      </c>
      <c r="C6" s="2631">
        <f ca="1">ROUND(F6*F8*F7*(1-F9),0)</f>
        <v>0</v>
      </c>
      <c r="D6" s="2625" t="s">
        <v>2527</v>
      </c>
      <c r="E6" s="684" t="s">
        <v>910</v>
      </c>
      <c r="F6" s="685">
        <f ca="1">INDIRECT("'数据-取费表'!u"&amp;$G$1)</f>
        <v>0</v>
      </c>
      <c r="G6" s="2288"/>
      <c r="H6" s="2622" t="s">
        <v>2365</v>
      </c>
      <c r="I6" s="3579" t="s">
        <v>2525</v>
      </c>
      <c r="J6" s="683">
        <f ca="1">ROUND(M6*M8*M7*(1-M9),0)</f>
        <v>0</v>
      </c>
      <c r="K6" s="2625" t="s">
        <v>2527</v>
      </c>
      <c r="L6" s="684" t="s">
        <v>910</v>
      </c>
      <c r="M6" s="685">
        <f ca="1">INDIRECT("'数据-取费表'!z"&amp;$G$1)</f>
        <v>0</v>
      </c>
    </row>
    <row r="7" spans="1:37" ht="18" customHeight="1">
      <c r="A7" s="2630"/>
      <c r="B7" s="3580"/>
      <c r="C7" s="2632"/>
      <c r="D7" s="2062"/>
      <c r="E7" s="2633" t="s">
        <v>911</v>
      </c>
      <c r="F7" s="685">
        <f ca="1">IF(INDIRECT("'数据-取费表'!ah"&amp;$G$1)="",INDIRECT("'数据-取费表'!k"&amp;$G$1),INDIRECT("'数据-取费表'!ah"&amp;$G$1))</f>
        <v>0</v>
      </c>
      <c r="G7" s="2288"/>
      <c r="H7" s="686"/>
      <c r="I7" s="3580"/>
      <c r="J7" s="688"/>
      <c r="K7" s="689"/>
      <c r="L7" s="684" t="s">
        <v>911</v>
      </c>
      <c r="M7" s="685">
        <f ca="1">F7</f>
        <v>0</v>
      </c>
    </row>
    <row r="8" spans="1:37" ht="18" customHeight="1">
      <c r="A8" s="686"/>
      <c r="B8" s="3580"/>
      <c r="C8" s="688"/>
      <c r="D8" s="689"/>
      <c r="E8" s="684" t="s">
        <v>912</v>
      </c>
      <c r="F8" s="685">
        <f ca="1">INDIRECT("'数据-取费表'!ai"&amp;$G$1)</f>
        <v>0</v>
      </c>
      <c r="G8" s="2288"/>
      <c r="H8" s="686"/>
      <c r="I8" s="3580"/>
      <c r="J8" s="688"/>
      <c r="K8" s="689"/>
      <c r="L8" s="684" t="s">
        <v>912</v>
      </c>
      <c r="M8" s="685">
        <f ca="1">INDIRECT("'数据-取费表'!ai"&amp;$G$1)</f>
        <v>0</v>
      </c>
    </row>
    <row r="9" spans="1:37" ht="18" customHeight="1">
      <c r="A9" s="686"/>
      <c r="B9" s="3581"/>
      <c r="C9" s="688"/>
      <c r="D9" s="689"/>
      <c r="E9" s="684" t="s">
        <v>913</v>
      </c>
      <c r="F9" s="694">
        <f ca="1">INDIRECT("'数据-取费表'!w"&amp;$G$1)</f>
        <v>0</v>
      </c>
      <c r="G9" s="2288"/>
      <c r="H9" s="686"/>
      <c r="I9" s="3581"/>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0.03</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0.02</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0.02</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4.0000000000000002E-4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42657</v>
      </c>
      <c r="C2" s="2781" t="s">
        <v>2660</v>
      </c>
      <c r="D2" s="2782" t="s">
        <v>2665</v>
      </c>
      <c r="E2" s="2790">
        <f>SUM(E6:E13)</f>
        <v>37870.639999999999</v>
      </c>
    </row>
    <row r="3" spans="1:6" ht="14.25">
      <c r="A3" s="2786" t="s">
        <v>2664</v>
      </c>
      <c r="B3" s="2780">
        <f ca="1">ROUND(B2*10000/E2,0)</f>
        <v>11264</v>
      </c>
      <c r="C3" s="2781" t="s">
        <v>2661</v>
      </c>
      <c r="D3" s="2787"/>
      <c r="E3" s="2791"/>
    </row>
    <row r="4" spans="1:6" ht="14.25">
      <c r="A4" s="2792"/>
      <c r="B4" s="2787"/>
      <c r="C4" s="2787"/>
      <c r="D4" s="2787"/>
      <c r="E4" s="2791"/>
    </row>
    <row r="5" spans="1:6">
      <c r="A5" s="2796" t="s">
        <v>2667</v>
      </c>
      <c r="B5" s="3582" t="s">
        <v>2669</v>
      </c>
      <c r="C5" s="3582"/>
      <c r="D5" s="2795"/>
      <c r="E5" s="3334" t="s">
        <v>2668</v>
      </c>
      <c r="F5" s="3335" t="s">
        <v>3042</v>
      </c>
    </row>
    <row r="6" spans="1:6">
      <c r="A6" s="2793" t="str">
        <f>'数据-取费表'!AN6</f>
        <v>收益法</v>
      </c>
      <c r="B6" s="2789">
        <f ca="1">IF(F6="是",'数据-取费表'!AO6,0)</f>
        <v>42657</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2537</v>
      </c>
      <c r="B1" s="3584"/>
      <c r="C1" s="3585"/>
      <c r="D1" s="3586">
        <f>SUM(I10,I15,I20,I21,I23)</f>
        <v>0</v>
      </c>
      <c r="E1" s="3586"/>
      <c r="F1" s="3586"/>
      <c r="G1" s="3586"/>
      <c r="H1" s="3586"/>
      <c r="I1" s="3587"/>
    </row>
    <row r="2" spans="1:9">
      <c r="A2" s="3588" t="s">
        <v>2538</v>
      </c>
      <c r="B2" s="3589" t="s">
        <v>2539</v>
      </c>
      <c r="C2" s="3589"/>
      <c r="D2" s="2638" t="s">
        <v>2540</v>
      </c>
      <c r="E2" s="2638" t="s">
        <v>2541</v>
      </c>
      <c r="F2" s="2638" t="s">
        <v>2542</v>
      </c>
      <c r="G2" s="2638" t="s">
        <v>2543</v>
      </c>
      <c r="H2" s="2638" t="s">
        <v>2544</v>
      </c>
      <c r="I2" s="2639" t="s">
        <v>2545</v>
      </c>
    </row>
    <row r="3" spans="1:9">
      <c r="A3" s="3588"/>
      <c r="B3" s="3589" t="s">
        <v>2546</v>
      </c>
      <c r="C3" s="3589"/>
      <c r="D3" s="2640"/>
      <c r="E3" s="2638"/>
      <c r="F3" s="2641"/>
      <c r="G3" s="2641"/>
      <c r="H3" s="2642"/>
      <c r="I3" s="2643">
        <f>ROUND(D3*E3*F3*G3*H3/10000,0)</f>
        <v>0</v>
      </c>
    </row>
    <row r="4" spans="1:9">
      <c r="A4" s="3588"/>
      <c r="B4" s="3589" t="s">
        <v>2547</v>
      </c>
      <c r="C4" s="3589"/>
      <c r="D4" s="2640"/>
      <c r="E4" s="2638"/>
      <c r="F4" s="2641"/>
      <c r="G4" s="2641"/>
      <c r="H4" s="2642"/>
      <c r="I4" s="2643">
        <f t="shared" ref="I4:I9" si="0">ROUND(D4*E4*F4*G4*H4/10000,0)</f>
        <v>0</v>
      </c>
    </row>
    <row r="5" spans="1:9">
      <c r="A5" s="3588"/>
      <c r="B5" s="3589" t="s">
        <v>2548</v>
      </c>
      <c r="C5" s="3589"/>
      <c r="D5" s="2640"/>
      <c r="E5" s="2638"/>
      <c r="F5" s="2641"/>
      <c r="G5" s="2641"/>
      <c r="H5" s="2642"/>
      <c r="I5" s="2643">
        <f t="shared" si="0"/>
        <v>0</v>
      </c>
    </row>
    <row r="6" spans="1:9">
      <c r="A6" s="3588"/>
      <c r="B6" s="3589" t="s">
        <v>2549</v>
      </c>
      <c r="C6" s="3589"/>
      <c r="D6" s="2640"/>
      <c r="E6" s="2638"/>
      <c r="F6" s="2641"/>
      <c r="G6" s="2641"/>
      <c r="H6" s="2642"/>
      <c r="I6" s="2643">
        <f t="shared" si="0"/>
        <v>0</v>
      </c>
    </row>
    <row r="7" spans="1:9">
      <c r="A7" s="3588"/>
      <c r="B7" s="3589" t="s">
        <v>2550</v>
      </c>
      <c r="C7" s="3589"/>
      <c r="D7" s="2640"/>
      <c r="E7" s="2638"/>
      <c r="F7" s="2641"/>
      <c r="G7" s="2641"/>
      <c r="H7" s="2642"/>
      <c r="I7" s="2643">
        <f t="shared" si="0"/>
        <v>0</v>
      </c>
    </row>
    <row r="8" spans="1:9">
      <c r="A8" s="3588"/>
      <c r="B8" s="3589" t="s">
        <v>2551</v>
      </c>
      <c r="C8" s="3589"/>
      <c r="D8" s="2640"/>
      <c r="E8" s="2638"/>
      <c r="F8" s="2641"/>
      <c r="G8" s="2641"/>
      <c r="H8" s="2642"/>
      <c r="I8" s="2643">
        <f t="shared" si="0"/>
        <v>0</v>
      </c>
    </row>
    <row r="9" spans="1:9">
      <c r="A9" s="3588"/>
      <c r="B9" s="3589" t="s">
        <v>2552</v>
      </c>
      <c r="C9" s="3589"/>
      <c r="D9" s="2640"/>
      <c r="E9" s="2638"/>
      <c r="F9" s="2641"/>
      <c r="G9" s="2641"/>
      <c r="H9" s="2642"/>
      <c r="I9" s="2643">
        <f t="shared" si="0"/>
        <v>0</v>
      </c>
    </row>
    <row r="10" spans="1:9">
      <c r="A10" s="3588"/>
      <c r="B10" s="3590" t="s">
        <v>2553</v>
      </c>
      <c r="C10" s="3590"/>
      <c r="D10" s="2644"/>
      <c r="E10" s="2644" t="e">
        <f>ROUND(D1*10000/D10/H9,0)</f>
        <v>#DIV/0!</v>
      </c>
      <c r="F10" s="2645"/>
      <c r="G10" s="2645"/>
      <c r="H10" s="2646"/>
      <c r="I10" s="2647">
        <f>SUM(I3:I9)</f>
        <v>0</v>
      </c>
    </row>
    <row r="11" spans="1:9" ht="14.25">
      <c r="A11" s="3588" t="s">
        <v>2554</v>
      </c>
      <c r="B11" s="3589" t="s">
        <v>2555</v>
      </c>
      <c r="C11" s="3589"/>
      <c r="D11" s="2640" t="s">
        <v>2556</v>
      </c>
      <c r="E11" s="2640" t="s">
        <v>2557</v>
      </c>
      <c r="F11" s="2641" t="s">
        <v>2558</v>
      </c>
      <c r="G11" s="2641" t="s">
        <v>2544</v>
      </c>
      <c r="H11" s="2648" t="s">
        <v>2559</v>
      </c>
      <c r="I11" s="2639" t="s">
        <v>2545</v>
      </c>
    </row>
    <row r="12" spans="1:9">
      <c r="A12" s="3588"/>
      <c r="B12" s="3589" t="s">
        <v>2560</v>
      </c>
      <c r="C12" s="3589"/>
      <c r="D12" s="2640"/>
      <c r="E12" s="2640"/>
      <c r="F12" s="2641"/>
      <c r="G12" s="2642"/>
      <c r="H12" s="2649"/>
      <c r="I12" s="2639">
        <f>ROUND(D12*E12*F12*G12/10000,0)</f>
        <v>0</v>
      </c>
    </row>
    <row r="13" spans="1:9">
      <c r="A13" s="3588"/>
      <c r="B13" s="3589" t="s">
        <v>2561</v>
      </c>
      <c r="C13" s="3589"/>
      <c r="D13" s="2640"/>
      <c r="E13" s="2640"/>
      <c r="F13" s="2641"/>
      <c r="G13" s="2642"/>
      <c r="H13" s="2649"/>
      <c r="I13" s="2639">
        <f>ROUND(D13*E13*F13*G13/10000,0)</f>
        <v>0</v>
      </c>
    </row>
    <row r="14" spans="1:9">
      <c r="A14" s="3588"/>
      <c r="B14" s="3589" t="s">
        <v>2562</v>
      </c>
      <c r="C14" s="3589"/>
      <c r="D14" s="2640"/>
      <c r="E14" s="2640"/>
      <c r="F14" s="2641"/>
      <c r="G14" s="2642"/>
      <c r="H14" s="2649"/>
      <c r="I14" s="2639">
        <f>ROUND(D14*E14*F14*G14/10000,0)</f>
        <v>0</v>
      </c>
    </row>
    <row r="15" spans="1:9">
      <c r="A15" s="3588"/>
      <c r="B15" s="3590" t="s">
        <v>2553</v>
      </c>
      <c r="C15" s="3590"/>
      <c r="D15" s="2644"/>
      <c r="E15" s="2644">
        <f>SUM(E12:E14)</f>
        <v>0</v>
      </c>
      <c r="F15" s="2645"/>
      <c r="G15" s="2642"/>
      <c r="H15" s="2649"/>
      <c r="I15" s="2650">
        <f>SUM(I12:I14)</f>
        <v>0</v>
      </c>
    </row>
    <row r="16" spans="1:9" ht="24">
      <c r="A16" s="3588" t="s">
        <v>2563</v>
      </c>
      <c r="B16" s="3589" t="s">
        <v>2564</v>
      </c>
      <c r="C16" s="3589"/>
      <c r="D16" s="2640" t="s">
        <v>2540</v>
      </c>
      <c r="E16" s="2651" t="s">
        <v>2565</v>
      </c>
      <c r="F16" s="2641" t="s">
        <v>2566</v>
      </c>
      <c r="G16" s="2642" t="s">
        <v>2544</v>
      </c>
      <c r="H16" s="2648" t="s">
        <v>2559</v>
      </c>
      <c r="I16" s="2639" t="s">
        <v>2545</v>
      </c>
    </row>
    <row r="17" spans="1:9" ht="14.25">
      <c r="A17" s="3588"/>
      <c r="B17" s="3589" t="s">
        <v>2567</v>
      </c>
      <c r="C17" s="3589"/>
      <c r="D17" s="2640"/>
      <c r="E17" s="2640"/>
      <c r="F17" s="2641"/>
      <c r="G17" s="2642"/>
      <c r="H17" s="2652"/>
      <c r="I17" s="2653">
        <f>ROUND(D17*E17*F17*G17/10000,0)</f>
        <v>0</v>
      </c>
    </row>
    <row r="18" spans="1:9" ht="14.25">
      <c r="A18" s="3588"/>
      <c r="B18" s="3589" t="s">
        <v>2568</v>
      </c>
      <c r="C18" s="3589"/>
      <c r="D18" s="2640"/>
      <c r="E18" s="2640"/>
      <c r="F18" s="2641"/>
      <c r="G18" s="2642"/>
      <c r="H18" s="2652"/>
      <c r="I18" s="2653">
        <f>ROUND(D18*E18*F18*G18/10000,0)</f>
        <v>0</v>
      </c>
    </row>
    <row r="19" spans="1:9" ht="14.25">
      <c r="A19" s="3588"/>
      <c r="B19" s="3589" t="s">
        <v>2569</v>
      </c>
      <c r="C19" s="3589"/>
      <c r="D19" s="2640"/>
      <c r="E19" s="2640"/>
      <c r="F19" s="2641"/>
      <c r="G19" s="2642"/>
      <c r="H19" s="2652"/>
      <c r="I19" s="2653">
        <f>ROUND(D19*E19*F19*G19/10000,0)</f>
        <v>0</v>
      </c>
    </row>
    <row r="20" spans="1:9">
      <c r="A20" s="3588"/>
      <c r="B20" s="3590" t="s">
        <v>2553</v>
      </c>
      <c r="C20" s="3590"/>
      <c r="D20" s="2644">
        <f>SUM(D17:D19)</f>
        <v>0</v>
      </c>
      <c r="E20" s="2644"/>
      <c r="F20" s="2645"/>
      <c r="G20" s="2642"/>
      <c r="H20" s="2649"/>
      <c r="I20" s="2650">
        <f>SUM(I17:I19)</f>
        <v>0</v>
      </c>
    </row>
    <row r="21" spans="1:9">
      <c r="A21" s="3588" t="s">
        <v>2570</v>
      </c>
      <c r="B21" s="3592"/>
      <c r="C21" s="3592"/>
      <c r="D21" s="3592"/>
      <c r="E21" s="3592"/>
      <c r="F21" s="3592"/>
      <c r="G21" s="3592"/>
      <c r="H21" s="3295">
        <v>0.1</v>
      </c>
      <c r="I21" s="2647">
        <f>ROUND(I10*H21,0)</f>
        <v>0</v>
      </c>
    </row>
    <row r="22" spans="1:9" ht="14.25">
      <c r="A22" s="3593" t="s">
        <v>2571</v>
      </c>
      <c r="B22" s="3594"/>
      <c r="C22" s="3595"/>
      <c r="D22" s="2654" t="s">
        <v>2572</v>
      </c>
      <c r="E22" s="2654" t="s">
        <v>2573</v>
      </c>
      <c r="F22" s="2655" t="s">
        <v>2574</v>
      </c>
      <c r="G22" s="2655" t="s">
        <v>2575</v>
      </c>
      <c r="H22" s="2648" t="s">
        <v>2576</v>
      </c>
      <c r="I22" s="2639" t="s">
        <v>2577</v>
      </c>
    </row>
    <row r="23" spans="1:9" ht="14.25" thickBot="1">
      <c r="A23" s="3596"/>
      <c r="B23" s="3597"/>
      <c r="C23" s="3598"/>
      <c r="D23" s="2656"/>
      <c r="E23" s="2656"/>
      <c r="F23" s="2656"/>
      <c r="G23" s="2657"/>
      <c r="H23" s="2658"/>
      <c r="I23" s="2659">
        <f>ROUND(E23*D23*F23*(1-G23)/10000,0)</f>
        <v>0</v>
      </c>
    </row>
    <row r="26" spans="1:9">
      <c r="A26" s="2660" t="s">
        <v>2578</v>
      </c>
      <c r="B26" s="2660"/>
      <c r="C26" s="2660"/>
      <c r="D26" s="2660"/>
      <c r="E26" s="3599">
        <f>C27-C30-C31-C32</f>
        <v>0</v>
      </c>
      <c r="F26" s="3599"/>
      <c r="G26" s="3599"/>
      <c r="H26" s="3249" t="s">
        <v>2947</v>
      </c>
    </row>
    <row r="27" spans="1:9">
      <c r="A27" s="2661">
        <v>1</v>
      </c>
      <c r="B27" s="2662" t="s">
        <v>2579</v>
      </c>
      <c r="C27" s="2662">
        <f>C28+C29</f>
        <v>0</v>
      </c>
      <c r="D27" s="2662"/>
      <c r="E27" s="3600"/>
      <c r="F27" s="3600"/>
      <c r="G27" s="3600"/>
    </row>
    <row r="28" spans="1:9">
      <c r="A28" s="2663" t="s">
        <v>2580</v>
      </c>
      <c r="B28" s="2662" t="s">
        <v>2581</v>
      </c>
      <c r="C28" s="2662"/>
      <c r="D28" s="2662"/>
      <c r="E28" s="3600"/>
      <c r="F28" s="3600"/>
      <c r="G28" s="3600"/>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1"/>
      <c r="F32" s="3591"/>
      <c r="G32" s="3591"/>
    </row>
    <row r="33" spans="1:7" hidden="1">
      <c r="A33" s="3601" t="s">
        <v>2590</v>
      </c>
      <c r="B33" s="3602"/>
      <c r="C33" s="3602"/>
      <c r="D33" s="3603"/>
      <c r="E33" s="3599"/>
      <c r="F33" s="3599"/>
      <c r="G33" s="3599"/>
    </row>
    <row r="34" spans="1:7" hidden="1">
      <c r="A34" s="2665">
        <v>1</v>
      </c>
      <c r="B34" s="2662" t="s">
        <v>2591</v>
      </c>
      <c r="C34" s="2662"/>
      <c r="D34" s="2662"/>
      <c r="E34" s="3600"/>
      <c r="F34" s="3600"/>
      <c r="G34" s="3600"/>
    </row>
    <row r="35" spans="1:7" hidden="1">
      <c r="A35" s="2665">
        <v>2</v>
      </c>
      <c r="B35" s="2662" t="s">
        <v>2592</v>
      </c>
      <c r="C35" s="2662"/>
      <c r="D35" s="2662"/>
      <c r="E35" s="3600"/>
      <c r="F35" s="3600"/>
      <c r="G35" s="3600"/>
    </row>
    <row r="36" spans="1:7" hidden="1">
      <c r="A36" s="2665">
        <v>3</v>
      </c>
      <c r="B36" s="2662" t="s">
        <v>2593</v>
      </c>
      <c r="C36" s="2662"/>
      <c r="D36" s="2662"/>
      <c r="E36" s="3600"/>
      <c r="F36" s="3600"/>
      <c r="G36" s="3600"/>
    </row>
    <row r="37" spans="1:7" hidden="1">
      <c r="A37" s="2665">
        <v>4</v>
      </c>
      <c r="B37" s="2662" t="s">
        <v>2594</v>
      </c>
      <c r="C37" s="2662"/>
      <c r="D37" s="2662"/>
      <c r="E37" s="3600"/>
      <c r="F37" s="3600"/>
      <c r="G37" s="3600"/>
    </row>
    <row r="38" spans="1:7" hidden="1">
      <c r="A38" s="3601" t="s">
        <v>2595</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2" t="s">
        <v>981</v>
      </c>
      <c r="D4" s="3623"/>
      <c r="E4" s="3624" t="s">
        <v>982</v>
      </c>
      <c r="F4" s="3625"/>
      <c r="G4" s="3622" t="s">
        <v>983</v>
      </c>
      <c r="H4" s="3623"/>
      <c r="I4" s="3622" t="s">
        <v>984</v>
      </c>
      <c r="J4" s="3623"/>
      <c r="K4" s="145" t="s">
        <v>985</v>
      </c>
      <c r="L4" s="2295"/>
      <c r="M4" s="2296"/>
      <c r="N4" s="2296"/>
      <c r="O4" s="2296"/>
      <c r="P4" s="3626" t="s">
        <v>980</v>
      </c>
      <c r="Q4" s="3627"/>
      <c r="R4" s="3609" t="s">
        <v>982</v>
      </c>
      <c r="S4" s="3610"/>
      <c r="T4" s="3609" t="s">
        <v>983</v>
      </c>
      <c r="U4" s="3610"/>
      <c r="V4" s="3634" t="s">
        <v>984</v>
      </c>
      <c r="W4" s="3634"/>
      <c r="X4" s="1340"/>
      <c r="Y4" s="3609" t="s">
        <v>980</v>
      </c>
      <c r="Z4" s="3610"/>
      <c r="AA4" s="3604" t="s">
        <v>982</v>
      </c>
      <c r="AB4" s="3604" t="s">
        <v>983</v>
      </c>
      <c r="AC4" s="3604" t="s">
        <v>984</v>
      </c>
    </row>
    <row r="5" spans="1:29">
      <c r="A5" s="146"/>
      <c r="B5" s="147"/>
      <c r="C5" s="3615" t="s">
        <v>986</v>
      </c>
      <c r="D5" s="3616"/>
      <c r="E5" s="3613" t="s">
        <v>987</v>
      </c>
      <c r="F5" s="3614"/>
      <c r="G5" s="3615" t="s">
        <v>988</v>
      </c>
      <c r="H5" s="3616"/>
      <c r="I5" s="3615" t="s">
        <v>989</v>
      </c>
      <c r="J5" s="3616"/>
      <c r="K5" s="152"/>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990</v>
      </c>
      <c r="D6" s="3618"/>
      <c r="E6" s="3619" t="s">
        <v>990</v>
      </c>
      <c r="F6" s="3620"/>
      <c r="G6" s="3617" t="s">
        <v>990</v>
      </c>
      <c r="H6" s="3618"/>
      <c r="I6" s="3617" t="s">
        <v>990</v>
      </c>
      <c r="J6" s="3618"/>
      <c r="K6" s="152" t="s">
        <v>991</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07" t="s">
        <v>992</v>
      </c>
      <c r="Q7" s="3635"/>
      <c r="R7" s="1342" t="s">
        <v>112</v>
      </c>
      <c r="S7" s="1343">
        <f t="shared" ref="S7:S15" si="0">F7</f>
        <v>0</v>
      </c>
      <c r="T7" s="1342" t="s">
        <v>112</v>
      </c>
      <c r="U7" s="1343">
        <f t="shared" ref="U7:U15" si="1">H7</f>
        <v>0</v>
      </c>
      <c r="V7" s="1342" t="s">
        <v>112</v>
      </c>
      <c r="W7" s="1343">
        <f t="shared" ref="W7:W15" si="2">J7</f>
        <v>0</v>
      </c>
      <c r="X7" s="287"/>
      <c r="Y7" s="3607" t="s">
        <v>992</v>
      </c>
      <c r="Z7" s="3608"/>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07" t="s">
        <v>993</v>
      </c>
      <c r="Q8" s="3608"/>
      <c r="R8" s="1342" t="s">
        <v>112</v>
      </c>
      <c r="S8" s="1343">
        <f t="shared" si="0"/>
        <v>0</v>
      </c>
      <c r="T8" s="1342" t="s">
        <v>112</v>
      </c>
      <c r="U8" s="1343">
        <f t="shared" si="1"/>
        <v>0</v>
      </c>
      <c r="V8" s="1342" t="s">
        <v>112</v>
      </c>
      <c r="W8" s="1343">
        <f t="shared" si="2"/>
        <v>0</v>
      </c>
      <c r="X8" s="287"/>
      <c r="Y8" s="3607" t="s">
        <v>993</v>
      </c>
      <c r="Z8" s="3608"/>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1" t="s">
        <v>64</v>
      </c>
      <c r="Q9" s="7" t="str">
        <f t="shared" ref="Q9:Q15" si="6">B9</f>
        <v>用途</v>
      </c>
      <c r="R9" s="1342" t="s">
        <v>62</v>
      </c>
      <c r="S9" s="1343">
        <f t="shared" si="0"/>
        <v>100</v>
      </c>
      <c r="T9" s="1342" t="s">
        <v>62</v>
      </c>
      <c r="U9" s="1343">
        <f t="shared" si="1"/>
        <v>100</v>
      </c>
      <c r="V9" s="1342" t="s">
        <v>62</v>
      </c>
      <c r="W9" s="1343">
        <f t="shared" si="2"/>
        <v>100</v>
      </c>
      <c r="X9" s="287"/>
      <c r="Y9" s="3445"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1"/>
      <c r="Q10" s="7" t="str">
        <f t="shared" si="6"/>
        <v>土地使用年限（年）</v>
      </c>
      <c r="R10" s="1342" t="s">
        <v>62</v>
      </c>
      <c r="S10" s="1343">
        <f t="shared" si="0"/>
        <v>100</v>
      </c>
      <c r="T10" s="1342" t="s">
        <v>62</v>
      </c>
      <c r="U10" s="1343">
        <f t="shared" si="1"/>
        <v>100</v>
      </c>
      <c r="V10" s="1342" t="s">
        <v>62</v>
      </c>
      <c r="W10" s="1343">
        <f t="shared" si="2"/>
        <v>100</v>
      </c>
      <c r="X10" s="287"/>
      <c r="Y10" s="3445"/>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1"/>
      <c r="Q11" s="7" t="str">
        <f t="shared" si="6"/>
        <v>容积率</v>
      </c>
      <c r="R11" s="1342" t="s">
        <v>101</v>
      </c>
      <c r="S11" s="1343" t="e">
        <f t="shared" si="0"/>
        <v>#N/A</v>
      </c>
      <c r="T11" s="1342" t="s">
        <v>101</v>
      </c>
      <c r="U11" s="1343" t="e">
        <f t="shared" si="1"/>
        <v>#N/A</v>
      </c>
      <c r="V11" s="1342" t="s">
        <v>101</v>
      </c>
      <c r="W11" s="1343" t="e">
        <f t="shared" si="2"/>
        <v>#N/A</v>
      </c>
      <c r="X11" s="287"/>
      <c r="Y11" s="344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1"/>
      <c r="Q12" s="7">
        <f t="shared" si="6"/>
        <v>111</v>
      </c>
      <c r="R12" s="1342" t="s">
        <v>101</v>
      </c>
      <c r="S12" s="1343">
        <f t="shared" si="0"/>
        <v>100</v>
      </c>
      <c r="T12" s="1342" t="s">
        <v>101</v>
      </c>
      <c r="U12" s="1343">
        <f t="shared" si="1"/>
        <v>100</v>
      </c>
      <c r="V12" s="1342" t="s">
        <v>101</v>
      </c>
      <c r="W12" s="1343">
        <f t="shared" si="2"/>
        <v>100</v>
      </c>
      <c r="X12" s="287"/>
      <c r="Y12" s="344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1"/>
      <c r="Q13" s="7">
        <f t="shared" si="6"/>
        <v>111</v>
      </c>
      <c r="R13" s="1342" t="s">
        <v>101</v>
      </c>
      <c r="S13" s="1343">
        <f t="shared" si="0"/>
        <v>100</v>
      </c>
      <c r="T13" s="1342" t="s">
        <v>101</v>
      </c>
      <c r="U13" s="1343">
        <f t="shared" si="1"/>
        <v>100</v>
      </c>
      <c r="V13" s="1342" t="s">
        <v>101</v>
      </c>
      <c r="W13" s="1343">
        <f t="shared" si="2"/>
        <v>100</v>
      </c>
      <c r="X13" s="287"/>
      <c r="Y13" s="344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1"/>
      <c r="Q14" s="7">
        <f t="shared" si="6"/>
        <v>111</v>
      </c>
      <c r="R14" s="1342" t="s">
        <v>101</v>
      </c>
      <c r="S14" s="1343">
        <f t="shared" si="0"/>
        <v>100</v>
      </c>
      <c r="T14" s="1342" t="s">
        <v>101</v>
      </c>
      <c r="U14" s="1343">
        <f t="shared" si="1"/>
        <v>100</v>
      </c>
      <c r="V14" s="1342" t="s">
        <v>101</v>
      </c>
      <c r="W14" s="1343">
        <f t="shared" si="2"/>
        <v>100</v>
      </c>
      <c r="X14" s="287"/>
      <c r="Y14" s="3445"/>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48" t="s">
        <v>66</v>
      </c>
      <c r="Q15" s="1351" t="str">
        <f t="shared" si="6"/>
        <v>居住社区成熟度</v>
      </c>
      <c r="R15" s="1352" t="s">
        <v>101</v>
      </c>
      <c r="S15" s="1353">
        <f t="shared" si="0"/>
        <v>100</v>
      </c>
      <c r="T15" s="1352" t="s">
        <v>101</v>
      </c>
      <c r="U15" s="1353">
        <f t="shared" si="1"/>
        <v>100</v>
      </c>
      <c r="V15" s="1352" t="s">
        <v>101</v>
      </c>
      <c r="W15" s="1353">
        <f t="shared" si="2"/>
        <v>100</v>
      </c>
      <c r="X15" s="1340"/>
      <c r="Y15" s="3641"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81">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49"/>
      <c r="Q17" s="1351" t="str">
        <f>B17</f>
        <v>交通便捷度</v>
      </c>
      <c r="R17" s="1352" t="s">
        <v>101</v>
      </c>
      <c r="S17" s="1353">
        <f>F17</f>
        <v>100</v>
      </c>
      <c r="T17" s="1352" t="s">
        <v>101</v>
      </c>
      <c r="U17" s="1353">
        <f>H17</f>
        <v>100</v>
      </c>
      <c r="V17" s="1352" t="s">
        <v>101</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49"/>
      <c r="Q19" s="1351" t="str">
        <f>B19</f>
        <v>公共配套设施</v>
      </c>
      <c r="R19" s="1352" t="s">
        <v>101</v>
      </c>
      <c r="S19" s="1353">
        <f>F19</f>
        <v>100</v>
      </c>
      <c r="T19" s="1352" t="s">
        <v>101</v>
      </c>
      <c r="U19" s="1353">
        <f>H19</f>
        <v>100</v>
      </c>
      <c r="V19" s="1352" t="s">
        <v>101</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27">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49"/>
      <c r="Q21" s="2746" t="str">
        <f>B21</f>
        <v>基础设施水平</v>
      </c>
      <c r="R21" s="1352" t="s">
        <v>62</v>
      </c>
      <c r="S21" s="1353">
        <f>F21</f>
        <v>100</v>
      </c>
      <c r="T21" s="1352" t="s">
        <v>62</v>
      </c>
      <c r="U21" s="1353">
        <f>H21</f>
        <v>100</v>
      </c>
      <c r="V21" s="1352" t="s">
        <v>62</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49"/>
      <c r="Q22" s="2746"/>
      <c r="R22" s="1352"/>
      <c r="S22" s="1353"/>
      <c r="T22" s="1352"/>
      <c r="U22" s="1353"/>
      <c r="V22" s="1352"/>
      <c r="W22" s="1353"/>
      <c r="X22" s="2748"/>
      <c r="Y22" s="3642"/>
      <c r="Z22" s="2747"/>
      <c r="AA22" s="1355">
        <v>1</v>
      </c>
      <c r="AB22" s="1355">
        <v>1</v>
      </c>
      <c r="AC22" s="1355">
        <v>1</v>
      </c>
    </row>
    <row r="23" spans="1:29" ht="54">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49"/>
      <c r="Q23" s="1351" t="str">
        <f>B23</f>
        <v>自然及人文环境</v>
      </c>
      <c r="R23" s="1352" t="s">
        <v>101</v>
      </c>
      <c r="S23" s="1353">
        <f>F23</f>
        <v>100</v>
      </c>
      <c r="T23" s="1352" t="s">
        <v>101</v>
      </c>
      <c r="U23" s="1353">
        <f>H23</f>
        <v>100</v>
      </c>
      <c r="V23" s="1352" t="s">
        <v>101</v>
      </c>
      <c r="W23" s="1353">
        <f>J23</f>
        <v>100</v>
      </c>
      <c r="X23" s="1340"/>
      <c r="Y23" s="364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49"/>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42"/>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49"/>
      <c r="Q26" s="1351" t="str">
        <f t="shared" si="11"/>
        <v>朝向</v>
      </c>
      <c r="R26" s="1352" t="s">
        <v>101</v>
      </c>
      <c r="S26" s="1353">
        <f t="shared" si="12"/>
        <v>100</v>
      </c>
      <c r="T26" s="1352" t="s">
        <v>101</v>
      </c>
      <c r="U26" s="1353">
        <f t="shared" si="13"/>
        <v>100</v>
      </c>
      <c r="V26" s="1352" t="s">
        <v>101</v>
      </c>
      <c r="W26" s="1353">
        <f t="shared" si="14"/>
        <v>100</v>
      </c>
      <c r="X26" s="1340"/>
      <c r="Y26" s="364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49"/>
      <c r="Q27" s="7">
        <f t="shared" si="11"/>
        <v>111</v>
      </c>
      <c r="R27" s="1342" t="s">
        <v>101</v>
      </c>
      <c r="S27" s="1343">
        <f t="shared" si="12"/>
        <v>100</v>
      </c>
      <c r="T27" s="1342" t="s">
        <v>101</v>
      </c>
      <c r="U27" s="1343">
        <f t="shared" si="13"/>
        <v>100</v>
      </c>
      <c r="V27" s="1342" t="s">
        <v>101</v>
      </c>
      <c r="W27" s="1343">
        <f t="shared" si="14"/>
        <v>100</v>
      </c>
      <c r="X27" s="287"/>
      <c r="Y27" s="364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49"/>
      <c r="Q28" s="1351">
        <f t="shared" si="11"/>
        <v>111</v>
      </c>
      <c r="R28" s="1352" t="s">
        <v>101</v>
      </c>
      <c r="S28" s="1353">
        <f t="shared" si="12"/>
        <v>100</v>
      </c>
      <c r="T28" s="1352" t="s">
        <v>101</v>
      </c>
      <c r="U28" s="1353">
        <f t="shared" si="13"/>
        <v>100</v>
      </c>
      <c r="V28" s="1352" t="s">
        <v>101</v>
      </c>
      <c r="W28" s="1353">
        <f t="shared" si="14"/>
        <v>100</v>
      </c>
      <c r="X28" s="1340"/>
      <c r="Y28" s="364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49"/>
      <c r="Q29" s="1351">
        <f t="shared" si="11"/>
        <v>111</v>
      </c>
      <c r="R29" s="1352" t="s">
        <v>101</v>
      </c>
      <c r="S29" s="1353">
        <f t="shared" si="12"/>
        <v>100</v>
      </c>
      <c r="T29" s="1352" t="s">
        <v>101</v>
      </c>
      <c r="U29" s="1353">
        <f t="shared" si="13"/>
        <v>100</v>
      </c>
      <c r="V29" s="1352" t="s">
        <v>101</v>
      </c>
      <c r="W29" s="1353">
        <f t="shared" si="14"/>
        <v>100</v>
      </c>
      <c r="X29" s="1340"/>
      <c r="Y29" s="364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49"/>
      <c r="Q30" s="1351">
        <f t="shared" si="11"/>
        <v>111</v>
      </c>
      <c r="R30" s="1352" t="s">
        <v>101</v>
      </c>
      <c r="S30" s="1353">
        <f t="shared" si="12"/>
        <v>100</v>
      </c>
      <c r="T30" s="1352" t="s">
        <v>101</v>
      </c>
      <c r="U30" s="1353">
        <f t="shared" si="13"/>
        <v>100</v>
      </c>
      <c r="V30" s="1352" t="s">
        <v>101</v>
      </c>
      <c r="W30" s="1353">
        <f t="shared" si="14"/>
        <v>100</v>
      </c>
      <c r="X30" s="1340"/>
      <c r="Y30" s="364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49"/>
      <c r="Q31" s="1351">
        <f t="shared" si="11"/>
        <v>111</v>
      </c>
      <c r="R31" s="1352" t="s">
        <v>101</v>
      </c>
      <c r="S31" s="1353">
        <f t="shared" si="12"/>
        <v>100</v>
      </c>
      <c r="T31" s="1352" t="s">
        <v>101</v>
      </c>
      <c r="U31" s="1353">
        <f t="shared" si="13"/>
        <v>100</v>
      </c>
      <c r="V31" s="1352" t="s">
        <v>101</v>
      </c>
      <c r="W31" s="1353">
        <f t="shared" si="14"/>
        <v>100</v>
      </c>
      <c r="X31" s="1340"/>
      <c r="Y31" s="3642"/>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3" t="s">
        <v>67</v>
      </c>
      <c r="Q32" s="1351" t="str">
        <f t="shared" si="11"/>
        <v>建筑类型</v>
      </c>
      <c r="R32" s="1352" t="s">
        <v>101</v>
      </c>
      <c r="S32" s="1353">
        <f t="shared" si="12"/>
        <v>100</v>
      </c>
      <c r="T32" s="1352" t="s">
        <v>101</v>
      </c>
      <c r="U32" s="1353">
        <f t="shared" si="13"/>
        <v>100</v>
      </c>
      <c r="V32" s="1352" t="s">
        <v>101</v>
      </c>
      <c r="W32" s="1353">
        <f t="shared" si="14"/>
        <v>100</v>
      </c>
      <c r="X32" s="1340"/>
      <c r="Y32" s="3646"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4"/>
      <c r="Q33" s="1359" t="str">
        <f t="shared" si="11"/>
        <v>项目建筑规模</v>
      </c>
      <c r="R33" s="1360" t="s">
        <v>101</v>
      </c>
      <c r="S33" s="1361" t="e">
        <f t="shared" si="12"/>
        <v>#N/A</v>
      </c>
      <c r="T33" s="1360" t="s">
        <v>101</v>
      </c>
      <c r="U33" s="1361" t="e">
        <f t="shared" si="13"/>
        <v>#N/A</v>
      </c>
      <c r="V33" s="1360" t="s">
        <v>101</v>
      </c>
      <c r="W33" s="1361" t="e">
        <f t="shared" si="14"/>
        <v>#N/A</v>
      </c>
      <c r="X33" s="1362"/>
      <c r="Y33" s="3646"/>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4"/>
      <c r="Q34" s="1351" t="str">
        <f t="shared" si="11"/>
        <v>建筑结构</v>
      </c>
      <c r="R34" s="1352" t="s">
        <v>101</v>
      </c>
      <c r="S34" s="1353">
        <f t="shared" si="12"/>
        <v>100</v>
      </c>
      <c r="T34" s="1352" t="s">
        <v>101</v>
      </c>
      <c r="U34" s="1353">
        <f t="shared" si="13"/>
        <v>100</v>
      </c>
      <c r="V34" s="1352" t="s">
        <v>101</v>
      </c>
      <c r="W34" s="1353">
        <f t="shared" si="14"/>
        <v>100</v>
      </c>
      <c r="X34" s="1340"/>
      <c r="Y34" s="3646"/>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4"/>
      <c r="Q35" s="1351" t="str">
        <f t="shared" si="11"/>
        <v>建筑品质</v>
      </c>
      <c r="R35" s="1352" t="s">
        <v>101</v>
      </c>
      <c r="S35" s="1353">
        <f t="shared" si="12"/>
        <v>100</v>
      </c>
      <c r="T35" s="1352" t="s">
        <v>101</v>
      </c>
      <c r="U35" s="1353">
        <f t="shared" si="13"/>
        <v>100</v>
      </c>
      <c r="V35" s="1352" t="s">
        <v>101</v>
      </c>
      <c r="W35" s="1353">
        <f t="shared" si="14"/>
        <v>100</v>
      </c>
      <c r="X35" s="1340"/>
      <c r="Y35" s="3646"/>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4"/>
      <c r="Q36" s="1351" t="str">
        <f t="shared" si="11"/>
        <v>公共部分装修</v>
      </c>
      <c r="R36" s="1352" t="s">
        <v>101</v>
      </c>
      <c r="S36" s="1353">
        <f t="shared" si="12"/>
        <v>100</v>
      </c>
      <c r="T36" s="1352" t="s">
        <v>101</v>
      </c>
      <c r="U36" s="1353">
        <f t="shared" si="13"/>
        <v>100</v>
      </c>
      <c r="V36" s="1352" t="s">
        <v>101</v>
      </c>
      <c r="W36" s="1353">
        <f t="shared" si="14"/>
        <v>100</v>
      </c>
      <c r="X36" s="1340"/>
      <c r="Y36" s="3646"/>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4"/>
      <c r="Q37" s="7" t="str">
        <f t="shared" si="11"/>
        <v>成新度</v>
      </c>
      <c r="R37" s="1342" t="s">
        <v>101</v>
      </c>
      <c r="S37" s="1343" t="e">
        <f t="shared" si="12"/>
        <v>#N/A</v>
      </c>
      <c r="T37" s="1342" t="s">
        <v>101</v>
      </c>
      <c r="U37" s="1343" t="e">
        <f t="shared" si="13"/>
        <v>#N/A</v>
      </c>
      <c r="V37" s="1342" t="s">
        <v>101</v>
      </c>
      <c r="W37" s="1343" t="e">
        <f t="shared" si="14"/>
        <v>#N/A</v>
      </c>
      <c r="X37" s="287"/>
      <c r="Y37" s="3646"/>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4" t="s">
        <v>67</v>
      </c>
      <c r="Q38" s="1351" t="str">
        <f t="shared" si="11"/>
        <v>物业管理</v>
      </c>
      <c r="R38" s="1352" t="s">
        <v>101</v>
      </c>
      <c r="S38" s="1353">
        <f t="shared" si="12"/>
        <v>100</v>
      </c>
      <c r="T38" s="1352" t="s">
        <v>101</v>
      </c>
      <c r="U38" s="1353">
        <f t="shared" si="13"/>
        <v>100</v>
      </c>
      <c r="V38" s="1352" t="s">
        <v>101</v>
      </c>
      <c r="W38" s="1353">
        <f t="shared" si="14"/>
        <v>100</v>
      </c>
      <c r="X38" s="1340"/>
      <c r="Y38" s="3646"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4"/>
      <c r="Q39" s="1351" t="str">
        <f t="shared" si="11"/>
        <v>市政基础设施</v>
      </c>
      <c r="R39" s="1352" t="s">
        <v>101</v>
      </c>
      <c r="S39" s="1353">
        <f t="shared" si="12"/>
        <v>100</v>
      </c>
      <c r="T39" s="1352" t="s">
        <v>101</v>
      </c>
      <c r="U39" s="1353">
        <f t="shared" si="13"/>
        <v>100</v>
      </c>
      <c r="V39" s="1352" t="s">
        <v>101</v>
      </c>
      <c r="W39" s="1353">
        <f t="shared" si="14"/>
        <v>100</v>
      </c>
      <c r="X39" s="1340"/>
      <c r="Y39" s="3646"/>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4"/>
      <c r="Q40" s="1351" t="str">
        <f t="shared" si="11"/>
        <v>房型</v>
      </c>
      <c r="R40" s="1352" t="s">
        <v>101</v>
      </c>
      <c r="S40" s="1353">
        <f t="shared" si="12"/>
        <v>100</v>
      </c>
      <c r="T40" s="1352" t="s">
        <v>101</v>
      </c>
      <c r="U40" s="1353">
        <f t="shared" si="13"/>
        <v>100</v>
      </c>
      <c r="V40" s="1352" t="s">
        <v>101</v>
      </c>
      <c r="W40" s="1353">
        <f t="shared" si="14"/>
        <v>100</v>
      </c>
      <c r="X40" s="1340"/>
      <c r="Y40" s="3646"/>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4"/>
      <c r="Q41" s="1359" t="str">
        <f t="shared" si="11"/>
        <v>单套/主力户型建筑面积</v>
      </c>
      <c r="R41" s="1360" t="s">
        <v>101</v>
      </c>
      <c r="S41" s="1361">
        <f t="shared" si="12"/>
        <v>100</v>
      </c>
      <c r="T41" s="1360" t="s">
        <v>101</v>
      </c>
      <c r="U41" s="1361">
        <f t="shared" si="13"/>
        <v>100</v>
      </c>
      <c r="V41" s="1360" t="s">
        <v>101</v>
      </c>
      <c r="W41" s="1361">
        <f t="shared" si="14"/>
        <v>100</v>
      </c>
      <c r="X41" s="1362"/>
      <c r="Y41" s="3646"/>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4"/>
      <c r="Q42" s="1351" t="str">
        <f t="shared" si="11"/>
        <v>内部装修</v>
      </c>
      <c r="R42" s="1352" t="s">
        <v>101</v>
      </c>
      <c r="S42" s="1353">
        <f t="shared" si="12"/>
        <v>100</v>
      </c>
      <c r="T42" s="1352" t="s">
        <v>101</v>
      </c>
      <c r="U42" s="1353">
        <f t="shared" si="13"/>
        <v>100</v>
      </c>
      <c r="V42" s="1352" t="s">
        <v>101</v>
      </c>
      <c r="W42" s="1353">
        <f t="shared" si="14"/>
        <v>100</v>
      </c>
      <c r="X42" s="1340"/>
      <c r="Y42" s="3646"/>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4"/>
      <c r="Q43" s="1351" t="str">
        <f t="shared" si="11"/>
        <v>内部装修维护情况</v>
      </c>
      <c r="R43" s="1352" t="s">
        <v>101</v>
      </c>
      <c r="S43" s="1353">
        <f t="shared" si="12"/>
        <v>100</v>
      </c>
      <c r="T43" s="1352" t="s">
        <v>101</v>
      </c>
      <c r="U43" s="1353">
        <f t="shared" si="13"/>
        <v>100</v>
      </c>
      <c r="V43" s="1352" t="s">
        <v>101</v>
      </c>
      <c r="W43" s="1353">
        <f t="shared" si="14"/>
        <v>100</v>
      </c>
      <c r="X43" s="1340"/>
      <c r="Y43" s="364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4"/>
      <c r="Q44" s="7">
        <f t="shared" si="11"/>
        <v>111</v>
      </c>
      <c r="R44" s="1342" t="s">
        <v>101</v>
      </c>
      <c r="S44" s="1343">
        <f t="shared" si="12"/>
        <v>100</v>
      </c>
      <c r="T44" s="1342" t="s">
        <v>101</v>
      </c>
      <c r="U44" s="1343">
        <f t="shared" si="13"/>
        <v>100</v>
      </c>
      <c r="V44" s="1342" t="s">
        <v>101</v>
      </c>
      <c r="W44" s="1343">
        <f t="shared" si="14"/>
        <v>100</v>
      </c>
      <c r="X44" s="287"/>
      <c r="Y44" s="364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4"/>
      <c r="Q45" s="1351">
        <f t="shared" si="11"/>
        <v>111</v>
      </c>
      <c r="R45" s="1352" t="s">
        <v>101</v>
      </c>
      <c r="S45" s="1353">
        <f t="shared" si="12"/>
        <v>100</v>
      </c>
      <c r="T45" s="1352" t="s">
        <v>101</v>
      </c>
      <c r="U45" s="1353">
        <f t="shared" si="13"/>
        <v>100</v>
      </c>
      <c r="V45" s="1352" t="s">
        <v>101</v>
      </c>
      <c r="W45" s="1353">
        <f t="shared" si="14"/>
        <v>100</v>
      </c>
      <c r="X45" s="1340"/>
      <c r="Y45" s="364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5"/>
      <c r="Q46" s="1351">
        <f t="shared" si="11"/>
        <v>111</v>
      </c>
      <c r="R46" s="1352" t="s">
        <v>100</v>
      </c>
      <c r="S46" s="1353">
        <f t="shared" si="12"/>
        <v>100</v>
      </c>
      <c r="T46" s="1352" t="s">
        <v>100</v>
      </c>
      <c r="U46" s="1353">
        <f t="shared" si="13"/>
        <v>100</v>
      </c>
      <c r="V46" s="1352" t="s">
        <v>100</v>
      </c>
      <c r="W46" s="1353">
        <f t="shared" si="14"/>
        <v>100</v>
      </c>
      <c r="X46" s="1340"/>
      <c r="Y46" s="3647"/>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39" t="str">
        <f>A47</f>
        <v>成交单价（元/平方米）</v>
      </c>
      <c r="Q47" s="3639"/>
      <c r="R47" s="3640">
        <f>E47</f>
        <v>0</v>
      </c>
      <c r="S47" s="3640"/>
      <c r="T47" s="3640">
        <f>G47</f>
        <v>0</v>
      </c>
      <c r="U47" s="3640"/>
      <c r="V47" s="3640">
        <f>I47</f>
        <v>0</v>
      </c>
      <c r="W47" s="3640"/>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36" t="str">
        <f>A49</f>
        <v>估价对象XX用房的比较价值（楼面单价，元/平方米）</v>
      </c>
      <c r="Q49" s="3637"/>
      <c r="R49" s="3638" t="e">
        <f>IF(F1="售价",ROUND(AVERAGE(R48:V48),0),ROUND(AVERAGE(R48:V48),1))</f>
        <v>#DIV/0!</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25" sqref="L2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 ca="1">IF(C2="——",ROUND(C49*D3/10000,0),ROUND(C49*D3/10000,0)-D2)</f>
        <v>67514</v>
      </c>
      <c r="C2" s="3097" t="s">
        <v>3054</v>
      </c>
      <c r="D2" s="2724">
        <f ca="1">SUMIF(INDIRECT("'"&amp;F2&amp;"'"&amp;"!A:A"),"承租人权益价值",INDIRECT("'"&amp;F2&amp;"'"&amp;"!c:c"))</f>
        <v>11795</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 ca="1">IF(C2="——",C49,ROUND(B2*10000/D3,0))</f>
        <v>17828</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09" t="s">
        <v>55</v>
      </c>
      <c r="S4" s="3610"/>
      <c r="T4" s="3609" t="s">
        <v>56</v>
      </c>
      <c r="U4" s="3610"/>
      <c r="V4" s="3634" t="s">
        <v>57</v>
      </c>
      <c r="W4" s="3634"/>
      <c r="X4" s="1340"/>
      <c r="Y4" s="3609" t="s">
        <v>53</v>
      </c>
      <c r="Z4" s="3610"/>
      <c r="AA4" s="3604" t="s">
        <v>55</v>
      </c>
      <c r="AB4" s="3634" t="s">
        <v>56</v>
      </c>
      <c r="AC4" s="3604" t="s">
        <v>57</v>
      </c>
    </row>
    <row r="5" spans="1:29">
      <c r="A5" s="146"/>
      <c r="B5" s="147"/>
      <c r="C5" s="3615" t="s">
        <v>3071</v>
      </c>
      <c r="D5" s="3616"/>
      <c r="E5" s="3613" t="s">
        <v>3072</v>
      </c>
      <c r="F5" s="3614"/>
      <c r="G5" s="3615" t="s">
        <v>3072</v>
      </c>
      <c r="H5" s="3616"/>
      <c r="I5" s="3615" t="s">
        <v>3182</v>
      </c>
      <c r="J5" s="3616"/>
      <c r="K5" s="187"/>
      <c r="L5" s="2295"/>
      <c r="M5" s="2296"/>
      <c r="N5" s="2296"/>
      <c r="O5" s="2296"/>
      <c r="P5" s="3628"/>
      <c r="Q5" s="3629"/>
      <c r="R5" s="3611"/>
      <c r="S5" s="3612"/>
      <c r="T5" s="3611"/>
      <c r="U5" s="3612"/>
      <c r="V5" s="3634"/>
      <c r="W5" s="3634"/>
      <c r="X5" s="1340"/>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5"/>
      <c r="M6" s="2296"/>
      <c r="N6" s="2296"/>
      <c r="O6" s="2296"/>
      <c r="P6" s="3630"/>
      <c r="Q6" s="3631"/>
      <c r="R6" s="3611"/>
      <c r="S6" s="3612"/>
      <c r="T6" s="3632"/>
      <c r="U6" s="3633"/>
      <c r="V6" s="3634"/>
      <c r="W6" s="3634"/>
      <c r="X6" s="1340"/>
      <c r="Y6" s="3632"/>
      <c r="Z6" s="3633"/>
      <c r="AA6" s="3606"/>
      <c r="AB6" s="3634"/>
      <c r="AC6" s="3606"/>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07" t="s">
        <v>61</v>
      </c>
      <c r="Q7" s="3635"/>
      <c r="R7" s="1342" t="s">
        <v>62</v>
      </c>
      <c r="S7" s="1343">
        <f t="shared" ref="S7:S15" si="0">F7</f>
        <v>95</v>
      </c>
      <c r="T7" s="1342" t="s">
        <v>62</v>
      </c>
      <c r="U7" s="1343">
        <f t="shared" ref="U7:U15" si="1">H7</f>
        <v>98</v>
      </c>
      <c r="V7" s="1342" t="s">
        <v>62</v>
      </c>
      <c r="W7" s="1343">
        <f t="shared" ref="W7:W15" si="2">J7</f>
        <v>97</v>
      </c>
      <c r="X7" s="287"/>
      <c r="Y7" s="3607" t="s">
        <v>61</v>
      </c>
      <c r="Z7" s="3608"/>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07" t="s">
        <v>1015</v>
      </c>
      <c r="Q8" s="3608"/>
      <c r="R8" s="1342" t="s">
        <v>62</v>
      </c>
      <c r="S8" s="1343">
        <f t="shared" si="0"/>
        <v>100</v>
      </c>
      <c r="T8" s="1342" t="s">
        <v>62</v>
      </c>
      <c r="U8" s="1343">
        <f t="shared" si="1"/>
        <v>100</v>
      </c>
      <c r="V8" s="1342" t="s">
        <v>62</v>
      </c>
      <c r="W8" s="1343">
        <f t="shared" si="2"/>
        <v>100</v>
      </c>
      <c r="X8" s="287"/>
      <c r="Y8" s="3607" t="s">
        <v>1015</v>
      </c>
      <c r="Z8" s="3608"/>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7" t="str">
        <f t="shared" ref="Q9:Q15" si="6">B9</f>
        <v>用途</v>
      </c>
      <c r="R9" s="1342" t="s">
        <v>62</v>
      </c>
      <c r="S9" s="1343">
        <f t="shared" si="0"/>
        <v>100</v>
      </c>
      <c r="T9" s="1342" t="s">
        <v>62</v>
      </c>
      <c r="U9" s="1343">
        <f t="shared" si="1"/>
        <v>100</v>
      </c>
      <c r="V9" s="1342" t="s">
        <v>62</v>
      </c>
      <c r="W9" s="1343">
        <f t="shared" si="2"/>
        <v>100</v>
      </c>
      <c r="X9" s="287"/>
      <c r="Y9" s="3445"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1"/>
      <c r="Q10" s="7" t="str">
        <f t="shared" si="6"/>
        <v>土地使用年限（年）</v>
      </c>
      <c r="R10" s="1342" t="s">
        <v>62</v>
      </c>
      <c r="S10" s="1343">
        <f t="shared" si="0"/>
        <v>102</v>
      </c>
      <c r="T10" s="1342" t="s">
        <v>62</v>
      </c>
      <c r="U10" s="1343">
        <f t="shared" si="1"/>
        <v>102</v>
      </c>
      <c r="V10" s="1342" t="s">
        <v>62</v>
      </c>
      <c r="W10" s="1343">
        <f t="shared" si="2"/>
        <v>100</v>
      </c>
      <c r="X10" s="287"/>
      <c r="Y10" s="3445"/>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103</v>
      </c>
      <c r="G11" s="772">
        <v>1.29</v>
      </c>
      <c r="H11" s="426">
        <f>LOOKUP(G11,68:68,69:69)-LOOKUP(C11,68:68,69:69)+100</f>
        <v>103</v>
      </c>
      <c r="I11" s="772">
        <v>1.34</v>
      </c>
      <c r="J11" s="426">
        <f>LOOKUP(I11,68:68,69:69)-LOOKUP(C11,68:68,69:69)+100</f>
        <v>103</v>
      </c>
      <c r="K11" s="955">
        <v>1</v>
      </c>
      <c r="L11" s="2300"/>
      <c r="M11" s="2296"/>
      <c r="N11" s="2296"/>
      <c r="O11" s="2296"/>
      <c r="P11" s="3621"/>
      <c r="Q11" s="7" t="str">
        <f t="shared" si="6"/>
        <v>容积率</v>
      </c>
      <c r="R11" s="1342" t="s">
        <v>62</v>
      </c>
      <c r="S11" s="1343">
        <f t="shared" si="0"/>
        <v>103</v>
      </c>
      <c r="T11" s="1342" t="s">
        <v>62</v>
      </c>
      <c r="U11" s="1343">
        <f t="shared" si="1"/>
        <v>103</v>
      </c>
      <c r="V11" s="1342" t="s">
        <v>62</v>
      </c>
      <c r="W11" s="1343">
        <f t="shared" si="2"/>
        <v>103</v>
      </c>
      <c r="X11" s="287"/>
      <c r="Y11" s="3445"/>
      <c r="Z11" s="288" t="str">
        <f t="shared" si="7"/>
        <v>容积率</v>
      </c>
      <c r="AA11" s="1344">
        <f t="shared" si="3"/>
        <v>0.970873786407767</v>
      </c>
      <c r="AB11" s="1344">
        <f t="shared" si="4"/>
        <v>0.970873786407767</v>
      </c>
      <c r="AC11" s="1344">
        <f t="shared" si="5"/>
        <v>0.970873786407767</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7">
        <f t="shared" si="6"/>
        <v>0</v>
      </c>
      <c r="R12" s="1342" t="s">
        <v>62</v>
      </c>
      <c r="S12" s="1343">
        <f t="shared" si="0"/>
        <v>100</v>
      </c>
      <c r="T12" s="1342" t="s">
        <v>62</v>
      </c>
      <c r="U12" s="1343">
        <f t="shared" si="1"/>
        <v>100</v>
      </c>
      <c r="V12" s="1342" t="s">
        <v>62</v>
      </c>
      <c r="W12" s="1343">
        <f t="shared" si="2"/>
        <v>100</v>
      </c>
      <c r="X12" s="287"/>
      <c r="Y12" s="3445"/>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7">
        <f t="shared" si="6"/>
        <v>0</v>
      </c>
      <c r="R13" s="1342" t="s">
        <v>62</v>
      </c>
      <c r="S13" s="1343">
        <f t="shared" si="0"/>
        <v>100</v>
      </c>
      <c r="T13" s="1342" t="s">
        <v>62</v>
      </c>
      <c r="U13" s="1343">
        <f t="shared" si="1"/>
        <v>100</v>
      </c>
      <c r="V13" s="1342" t="s">
        <v>62</v>
      </c>
      <c r="W13" s="1343">
        <f t="shared" si="2"/>
        <v>100</v>
      </c>
      <c r="X13" s="287"/>
      <c r="Y13" s="3445"/>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7">
        <f t="shared" si="6"/>
        <v>0</v>
      </c>
      <c r="R14" s="1342" t="s">
        <v>62</v>
      </c>
      <c r="S14" s="1343">
        <f t="shared" si="0"/>
        <v>100</v>
      </c>
      <c r="T14" s="1342" t="s">
        <v>62</v>
      </c>
      <c r="U14" s="1343">
        <f t="shared" si="1"/>
        <v>100</v>
      </c>
      <c r="V14" s="1342" t="s">
        <v>62</v>
      </c>
      <c r="W14" s="1343">
        <f t="shared" si="2"/>
        <v>100</v>
      </c>
      <c r="X14" s="287"/>
      <c r="Y14" s="3445"/>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48" t="s">
        <v>66</v>
      </c>
      <c r="Q15" s="1351" t="str">
        <f t="shared" si="6"/>
        <v>商业繁华度</v>
      </c>
      <c r="R15" s="1352" t="s">
        <v>62</v>
      </c>
      <c r="S15" s="1353">
        <f t="shared" si="0"/>
        <v>102</v>
      </c>
      <c r="T15" s="1352" t="s">
        <v>62</v>
      </c>
      <c r="U15" s="1353">
        <f t="shared" si="1"/>
        <v>102</v>
      </c>
      <c r="V15" s="1352" t="s">
        <v>62</v>
      </c>
      <c r="W15" s="1353">
        <f t="shared" si="2"/>
        <v>102</v>
      </c>
      <c r="X15" s="1340"/>
      <c r="Y15" s="3641"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49"/>
      <c r="Q17" s="1351" t="str">
        <f>B17</f>
        <v>交通便捷度</v>
      </c>
      <c r="R17" s="1352" t="s">
        <v>62</v>
      </c>
      <c r="S17" s="1353">
        <f>F17</f>
        <v>100</v>
      </c>
      <c r="T17" s="1352" t="s">
        <v>62</v>
      </c>
      <c r="U17" s="1353">
        <f>H17</f>
        <v>100</v>
      </c>
      <c r="V17" s="1352" t="s">
        <v>62</v>
      </c>
      <c r="W17" s="1353">
        <f>J17</f>
        <v>100</v>
      </c>
      <c r="X17" s="1340"/>
      <c r="Y17" s="3642"/>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49"/>
      <c r="Q19" s="1351" t="str">
        <f>B19</f>
        <v>公共配套设施</v>
      </c>
      <c r="R19" s="1352" t="s">
        <v>62</v>
      </c>
      <c r="S19" s="1353">
        <f>F19</f>
        <v>100</v>
      </c>
      <c r="T19" s="1352" t="s">
        <v>62</v>
      </c>
      <c r="U19" s="1353">
        <f>H19</f>
        <v>100</v>
      </c>
      <c r="V19" s="1352" t="s">
        <v>62</v>
      </c>
      <c r="W19" s="1353">
        <f>J19</f>
        <v>100</v>
      </c>
      <c r="X19" s="1340"/>
      <c r="Y19" s="3642"/>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3163</v>
      </c>
      <c r="H21" s="793">
        <f>SUMIF(82:82,G22,83:83)-SUMIF(82:82,C22,83:83)+100</f>
        <v>100</v>
      </c>
      <c r="I21" s="105" t="s">
        <v>3116</v>
      </c>
      <c r="J21" s="793">
        <f>SUMIF(82:82,I22,83:83)-SUMIF(82:82,C22,83:83)+100</f>
        <v>100</v>
      </c>
      <c r="K21" s="957">
        <v>2</v>
      </c>
      <c r="L21" s="2301"/>
      <c r="M21" s="2296"/>
      <c r="N21" s="2296"/>
      <c r="O21" s="2296"/>
      <c r="P21" s="3649"/>
      <c r="Q21" s="2746" t="str">
        <f>B21</f>
        <v>基础设施水平</v>
      </c>
      <c r="R21" s="1352" t="s">
        <v>62</v>
      </c>
      <c r="S21" s="1353">
        <f>F21</f>
        <v>100</v>
      </c>
      <c r="T21" s="1352" t="s">
        <v>62</v>
      </c>
      <c r="U21" s="1353">
        <f>H21</f>
        <v>100</v>
      </c>
      <c r="V21" s="1352" t="s">
        <v>62</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49"/>
      <c r="Q22" s="2746"/>
      <c r="R22" s="1352"/>
      <c r="S22" s="1353"/>
      <c r="T22" s="1352"/>
      <c r="U22" s="1353"/>
      <c r="V22" s="1352"/>
      <c r="W22" s="1353"/>
      <c r="X22" s="2748"/>
      <c r="Y22" s="3642"/>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49"/>
      <c r="Q23" s="1351" t="str">
        <f>B23</f>
        <v>自然及人文环境</v>
      </c>
      <c r="R23" s="1352" t="s">
        <v>62</v>
      </c>
      <c r="S23" s="1353">
        <f>F23</f>
        <v>100</v>
      </c>
      <c r="T23" s="1352" t="s">
        <v>62</v>
      </c>
      <c r="U23" s="1353">
        <f>H23</f>
        <v>100</v>
      </c>
      <c r="V23" s="1352" t="s">
        <v>62</v>
      </c>
      <c r="W23" s="1353">
        <f>J23</f>
        <v>100</v>
      </c>
      <c r="X23" s="1340"/>
      <c r="Y23" s="3642"/>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49"/>
      <c r="Q25" s="1351" t="str">
        <f t="shared" ref="Q25:Q46" si="11">B25</f>
        <v>临街状况</v>
      </c>
      <c r="R25" s="1352" t="s">
        <v>62</v>
      </c>
      <c r="S25" s="1353">
        <f>F25</f>
        <v>100</v>
      </c>
      <c r="T25" s="1352" t="s">
        <v>62</v>
      </c>
      <c r="U25" s="1353">
        <f>H25</f>
        <v>100</v>
      </c>
      <c r="V25" s="1352" t="s">
        <v>62</v>
      </c>
      <c r="W25" s="1353">
        <f>J25</f>
        <v>100</v>
      </c>
      <c r="X25" s="1340"/>
      <c r="Y25" s="3642"/>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49"/>
      <c r="Q26" s="1351" t="str">
        <f t="shared" si="11"/>
        <v>平面位置/可视性</v>
      </c>
      <c r="R26" s="1352" t="s">
        <v>62</v>
      </c>
      <c r="S26" s="1353">
        <f>F26</f>
        <v>100</v>
      </c>
      <c r="T26" s="1352" t="s">
        <v>62</v>
      </c>
      <c r="U26" s="1353">
        <f>H26</f>
        <v>100</v>
      </c>
      <c r="V26" s="1352" t="s">
        <v>62</v>
      </c>
      <c r="W26" s="1353">
        <f>J26</f>
        <v>100</v>
      </c>
      <c r="X26" s="1340"/>
      <c r="Y26" s="3642"/>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49"/>
      <c r="Q27" s="7" t="str">
        <f t="shared" si="11"/>
        <v>人流量</v>
      </c>
      <c r="R27" s="1342" t="s">
        <v>62</v>
      </c>
      <c r="S27" s="1343">
        <f>F27</f>
        <v>102</v>
      </c>
      <c r="T27" s="1342" t="s">
        <v>62</v>
      </c>
      <c r="U27" s="1343">
        <f>H27</f>
        <v>102</v>
      </c>
      <c r="V27" s="1342" t="s">
        <v>62</v>
      </c>
      <c r="W27" s="1343">
        <f>J27</f>
        <v>102</v>
      </c>
      <c r="X27" s="287"/>
      <c r="Y27" s="3642"/>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125</v>
      </c>
      <c r="G28" s="182">
        <v>1</v>
      </c>
      <c r="H28" s="778">
        <f>SUMIF(92:92,G28,93:93)-SUMIF(92:92,C28,93:93)+100</f>
        <v>125</v>
      </c>
      <c r="I28" s="182">
        <v>1</v>
      </c>
      <c r="J28" s="778">
        <f>SUMIF(92:92,I28,93:93)-SUMIF(92:92,C28,93:93)+100</f>
        <v>125</v>
      </c>
      <c r="K28" s="188"/>
      <c r="L28" s="2301"/>
      <c r="M28" s="2296"/>
      <c r="N28" s="2296"/>
      <c r="O28" s="2296"/>
      <c r="P28" s="3649"/>
      <c r="Q28" s="1351" t="str">
        <f t="shared" si="11"/>
        <v>楼层</v>
      </c>
      <c r="R28" s="1352" t="s">
        <v>62</v>
      </c>
      <c r="S28" s="1353">
        <f t="shared" ref="S28:S46" si="12">F28</f>
        <v>125</v>
      </c>
      <c r="T28" s="1352" t="s">
        <v>62</v>
      </c>
      <c r="U28" s="1353">
        <f t="shared" ref="U28:U46" si="13">H28</f>
        <v>125</v>
      </c>
      <c r="V28" s="1352" t="s">
        <v>62</v>
      </c>
      <c r="W28" s="1353">
        <f t="shared" ref="W28:W46" si="14">J28</f>
        <v>125</v>
      </c>
      <c r="X28" s="1340"/>
      <c r="Y28" s="3642"/>
      <c r="Z28" s="1354" t="str">
        <f t="shared" ref="Z28:Z46" si="15">Q28</f>
        <v>楼层</v>
      </c>
      <c r="AA28" s="1355">
        <f t="shared" si="3"/>
        <v>0.8</v>
      </c>
      <c r="AB28" s="1355">
        <f t="shared" si="4"/>
        <v>0.8</v>
      </c>
      <c r="AC28" s="1355">
        <f t="shared" si="5"/>
        <v>0.8</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9"/>
      <c r="Q29" s="1351">
        <f t="shared" si="11"/>
        <v>0</v>
      </c>
      <c r="R29" s="1352" t="s">
        <v>62</v>
      </c>
      <c r="S29" s="1353">
        <f t="shared" si="12"/>
        <v>100</v>
      </c>
      <c r="T29" s="1352" t="s">
        <v>62</v>
      </c>
      <c r="U29" s="1353">
        <f t="shared" si="13"/>
        <v>100</v>
      </c>
      <c r="V29" s="1352" t="s">
        <v>62</v>
      </c>
      <c r="W29" s="1353">
        <f t="shared" si="14"/>
        <v>100</v>
      </c>
      <c r="X29" s="1340"/>
      <c r="Y29" s="3642"/>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9"/>
      <c r="Q30" s="1351">
        <f t="shared" si="11"/>
        <v>0</v>
      </c>
      <c r="R30" s="1352" t="s">
        <v>62</v>
      </c>
      <c r="S30" s="1353">
        <f t="shared" si="12"/>
        <v>100</v>
      </c>
      <c r="T30" s="1352" t="s">
        <v>62</v>
      </c>
      <c r="U30" s="1353">
        <f t="shared" si="13"/>
        <v>100</v>
      </c>
      <c r="V30" s="1352" t="s">
        <v>62</v>
      </c>
      <c r="W30" s="1353">
        <f t="shared" si="14"/>
        <v>100</v>
      </c>
      <c r="X30" s="1340"/>
      <c r="Y30" s="3642"/>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9"/>
      <c r="Q31" s="1351">
        <f t="shared" si="11"/>
        <v>0</v>
      </c>
      <c r="R31" s="1352" t="s">
        <v>62</v>
      </c>
      <c r="S31" s="1353">
        <f t="shared" si="12"/>
        <v>100</v>
      </c>
      <c r="T31" s="1352" t="s">
        <v>62</v>
      </c>
      <c r="U31" s="1353">
        <f t="shared" si="13"/>
        <v>100</v>
      </c>
      <c r="V31" s="1352" t="s">
        <v>62</v>
      </c>
      <c r="W31" s="1353">
        <f t="shared" si="14"/>
        <v>100</v>
      </c>
      <c r="X31" s="1340"/>
      <c r="Y31" s="3642"/>
      <c r="Z31" s="1354">
        <f t="shared" si="15"/>
        <v>0</v>
      </c>
      <c r="AA31" s="1355">
        <f t="shared" si="3"/>
        <v>1</v>
      </c>
      <c r="AB31" s="1355">
        <f t="shared" si="4"/>
        <v>1</v>
      </c>
      <c r="AC31" s="1355">
        <f t="shared" si="5"/>
        <v>1</v>
      </c>
    </row>
    <row r="32" spans="1:29" ht="15">
      <c r="A32" s="155" t="s">
        <v>1020</v>
      </c>
      <c r="B32" s="62" t="s">
        <v>1021</v>
      </c>
      <c r="C32" s="110" t="s">
        <v>3056</v>
      </c>
      <c r="D32" s="810">
        <v>100</v>
      </c>
      <c r="E32" s="110" t="s">
        <v>3164</v>
      </c>
      <c r="F32" s="804">
        <f>SUMIF(100:100,E32,101:101)-SUMIF(100:100,C32,101:101)+100</f>
        <v>95</v>
      </c>
      <c r="G32" s="110" t="s">
        <v>3164</v>
      </c>
      <c r="H32" s="778">
        <f>SUMIF(100:100,G32,101:101)-SUMIF(100:100,C32,101:101)+100</f>
        <v>95</v>
      </c>
      <c r="I32" s="110" t="s">
        <v>3166</v>
      </c>
      <c r="J32" s="810">
        <f>SUMIF(100:100,I32,101:101)-SUMIF(100:100,C32,101:101)+100</f>
        <v>90</v>
      </c>
      <c r="K32" s="955">
        <v>5</v>
      </c>
      <c r="L32" s="2301"/>
      <c r="M32" s="2296"/>
      <c r="N32" s="2296"/>
      <c r="O32" s="2296"/>
      <c r="P32" s="3643" t="s">
        <v>1022</v>
      </c>
      <c r="Q32" s="1351" t="str">
        <f t="shared" si="11"/>
        <v>商业类型</v>
      </c>
      <c r="R32" s="1352" t="s">
        <v>62</v>
      </c>
      <c r="S32" s="1353">
        <f t="shared" si="12"/>
        <v>95</v>
      </c>
      <c r="T32" s="1352" t="s">
        <v>62</v>
      </c>
      <c r="U32" s="1353">
        <f t="shared" si="13"/>
        <v>95</v>
      </c>
      <c r="V32" s="1352" t="s">
        <v>62</v>
      </c>
      <c r="W32" s="1353">
        <f t="shared" si="14"/>
        <v>90</v>
      </c>
      <c r="X32" s="1340"/>
      <c r="Y32" s="3646" t="s">
        <v>1022</v>
      </c>
      <c r="Z32" s="1354" t="str">
        <f t="shared" si="15"/>
        <v>商业类型</v>
      </c>
      <c r="AA32" s="1355">
        <f t="shared" si="3"/>
        <v>1.0526315789473684</v>
      </c>
      <c r="AB32" s="1355">
        <f t="shared" si="4"/>
        <v>1.0526315789473684</v>
      </c>
      <c r="AC32" s="1355">
        <f t="shared" si="5"/>
        <v>1.1111111111111112</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4"/>
      <c r="Q33" s="1359" t="str">
        <f t="shared" si="11"/>
        <v>项目建筑规模</v>
      </c>
      <c r="R33" s="1360" t="s">
        <v>62</v>
      </c>
      <c r="S33" s="1361">
        <f t="shared" si="12"/>
        <v>100</v>
      </c>
      <c r="T33" s="1360" t="s">
        <v>62</v>
      </c>
      <c r="U33" s="1361">
        <f t="shared" si="13"/>
        <v>100</v>
      </c>
      <c r="V33" s="1360" t="s">
        <v>62</v>
      </c>
      <c r="W33" s="1361">
        <f t="shared" si="14"/>
        <v>100</v>
      </c>
      <c r="X33" s="1362"/>
      <c r="Y33" s="3646"/>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4"/>
      <c r="Q34" s="1351" t="str">
        <f t="shared" si="11"/>
        <v>建筑结构</v>
      </c>
      <c r="R34" s="1352" t="s">
        <v>62</v>
      </c>
      <c r="S34" s="1353">
        <f t="shared" si="12"/>
        <v>100</v>
      </c>
      <c r="T34" s="1352" t="s">
        <v>62</v>
      </c>
      <c r="U34" s="1353">
        <f t="shared" si="13"/>
        <v>100</v>
      </c>
      <c r="V34" s="1352" t="s">
        <v>62</v>
      </c>
      <c r="W34" s="1353">
        <f t="shared" si="14"/>
        <v>100</v>
      </c>
      <c r="X34" s="1340"/>
      <c r="Y34" s="3646"/>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4"/>
      <c r="Q35" s="1351" t="str">
        <f t="shared" si="11"/>
        <v>公共部分装修</v>
      </c>
      <c r="R35" s="1352" t="s">
        <v>62</v>
      </c>
      <c r="S35" s="1353">
        <f t="shared" si="12"/>
        <v>100</v>
      </c>
      <c r="T35" s="1352" t="s">
        <v>62</v>
      </c>
      <c r="U35" s="1353">
        <f t="shared" si="13"/>
        <v>100</v>
      </c>
      <c r="V35" s="1352" t="s">
        <v>62</v>
      </c>
      <c r="W35" s="1353">
        <f t="shared" si="14"/>
        <v>100</v>
      </c>
      <c r="X35" s="1340"/>
      <c r="Y35" s="3646"/>
      <c r="Z35" s="1354" t="str">
        <f t="shared" si="15"/>
        <v>公共部分装修</v>
      </c>
      <c r="AA35" s="1355">
        <f t="shared" si="3"/>
        <v>1</v>
      </c>
      <c r="AB35" s="1355">
        <f t="shared" si="4"/>
        <v>1</v>
      </c>
      <c r="AC35" s="1355">
        <f t="shared" si="5"/>
        <v>1</v>
      </c>
    </row>
    <row r="36" spans="1:29" ht="15">
      <c r="A36" s="161"/>
      <c r="B36" s="12" t="s">
        <v>1024</v>
      </c>
      <c r="C36" s="3760">
        <f>'数据-取费表'!N6</f>
        <v>0.8</v>
      </c>
      <c r="D36" s="778">
        <v>100</v>
      </c>
      <c r="E36" s="817">
        <f>ROUND(1-(2017-2015)/60,2)</f>
        <v>0.97</v>
      </c>
      <c r="F36" s="804">
        <f>LOOKUP(E36,110:110,111:111)-LOOKUP(C36,110:110,111:111)+100</f>
        <v>102</v>
      </c>
      <c r="G36" s="817">
        <f>E36</f>
        <v>0.97</v>
      </c>
      <c r="H36" s="804">
        <f>LOOKUP(G36,110:110,111:111)-LOOKUP(C36,110:110,111:111)+100</f>
        <v>102</v>
      </c>
      <c r="I36" s="3760">
        <f>ROUND(1-(2017-2011)/60,2)</f>
        <v>0.9</v>
      </c>
      <c r="J36" s="778">
        <f>LOOKUP(I36,110:110,111:111)-LOOKUP(C36,110:110,111:111)+100</f>
        <v>102</v>
      </c>
      <c r="K36" s="955">
        <v>2</v>
      </c>
      <c r="L36" s="2301"/>
      <c r="M36" s="2296"/>
      <c r="N36" s="2296"/>
      <c r="O36" s="2296"/>
      <c r="P36" s="3644"/>
      <c r="Q36" s="1351" t="str">
        <f t="shared" si="11"/>
        <v>成新度</v>
      </c>
      <c r="R36" s="1352" t="s">
        <v>62</v>
      </c>
      <c r="S36" s="1353">
        <f t="shared" si="12"/>
        <v>102</v>
      </c>
      <c r="T36" s="1352" t="s">
        <v>62</v>
      </c>
      <c r="U36" s="1353">
        <f t="shared" si="13"/>
        <v>102</v>
      </c>
      <c r="V36" s="1352" t="s">
        <v>62</v>
      </c>
      <c r="W36" s="1353">
        <f t="shared" si="14"/>
        <v>102</v>
      </c>
      <c r="X36" s="1340"/>
      <c r="Y36" s="3646"/>
      <c r="Z36" s="1354" t="str">
        <f t="shared" si="15"/>
        <v>成新度</v>
      </c>
      <c r="AA36" s="1355">
        <f t="shared" si="3"/>
        <v>0.98039215686274506</v>
      </c>
      <c r="AB36" s="1355">
        <f t="shared" si="4"/>
        <v>0.98039215686274506</v>
      </c>
      <c r="AC36" s="1355">
        <f t="shared" si="5"/>
        <v>0.98039215686274506</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44"/>
      <c r="Q37" s="7" t="str">
        <f t="shared" si="11"/>
        <v>市政基础设施</v>
      </c>
      <c r="R37" s="1342" t="s">
        <v>62</v>
      </c>
      <c r="S37" s="1343">
        <f t="shared" si="12"/>
        <v>100</v>
      </c>
      <c r="T37" s="1342" t="s">
        <v>62</v>
      </c>
      <c r="U37" s="1343">
        <f t="shared" si="13"/>
        <v>100</v>
      </c>
      <c r="V37" s="1342" t="s">
        <v>62</v>
      </c>
      <c r="W37" s="1343">
        <f t="shared" si="14"/>
        <v>102</v>
      </c>
      <c r="X37" s="287"/>
      <c r="Y37" s="3646"/>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4" t="s">
        <v>1025</v>
      </c>
      <c r="Q38" s="1351" t="str">
        <f t="shared" si="11"/>
        <v>业态</v>
      </c>
      <c r="R38" s="1352" t="s">
        <v>62</v>
      </c>
      <c r="S38" s="1353">
        <f t="shared" si="12"/>
        <v>100</v>
      </c>
      <c r="T38" s="1352" t="s">
        <v>62</v>
      </c>
      <c r="U38" s="1353">
        <f t="shared" si="13"/>
        <v>100</v>
      </c>
      <c r="V38" s="1352" t="s">
        <v>62</v>
      </c>
      <c r="W38" s="1353">
        <f t="shared" si="14"/>
        <v>100</v>
      </c>
      <c r="X38" s="1340"/>
      <c r="Y38" s="3646"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4"/>
      <c r="Q39" s="1351" t="str">
        <f t="shared" si="11"/>
        <v>层高</v>
      </c>
      <c r="R39" s="1352" t="s">
        <v>62</v>
      </c>
      <c r="S39" s="1353">
        <f t="shared" si="12"/>
        <v>100</v>
      </c>
      <c r="T39" s="1352" t="s">
        <v>62</v>
      </c>
      <c r="U39" s="1353">
        <f t="shared" si="13"/>
        <v>100</v>
      </c>
      <c r="V39" s="1352" t="s">
        <v>62</v>
      </c>
      <c r="W39" s="1353">
        <f t="shared" si="14"/>
        <v>100</v>
      </c>
      <c r="X39" s="1340"/>
      <c r="Y39" s="3646"/>
      <c r="Z39" s="1354" t="str">
        <f t="shared" si="15"/>
        <v>层高</v>
      </c>
      <c r="AA39" s="1355">
        <f t="shared" si="3"/>
        <v>1</v>
      </c>
      <c r="AB39" s="1355">
        <f t="shared" si="4"/>
        <v>1</v>
      </c>
      <c r="AC39" s="1355">
        <f t="shared" si="5"/>
        <v>1</v>
      </c>
    </row>
    <row r="40" spans="1:29" ht="14.25">
      <c r="A40" s="161"/>
      <c r="B40" s="12" t="s">
        <v>1027</v>
      </c>
      <c r="C40" s="960" t="s">
        <v>3169</v>
      </c>
      <c r="D40" s="778">
        <v>100</v>
      </c>
      <c r="E40" s="961" t="s">
        <v>3170</v>
      </c>
      <c r="F40" s="804">
        <f>SUMIF(118:118,E40,119:119)-SUMIF(118:118,C40,119:119)+100</f>
        <v>98</v>
      </c>
      <c r="G40" s="961" t="s">
        <v>3170</v>
      </c>
      <c r="H40" s="778">
        <f>SUMIF(118:118,G40,119:119)-SUMIF(118:118,C40,119:119)+100</f>
        <v>98</v>
      </c>
      <c r="I40" s="960" t="s">
        <v>3169</v>
      </c>
      <c r="J40" s="778">
        <f>SUMIF(118:118,I40,119:119)-SUMIF(118:118,C40,119:119)+100</f>
        <v>100</v>
      </c>
      <c r="K40" s="188"/>
      <c r="L40" s="2301"/>
      <c r="M40" s="2296"/>
      <c r="N40" s="2296"/>
      <c r="O40" s="2296"/>
      <c r="P40" s="3644"/>
      <c r="Q40" s="1351" t="str">
        <f t="shared" si="11"/>
        <v>单套建筑面积</v>
      </c>
      <c r="R40" s="1352" t="s">
        <v>62</v>
      </c>
      <c r="S40" s="1353">
        <f t="shared" si="12"/>
        <v>98</v>
      </c>
      <c r="T40" s="1352" t="s">
        <v>62</v>
      </c>
      <c r="U40" s="1353">
        <f t="shared" si="13"/>
        <v>98</v>
      </c>
      <c r="V40" s="1352" t="s">
        <v>62</v>
      </c>
      <c r="W40" s="1353">
        <f t="shared" si="14"/>
        <v>100</v>
      </c>
      <c r="X40" s="1340"/>
      <c r="Y40" s="3646"/>
      <c r="Z40" s="1354" t="str">
        <f t="shared" si="15"/>
        <v>单套建筑面积</v>
      </c>
      <c r="AA40" s="1355">
        <f t="shared" si="3"/>
        <v>1.0204081632653061</v>
      </c>
      <c r="AB40" s="1355">
        <f t="shared" si="4"/>
        <v>1.0204081632653061</v>
      </c>
      <c r="AC40" s="1355">
        <f t="shared" si="5"/>
        <v>1</v>
      </c>
    </row>
    <row r="41" spans="1:29" s="1039" customFormat="1" ht="15">
      <c r="A41" s="1043"/>
      <c r="B41" s="191" t="s">
        <v>1028</v>
      </c>
      <c r="C41" s="182" t="s">
        <v>3159</v>
      </c>
      <c r="D41" s="778">
        <v>100</v>
      </c>
      <c r="E41" s="182" t="s">
        <v>3159</v>
      </c>
      <c r="F41" s="804">
        <f>SUMIF(120:120,E41,121:121)-SUMIF(120:120,C41,121:121)+100</f>
        <v>100</v>
      </c>
      <c r="G41" s="182" t="s">
        <v>3159</v>
      </c>
      <c r="H41" s="778">
        <f>SUMIF(120:120,G41,121:121)-SUMIF(120:120,C41,121:121)+100</f>
        <v>100</v>
      </c>
      <c r="I41" s="182" t="s">
        <v>3159</v>
      </c>
      <c r="J41" s="778">
        <f>SUMIF(120:120,I41,121:121)-SUMIF(120:120,C41,121:121)+100</f>
        <v>100</v>
      </c>
      <c r="K41" s="955">
        <v>2</v>
      </c>
      <c r="L41" s="2300"/>
      <c r="M41" s="2302"/>
      <c r="N41" s="2302"/>
      <c r="O41" s="2302"/>
      <c r="P41" s="3644"/>
      <c r="Q41" s="1359" t="str">
        <f t="shared" si="11"/>
        <v>进深比</v>
      </c>
      <c r="R41" s="1360" t="s">
        <v>62</v>
      </c>
      <c r="S41" s="1361">
        <f t="shared" si="12"/>
        <v>100</v>
      </c>
      <c r="T41" s="1360" t="s">
        <v>62</v>
      </c>
      <c r="U41" s="1361">
        <f t="shared" si="13"/>
        <v>100</v>
      </c>
      <c r="V41" s="1360" t="s">
        <v>62</v>
      </c>
      <c r="W41" s="1361">
        <f t="shared" si="14"/>
        <v>100</v>
      </c>
      <c r="X41" s="1362"/>
      <c r="Y41" s="3646"/>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44"/>
      <c r="Q42" s="1351" t="str">
        <f t="shared" si="11"/>
        <v>内部装修</v>
      </c>
      <c r="R42" s="1352" t="s">
        <v>62</v>
      </c>
      <c r="S42" s="1353">
        <f t="shared" si="12"/>
        <v>94</v>
      </c>
      <c r="T42" s="1352" t="s">
        <v>62</v>
      </c>
      <c r="U42" s="1353">
        <f t="shared" si="13"/>
        <v>94</v>
      </c>
      <c r="V42" s="1352" t="s">
        <v>62</v>
      </c>
      <c r="W42" s="1353">
        <f t="shared" si="14"/>
        <v>100</v>
      </c>
      <c r="X42" s="1340"/>
      <c r="Y42" s="3646"/>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4"/>
      <c r="Q43" s="1351" t="str">
        <f t="shared" si="11"/>
        <v>内部装修维护情况</v>
      </c>
      <c r="R43" s="1352" t="s">
        <v>62</v>
      </c>
      <c r="S43" s="1353">
        <f t="shared" si="12"/>
        <v>100</v>
      </c>
      <c r="T43" s="1352" t="s">
        <v>62</v>
      </c>
      <c r="U43" s="1353">
        <f t="shared" si="13"/>
        <v>100</v>
      </c>
      <c r="V43" s="1352" t="s">
        <v>62</v>
      </c>
      <c r="W43" s="1353">
        <f t="shared" si="14"/>
        <v>100</v>
      </c>
      <c r="X43" s="1340"/>
      <c r="Y43" s="3646"/>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4"/>
      <c r="Q44" s="7">
        <f t="shared" si="11"/>
        <v>0</v>
      </c>
      <c r="R44" s="1342" t="s">
        <v>62</v>
      </c>
      <c r="S44" s="1343">
        <f t="shared" si="12"/>
        <v>100</v>
      </c>
      <c r="T44" s="1342" t="s">
        <v>62</v>
      </c>
      <c r="U44" s="1343">
        <f t="shared" si="13"/>
        <v>100</v>
      </c>
      <c r="V44" s="1342" t="s">
        <v>62</v>
      </c>
      <c r="W44" s="1343">
        <f t="shared" si="14"/>
        <v>100</v>
      </c>
      <c r="X44" s="287"/>
      <c r="Y44" s="3646"/>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4"/>
      <c r="Q45" s="1351">
        <f t="shared" si="11"/>
        <v>0</v>
      </c>
      <c r="R45" s="1352" t="s">
        <v>62</v>
      </c>
      <c r="S45" s="1353">
        <f t="shared" si="12"/>
        <v>100</v>
      </c>
      <c r="T45" s="1352" t="s">
        <v>62</v>
      </c>
      <c r="U45" s="1353">
        <f t="shared" si="13"/>
        <v>100</v>
      </c>
      <c r="V45" s="1352" t="s">
        <v>62</v>
      </c>
      <c r="W45" s="1353">
        <f t="shared" si="14"/>
        <v>100</v>
      </c>
      <c r="X45" s="1340"/>
      <c r="Y45" s="3646"/>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5"/>
      <c r="Q46" s="1351">
        <f t="shared" si="11"/>
        <v>0</v>
      </c>
      <c r="R46" s="1352" t="s">
        <v>62</v>
      </c>
      <c r="S46" s="1353">
        <f t="shared" si="12"/>
        <v>100</v>
      </c>
      <c r="T46" s="1352" t="s">
        <v>62</v>
      </c>
      <c r="U46" s="1353">
        <f t="shared" si="13"/>
        <v>100</v>
      </c>
      <c r="V46" s="1352" t="s">
        <v>62</v>
      </c>
      <c r="W46" s="1353">
        <f t="shared" si="14"/>
        <v>100</v>
      </c>
      <c r="X46" s="1340"/>
      <c r="Y46" s="3647"/>
      <c r="Z46" s="1354">
        <f t="shared" si="15"/>
        <v>0</v>
      </c>
      <c r="AA46" s="1355">
        <f t="shared" si="3"/>
        <v>1</v>
      </c>
      <c r="AB46" s="1355">
        <f t="shared" si="4"/>
        <v>1</v>
      </c>
      <c r="AC46" s="1355">
        <f t="shared" si="5"/>
        <v>1</v>
      </c>
    </row>
    <row r="47" spans="1:29" ht="15">
      <c r="A47" s="163" t="s">
        <v>1030</v>
      </c>
      <c r="B47" s="164"/>
      <c r="C47" s="2833" t="s">
        <v>23</v>
      </c>
      <c r="D47" s="2834"/>
      <c r="E47" s="2835">
        <f>ROUND(23904*L47,0)</f>
        <v>22709</v>
      </c>
      <c r="F47" s="2836"/>
      <c r="G47" s="2835">
        <f>ROUND(28685*L47,0)</f>
        <v>27251</v>
      </c>
      <c r="H47" s="2838"/>
      <c r="I47" s="2835">
        <f>ROUND(26160*L47,0)</f>
        <v>24852</v>
      </c>
      <c r="J47" s="2838"/>
      <c r="K47" s="1393"/>
      <c r="L47" s="2303">
        <v>0.95</v>
      </c>
      <c r="M47" s="2304"/>
      <c r="N47" s="2296"/>
      <c r="O47" s="2304"/>
      <c r="P47" s="3639" t="str">
        <f>A47</f>
        <v>成交单价（元/平方米）</v>
      </c>
      <c r="Q47" s="3639"/>
      <c r="R47" s="3634">
        <f>E47</f>
        <v>22709</v>
      </c>
      <c r="S47" s="3634"/>
      <c r="T47" s="3634">
        <f>G47</f>
        <v>27251</v>
      </c>
      <c r="U47" s="3634"/>
      <c r="V47" s="3634">
        <f>I47</f>
        <v>24852</v>
      </c>
      <c r="W47" s="3634"/>
      <c r="X47" s="1365"/>
      <c r="Y47" s="1366"/>
      <c r="Z47" s="1365"/>
      <c r="AA47" s="1365"/>
      <c r="AB47" s="1365"/>
      <c r="AC47" s="1365"/>
    </row>
    <row r="48" spans="1:29" ht="15.75" thickBot="1">
      <c r="A48" s="165" t="s">
        <v>1031</v>
      </c>
      <c r="B48" s="166"/>
      <c r="C48" s="2839">
        <f>R49</f>
        <v>20942</v>
      </c>
      <c r="D48" s="2840"/>
      <c r="E48" s="2841">
        <f>R48</f>
        <v>19600</v>
      </c>
      <c r="F48" s="2841"/>
      <c r="G48" s="2839">
        <f>T48</f>
        <v>22800</v>
      </c>
      <c r="H48" s="2840"/>
      <c r="I48" s="2841">
        <f>V48</f>
        <v>20427</v>
      </c>
      <c r="J48" s="2840"/>
      <c r="K48" s="1394"/>
      <c r="L48" s="2303"/>
      <c r="M48" s="2304"/>
      <c r="N48" s="2296"/>
      <c r="O48" s="2304"/>
      <c r="P48" s="3639" t="str">
        <f>A48</f>
        <v>比较价值（元/平方米）</v>
      </c>
      <c r="Q48" s="3639"/>
      <c r="R48" s="3640">
        <f>IF(F1="售价",ROUND(PRODUCT(R47,AA7:AA46),0),ROUND(PRODUCT(R47,AA7:AA46),1))</f>
        <v>19600</v>
      </c>
      <c r="S48" s="3640"/>
      <c r="T48" s="3640">
        <f>IF(F1="售价",ROUND(PRODUCT(T47,AB7:AB46),0),ROUND(PRODUCT(T47,AB7:AB46),1))</f>
        <v>22800</v>
      </c>
      <c r="U48" s="3640"/>
      <c r="V48" s="3640">
        <f>IF(F1="售价",ROUND(PRODUCT(V47,AC7:AC46),0),ROUND(PRODUCT(V47,AC7:AC46),1))</f>
        <v>20427</v>
      </c>
      <c r="W48" s="3640"/>
      <c r="X48" s="1365"/>
      <c r="Y48" s="1365"/>
      <c r="Z48" s="1365"/>
      <c r="AA48" s="1365"/>
      <c r="AB48" s="1365"/>
      <c r="AC48" s="1365"/>
    </row>
    <row r="49" spans="1:29" ht="15.75" thickBot="1">
      <c r="A49" s="115" t="s">
        <v>3004</v>
      </c>
      <c r="B49" s="116"/>
      <c r="C49" s="2843">
        <f>R49</f>
        <v>20942</v>
      </c>
      <c r="D49" s="2843"/>
      <c r="E49" s="2843"/>
      <c r="F49" s="2843"/>
      <c r="G49" s="2843"/>
      <c r="H49" s="2843"/>
      <c r="I49" s="2843"/>
      <c r="J49" s="2843"/>
      <c r="K49" s="1395"/>
      <c r="L49" s="2303"/>
      <c r="M49" s="2304"/>
      <c r="N49" s="2296"/>
      <c r="O49" s="2304"/>
      <c r="P49" s="3636" t="str">
        <f>A49</f>
        <v>估价对象XX用房的比较价值（楼面单价，元/平方米）</v>
      </c>
      <c r="Q49" s="3637"/>
      <c r="R49" s="3638">
        <f>IF(F1="售价",ROUND(AVERAGE(R48:V48),0),ROUND(AVERAGE(R48:V48),1))</f>
        <v>20942</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0.15862244897959177</v>
      </c>
      <c r="F52" s="843" t="str">
        <f>IF(OR(E52&gt;=0.3,E52&lt;=-0.3),"超过30%","")</f>
        <v/>
      </c>
      <c r="G52" s="842">
        <f>IF(G47&lt;G48,G48/G47-1,G47/G48-1)</f>
        <v>0.19521929824561401</v>
      </c>
      <c r="H52" s="843" t="str">
        <f>IF(OR(G52&gt;=0.3,G52&lt;=-0.3),"超过30%","")</f>
        <v/>
      </c>
      <c r="I52" s="842">
        <f>IF(I47&lt;I48,I48/I47-1,I47/I48-1)</f>
        <v>0.21662505507416663</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0.16326530612244894</v>
      </c>
      <c r="F53" s="843" t="str">
        <f>IF(OR(E53&gt;=0.2,E53&lt;=-0.2),"超过20%","")</f>
        <v/>
      </c>
      <c r="G53" s="842">
        <f>IF(G48&lt;I48,I48/G48-1,G48/I48-1)</f>
        <v>0.11616977529740047</v>
      </c>
      <c r="H53" s="843" t="str">
        <f>IF(OR(G53&gt;=0.2,G53&lt;=-0.2),"超过20%","")</f>
        <v/>
      </c>
      <c r="I53" s="842">
        <f>IF(I48&lt;E48,E48/I48-1,I48/E48-1)</f>
        <v>4.2193877551020442E-2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0.20000880708089297</v>
      </c>
      <c r="F54" s="843" t="str">
        <f>IF(OR(E54&gt;=0.3,E54&lt;=-0.3),"超过30%","")</f>
        <v/>
      </c>
      <c r="G54" s="842">
        <f>IF(G47&lt;I47,I47/G47-1,G47/I47-1)</f>
        <v>9.6531466280379785E-2</v>
      </c>
      <c r="H54" s="843" t="str">
        <f>IF(OR(G54&gt;=0.3,G54&lt;=-0.3),"超过30%","")</f>
        <v/>
      </c>
      <c r="I54" s="842">
        <f>IF(I47&lt;E47,E47/I47-1,I47/E47-1)</f>
        <v>9.4367871768902267E-2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85</v>
      </c>
      <c r="E93" s="879">
        <v>75</v>
      </c>
      <c r="F93" s="879">
        <v>65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3168</v>
      </c>
      <c r="D100" s="122" t="s">
        <v>3165</v>
      </c>
      <c r="E100" s="122" t="s">
        <v>3167</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95</v>
      </c>
      <c r="E101" s="887">
        <f t="shared" si="22"/>
        <v>90</v>
      </c>
      <c r="F101" s="887">
        <f t="shared" si="22"/>
        <v>85</v>
      </c>
      <c r="G101" s="887">
        <f t="shared" si="22"/>
        <v>80</v>
      </c>
      <c r="H101" s="887">
        <f t="shared" si="22"/>
        <v>75</v>
      </c>
      <c r="I101" s="887">
        <f t="shared" si="22"/>
        <v>70</v>
      </c>
      <c r="J101" s="887">
        <f t="shared" si="22"/>
        <v>65</v>
      </c>
      <c r="K101" s="887">
        <f t="shared" si="22"/>
        <v>60</v>
      </c>
      <c r="L101" s="887">
        <f t="shared" si="22"/>
        <v>55</v>
      </c>
      <c r="M101" s="888">
        <f t="shared" si="22"/>
        <v>50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1058</v>
      </c>
      <c r="C118" s="970" t="s">
        <v>3155</v>
      </c>
      <c r="D118" s="970" t="s">
        <v>3156</v>
      </c>
      <c r="E118" s="970" t="s">
        <v>3157</v>
      </c>
      <c r="F118" s="970"/>
      <c r="G118" s="970"/>
      <c r="H118" s="898"/>
      <c r="I118" s="898"/>
      <c r="J118" s="898"/>
      <c r="K118" s="898"/>
      <c r="L118" s="899"/>
      <c r="M118" s="900"/>
      <c r="N118" s="1389"/>
      <c r="O118" s="1389"/>
      <c r="P118" s="1379"/>
      <c r="Q118" s="121"/>
    </row>
    <row r="119" spans="1:17" ht="15" thickBot="1">
      <c r="A119" s="173"/>
      <c r="B119" s="1055"/>
      <c r="C119" s="903">
        <v>100</v>
      </c>
      <c r="D119" s="879">
        <v>102</v>
      </c>
      <c r="E119" s="879">
        <v>104</v>
      </c>
      <c r="F119" s="879"/>
      <c r="G119" s="879"/>
      <c r="H119" s="879"/>
      <c r="I119" s="879"/>
      <c r="J119" s="879"/>
      <c r="K119" s="879"/>
      <c r="L119" s="879"/>
      <c r="M119" s="880"/>
      <c r="N119" s="1390"/>
      <c r="O119" s="1390"/>
      <c r="P119" s="1379"/>
      <c r="Q119" s="121"/>
    </row>
    <row r="120" spans="1:17" s="1039" customFormat="1" ht="14.25" thickTop="1">
      <c r="A120" s="1073"/>
      <c r="B120" s="1054" t="s">
        <v>1059</v>
      </c>
      <c r="C120" s="131" t="s">
        <v>3158</v>
      </c>
      <c r="D120" s="131" t="s">
        <v>3160</v>
      </c>
      <c r="E120" s="131" t="s">
        <v>3161</v>
      </c>
      <c r="F120" s="131" t="s">
        <v>3162</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2" t="s">
        <v>1070</v>
      </c>
      <c r="D4" s="3623"/>
      <c r="E4" s="3624" t="s">
        <v>1071</v>
      </c>
      <c r="F4" s="3625"/>
      <c r="G4" s="3622" t="s">
        <v>1072</v>
      </c>
      <c r="H4" s="3623"/>
      <c r="I4" s="3622" t="s">
        <v>1073</v>
      </c>
      <c r="J4" s="3623"/>
      <c r="K4" s="187" t="s">
        <v>1074</v>
      </c>
      <c r="L4" s="2295"/>
      <c r="M4" s="2296"/>
      <c r="N4" s="2296"/>
      <c r="O4" s="2296"/>
      <c r="P4" s="3656" t="s">
        <v>1069</v>
      </c>
      <c r="Q4" s="3657"/>
      <c r="R4" s="3651" t="s">
        <v>1071</v>
      </c>
      <c r="S4" s="3652"/>
      <c r="T4" s="3651" t="s">
        <v>1072</v>
      </c>
      <c r="U4" s="3652"/>
      <c r="V4" s="3660" t="s">
        <v>1073</v>
      </c>
      <c r="W4" s="3660"/>
      <c r="X4" s="2335"/>
      <c r="Y4" s="3651" t="s">
        <v>1069</v>
      </c>
      <c r="Z4" s="3652"/>
      <c r="AA4" s="3650" t="s">
        <v>1071</v>
      </c>
      <c r="AB4" s="3650" t="s">
        <v>1072</v>
      </c>
      <c r="AC4" s="3653" t="s">
        <v>1073</v>
      </c>
    </row>
    <row r="5" spans="1:29">
      <c r="A5" s="146"/>
      <c r="B5" s="147"/>
      <c r="C5" s="3615" t="s">
        <v>1075</v>
      </c>
      <c r="D5" s="3616"/>
      <c r="E5" s="3613" t="s">
        <v>1076</v>
      </c>
      <c r="F5" s="3614"/>
      <c r="G5" s="3615" t="s">
        <v>1077</v>
      </c>
      <c r="H5" s="3616"/>
      <c r="I5" s="3615" t="s">
        <v>1078</v>
      </c>
      <c r="J5" s="3616"/>
      <c r="K5" s="187"/>
      <c r="L5" s="2295"/>
      <c r="M5" s="2296"/>
      <c r="N5" s="2296"/>
      <c r="O5" s="2296"/>
      <c r="P5" s="3658"/>
      <c r="Q5" s="3629"/>
      <c r="R5" s="3611"/>
      <c r="S5" s="3612"/>
      <c r="T5" s="3611"/>
      <c r="U5" s="3612"/>
      <c r="V5" s="3634"/>
      <c r="W5" s="3634"/>
      <c r="X5" s="2221"/>
      <c r="Y5" s="3611"/>
      <c r="Z5" s="3612"/>
      <c r="AA5" s="3605"/>
      <c r="AB5" s="3605"/>
      <c r="AC5" s="3654"/>
    </row>
    <row r="6" spans="1:29" ht="14.25" thickBot="1">
      <c r="A6" s="148"/>
      <c r="B6" s="149"/>
      <c r="C6" s="3617" t="s">
        <v>1079</v>
      </c>
      <c r="D6" s="3618"/>
      <c r="E6" s="3619" t="s">
        <v>1079</v>
      </c>
      <c r="F6" s="3620"/>
      <c r="G6" s="3617" t="s">
        <v>1079</v>
      </c>
      <c r="H6" s="3618"/>
      <c r="I6" s="3617" t="s">
        <v>1079</v>
      </c>
      <c r="J6" s="3618"/>
      <c r="K6" s="187" t="s">
        <v>1080</v>
      </c>
      <c r="L6" s="2295"/>
      <c r="M6" s="2296"/>
      <c r="N6" s="2296"/>
      <c r="O6" s="2296"/>
      <c r="P6" s="3659"/>
      <c r="Q6" s="3631"/>
      <c r="R6" s="3611"/>
      <c r="S6" s="3612"/>
      <c r="T6" s="3632"/>
      <c r="U6" s="3633"/>
      <c r="V6" s="3634"/>
      <c r="W6" s="3634"/>
      <c r="X6" s="2221"/>
      <c r="Y6" s="3632"/>
      <c r="Z6" s="3633"/>
      <c r="AA6" s="3606"/>
      <c r="AB6" s="3606"/>
      <c r="AC6" s="3655"/>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1" t="s">
        <v>1081</v>
      </c>
      <c r="Q7" s="3635"/>
      <c r="R7" s="1342" t="s">
        <v>62</v>
      </c>
      <c r="S7" s="1343">
        <f t="shared" ref="S7:S15" si="0">F7</f>
        <v>0</v>
      </c>
      <c r="T7" s="1342" t="s">
        <v>62</v>
      </c>
      <c r="U7" s="1343">
        <f t="shared" ref="U7:U15" si="1">H7</f>
        <v>0</v>
      </c>
      <c r="V7" s="1342" t="s">
        <v>62</v>
      </c>
      <c r="W7" s="1343">
        <f t="shared" ref="W7:W15" si="2">J7</f>
        <v>0</v>
      </c>
      <c r="X7" s="287"/>
      <c r="Y7" s="3607" t="s">
        <v>1081</v>
      </c>
      <c r="Z7" s="3608"/>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1" t="s">
        <v>1015</v>
      </c>
      <c r="Q8" s="3608"/>
      <c r="R8" s="1342" t="s">
        <v>62</v>
      </c>
      <c r="S8" s="1343">
        <f t="shared" si="0"/>
        <v>0</v>
      </c>
      <c r="T8" s="1342" t="s">
        <v>62</v>
      </c>
      <c r="U8" s="1343">
        <f t="shared" si="1"/>
        <v>0</v>
      </c>
      <c r="V8" s="1342" t="s">
        <v>62</v>
      </c>
      <c r="W8" s="1343">
        <f t="shared" si="2"/>
        <v>0</v>
      </c>
      <c r="X8" s="287"/>
      <c r="Y8" s="3607" t="s">
        <v>1015</v>
      </c>
      <c r="Z8" s="3608"/>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1" t="s">
        <v>64</v>
      </c>
      <c r="Q9" s="2212" t="str">
        <f t="shared" ref="Q9:Q15" si="6">B9</f>
        <v>用途</v>
      </c>
      <c r="R9" s="1342" t="s">
        <v>62</v>
      </c>
      <c r="S9" s="1343">
        <f t="shared" si="0"/>
        <v>100</v>
      </c>
      <c r="T9" s="1342" t="s">
        <v>62</v>
      </c>
      <c r="U9" s="1343">
        <f t="shared" si="1"/>
        <v>100</v>
      </c>
      <c r="V9" s="1342" t="s">
        <v>62</v>
      </c>
      <c r="W9" s="1343">
        <f t="shared" si="2"/>
        <v>100</v>
      </c>
      <c r="X9" s="287"/>
      <c r="Y9" s="3445"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1"/>
      <c r="Q10" s="2212" t="str">
        <f t="shared" si="6"/>
        <v>土地使用年限（年）</v>
      </c>
      <c r="R10" s="1342" t="s">
        <v>62</v>
      </c>
      <c r="S10" s="1343">
        <f t="shared" si="0"/>
        <v>100</v>
      </c>
      <c r="T10" s="1342" t="s">
        <v>62</v>
      </c>
      <c r="U10" s="1343">
        <f t="shared" si="1"/>
        <v>100</v>
      </c>
      <c r="V10" s="1342" t="s">
        <v>62</v>
      </c>
      <c r="W10" s="1343">
        <f t="shared" si="2"/>
        <v>100</v>
      </c>
      <c r="X10" s="287"/>
      <c r="Y10" s="3445"/>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1"/>
      <c r="Q11" s="2212" t="str">
        <f t="shared" si="6"/>
        <v>容积率</v>
      </c>
      <c r="R11" s="1342" t="s">
        <v>62</v>
      </c>
      <c r="S11" s="1343" t="e">
        <f t="shared" si="0"/>
        <v>#N/A</v>
      </c>
      <c r="T11" s="1342" t="s">
        <v>62</v>
      </c>
      <c r="U11" s="1343" t="e">
        <f t="shared" si="1"/>
        <v>#N/A</v>
      </c>
      <c r="V11" s="1342" t="s">
        <v>62</v>
      </c>
      <c r="W11" s="1343" t="e">
        <f t="shared" si="2"/>
        <v>#N/A</v>
      </c>
      <c r="X11" s="287"/>
      <c r="Y11" s="3445"/>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1"/>
      <c r="Q12" s="2212">
        <f t="shared" si="6"/>
        <v>111</v>
      </c>
      <c r="R12" s="1342" t="s">
        <v>62</v>
      </c>
      <c r="S12" s="1343">
        <f t="shared" si="0"/>
        <v>100</v>
      </c>
      <c r="T12" s="1342" t="s">
        <v>62</v>
      </c>
      <c r="U12" s="1343">
        <f t="shared" si="1"/>
        <v>100</v>
      </c>
      <c r="V12" s="1342" t="s">
        <v>62</v>
      </c>
      <c r="W12" s="1343">
        <f t="shared" si="2"/>
        <v>100</v>
      </c>
      <c r="X12" s="287"/>
      <c r="Y12" s="3445"/>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1"/>
      <c r="Q13" s="2212">
        <f t="shared" si="6"/>
        <v>111</v>
      </c>
      <c r="R13" s="1342" t="s">
        <v>62</v>
      </c>
      <c r="S13" s="1343">
        <f t="shared" si="0"/>
        <v>100</v>
      </c>
      <c r="T13" s="1342" t="s">
        <v>62</v>
      </c>
      <c r="U13" s="1343">
        <f t="shared" si="1"/>
        <v>100</v>
      </c>
      <c r="V13" s="1342" t="s">
        <v>62</v>
      </c>
      <c r="W13" s="1343">
        <f t="shared" si="2"/>
        <v>100</v>
      </c>
      <c r="X13" s="287"/>
      <c r="Y13" s="3445"/>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1"/>
      <c r="Q14" s="2212">
        <f t="shared" si="6"/>
        <v>111</v>
      </c>
      <c r="R14" s="1342" t="s">
        <v>62</v>
      </c>
      <c r="S14" s="1343">
        <f t="shared" si="0"/>
        <v>100</v>
      </c>
      <c r="T14" s="1342" t="s">
        <v>62</v>
      </c>
      <c r="U14" s="1343">
        <f t="shared" si="1"/>
        <v>100</v>
      </c>
      <c r="V14" s="1342" t="s">
        <v>62</v>
      </c>
      <c r="W14" s="1343">
        <f t="shared" si="2"/>
        <v>100</v>
      </c>
      <c r="X14" s="287"/>
      <c r="Y14" s="3445"/>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48" t="s">
        <v>66</v>
      </c>
      <c r="Q15" s="2219" t="str">
        <f t="shared" si="6"/>
        <v>办公集聚程度</v>
      </c>
      <c r="R15" s="1352" t="s">
        <v>62</v>
      </c>
      <c r="S15" s="1353">
        <f t="shared" si="0"/>
        <v>100</v>
      </c>
      <c r="T15" s="1352" t="s">
        <v>62</v>
      </c>
      <c r="U15" s="1353">
        <f t="shared" si="1"/>
        <v>100</v>
      </c>
      <c r="V15" s="1352" t="s">
        <v>62</v>
      </c>
      <c r="W15" s="1353">
        <f t="shared" si="2"/>
        <v>100</v>
      </c>
      <c r="X15" s="2221"/>
      <c r="Y15" s="3641"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49"/>
      <c r="Q16" s="2219"/>
      <c r="R16" s="1352"/>
      <c r="S16" s="1353"/>
      <c r="T16" s="1352"/>
      <c r="U16" s="1353"/>
      <c r="V16" s="1352"/>
      <c r="W16" s="1353"/>
      <c r="X16" s="2221"/>
      <c r="Y16" s="3642"/>
      <c r="Z16" s="2220"/>
      <c r="AA16" s="1355">
        <v>1</v>
      </c>
      <c r="AB16" s="1355">
        <v>1</v>
      </c>
      <c r="AC16" s="2337">
        <v>1</v>
      </c>
    </row>
    <row r="17" spans="1:29" ht="81">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49"/>
      <c r="Q17" s="2219" t="str">
        <f>B17</f>
        <v>交通便捷度</v>
      </c>
      <c r="R17" s="1352" t="s">
        <v>62</v>
      </c>
      <c r="S17" s="1353">
        <f>F17</f>
        <v>100</v>
      </c>
      <c r="T17" s="1352" t="s">
        <v>62</v>
      </c>
      <c r="U17" s="1353">
        <f>H17</f>
        <v>100</v>
      </c>
      <c r="V17" s="1352" t="s">
        <v>62</v>
      </c>
      <c r="W17" s="1353">
        <f>J17</f>
        <v>100</v>
      </c>
      <c r="X17" s="2221"/>
      <c r="Y17" s="3642"/>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49"/>
      <c r="Q18" s="2219"/>
      <c r="R18" s="1352"/>
      <c r="S18" s="1353"/>
      <c r="T18" s="1352"/>
      <c r="U18" s="1353"/>
      <c r="V18" s="1352"/>
      <c r="W18" s="1353"/>
      <c r="X18" s="2221"/>
      <c r="Y18" s="3642"/>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49"/>
      <c r="Q19" s="2219" t="str">
        <f>B19</f>
        <v>公共配套设施</v>
      </c>
      <c r="R19" s="1352" t="s">
        <v>62</v>
      </c>
      <c r="S19" s="1353">
        <f>F19</f>
        <v>100</v>
      </c>
      <c r="T19" s="1352" t="s">
        <v>62</v>
      </c>
      <c r="U19" s="1353">
        <f>H19</f>
        <v>100</v>
      </c>
      <c r="V19" s="1352" t="s">
        <v>62</v>
      </c>
      <c r="W19" s="1353">
        <f>J19</f>
        <v>100</v>
      </c>
      <c r="X19" s="2221"/>
      <c r="Y19" s="3642"/>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49"/>
      <c r="Q20" s="2219"/>
      <c r="R20" s="1352"/>
      <c r="S20" s="1353"/>
      <c r="T20" s="1352"/>
      <c r="U20" s="1353"/>
      <c r="V20" s="1352"/>
      <c r="W20" s="1353"/>
      <c r="X20" s="2221"/>
      <c r="Y20" s="3642"/>
      <c r="Z20" s="2220"/>
      <c r="AA20" s="1355">
        <v>1</v>
      </c>
      <c r="AB20" s="1355">
        <v>1</v>
      </c>
      <c r="AC20" s="2337">
        <v>1</v>
      </c>
    </row>
    <row r="21" spans="1:29" ht="27">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49"/>
      <c r="Q21" s="2746" t="str">
        <f>B21</f>
        <v>基础设施水平</v>
      </c>
      <c r="R21" s="1352" t="s">
        <v>62</v>
      </c>
      <c r="S21" s="1353">
        <f>F21</f>
        <v>100</v>
      </c>
      <c r="T21" s="1352" t="s">
        <v>62</v>
      </c>
      <c r="U21" s="1353">
        <f>H21</f>
        <v>100</v>
      </c>
      <c r="V21" s="1352" t="s">
        <v>62</v>
      </c>
      <c r="W21" s="1353">
        <f>J21</f>
        <v>100</v>
      </c>
      <c r="X21" s="2748"/>
      <c r="Y21" s="3642"/>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49"/>
      <c r="Q22" s="2746"/>
      <c r="R22" s="1352"/>
      <c r="S22" s="1353"/>
      <c r="T22" s="1352"/>
      <c r="U22" s="1353"/>
      <c r="V22" s="1352"/>
      <c r="W22" s="1353"/>
      <c r="X22" s="2748"/>
      <c r="Y22" s="3642"/>
      <c r="Z22" s="2747"/>
      <c r="AA22" s="1355">
        <v>1</v>
      </c>
      <c r="AB22" s="1355">
        <v>1</v>
      </c>
      <c r="AC22" s="2337">
        <v>1</v>
      </c>
    </row>
    <row r="23" spans="1:29" ht="54">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49"/>
      <c r="Q23" s="2219" t="str">
        <f>B23</f>
        <v>环境质量</v>
      </c>
      <c r="R23" s="1352" t="s">
        <v>62</v>
      </c>
      <c r="S23" s="1353">
        <f>F23</f>
        <v>100</v>
      </c>
      <c r="T23" s="1352" t="s">
        <v>62</v>
      </c>
      <c r="U23" s="1353">
        <f>H23</f>
        <v>100</v>
      </c>
      <c r="V23" s="1352" t="s">
        <v>62</v>
      </c>
      <c r="W23" s="1353">
        <f>J23</f>
        <v>100</v>
      </c>
      <c r="X23" s="2221"/>
      <c r="Y23" s="3642"/>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49"/>
      <c r="Q24" s="2219"/>
      <c r="R24" s="1352"/>
      <c r="S24" s="1353"/>
      <c r="T24" s="1352"/>
      <c r="U24" s="1353"/>
      <c r="V24" s="1352"/>
      <c r="W24" s="1353"/>
      <c r="X24" s="2221"/>
      <c r="Y24" s="3642"/>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49"/>
      <c r="Q25" s="2219" t="str">
        <f>B25</f>
        <v>毗邻道路的类型与等级</v>
      </c>
      <c r="R25" s="1352" t="s">
        <v>62</v>
      </c>
      <c r="S25" s="1353">
        <f>F25</f>
        <v>100</v>
      </c>
      <c r="T25" s="1352" t="s">
        <v>62</v>
      </c>
      <c r="U25" s="1353">
        <f>H25</f>
        <v>100</v>
      </c>
      <c r="V25" s="1352" t="s">
        <v>62</v>
      </c>
      <c r="W25" s="1353">
        <f>J25</f>
        <v>100</v>
      </c>
      <c r="X25" s="2221"/>
      <c r="Y25" s="3642"/>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49"/>
      <c r="Q26" s="2219"/>
      <c r="R26" s="1352"/>
      <c r="S26" s="1353"/>
      <c r="T26" s="1352"/>
      <c r="U26" s="1353"/>
      <c r="V26" s="1352"/>
      <c r="W26" s="1353"/>
      <c r="X26" s="2221"/>
      <c r="Y26" s="3642"/>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49"/>
      <c r="Q27" s="2219" t="str">
        <f t="shared" ref="Q27:Q47" si="11">B27</f>
        <v>楼层</v>
      </c>
      <c r="R27" s="1352" t="s">
        <v>62</v>
      </c>
      <c r="S27" s="1353">
        <f>F27</f>
        <v>100</v>
      </c>
      <c r="T27" s="1352" t="s">
        <v>62</v>
      </c>
      <c r="U27" s="1353">
        <f>H27</f>
        <v>100</v>
      </c>
      <c r="V27" s="1352" t="s">
        <v>62</v>
      </c>
      <c r="W27" s="1353">
        <f>J27</f>
        <v>100</v>
      </c>
      <c r="X27" s="2221"/>
      <c r="Y27" s="3642"/>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49"/>
      <c r="Q28" s="2212" t="str">
        <f t="shared" si="11"/>
        <v>朝向</v>
      </c>
      <c r="R28" s="1342" t="s">
        <v>62</v>
      </c>
      <c r="S28" s="1343">
        <f>F28</f>
        <v>100</v>
      </c>
      <c r="T28" s="1342" t="s">
        <v>62</v>
      </c>
      <c r="U28" s="1343">
        <f>H28</f>
        <v>100</v>
      </c>
      <c r="V28" s="1342" t="s">
        <v>62</v>
      </c>
      <c r="W28" s="1343">
        <f>J28</f>
        <v>100</v>
      </c>
      <c r="X28" s="287"/>
      <c r="Y28" s="3642"/>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49"/>
      <c r="Q29" s="2219">
        <f t="shared" si="11"/>
        <v>111</v>
      </c>
      <c r="R29" s="1352" t="s">
        <v>62</v>
      </c>
      <c r="S29" s="1353">
        <f t="shared" ref="S29:S47" si="12">F29</f>
        <v>100</v>
      </c>
      <c r="T29" s="1352" t="s">
        <v>62</v>
      </c>
      <c r="U29" s="1353">
        <f t="shared" ref="U29:U47" si="13">H29</f>
        <v>100</v>
      </c>
      <c r="V29" s="1352" t="s">
        <v>62</v>
      </c>
      <c r="W29" s="1353">
        <f t="shared" ref="W29:W47" si="14">J29</f>
        <v>100</v>
      </c>
      <c r="X29" s="2221"/>
      <c r="Y29" s="3642"/>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49"/>
      <c r="Q30" s="2219">
        <f t="shared" si="11"/>
        <v>111</v>
      </c>
      <c r="R30" s="1352" t="s">
        <v>62</v>
      </c>
      <c r="S30" s="1353">
        <f t="shared" si="12"/>
        <v>100</v>
      </c>
      <c r="T30" s="1352" t="s">
        <v>62</v>
      </c>
      <c r="U30" s="1353">
        <f t="shared" si="13"/>
        <v>100</v>
      </c>
      <c r="V30" s="1352" t="s">
        <v>62</v>
      </c>
      <c r="W30" s="1353">
        <f t="shared" si="14"/>
        <v>100</v>
      </c>
      <c r="X30" s="2221"/>
      <c r="Y30" s="3642"/>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49"/>
      <c r="Q31" s="2219">
        <f t="shared" si="11"/>
        <v>111</v>
      </c>
      <c r="R31" s="1352" t="s">
        <v>62</v>
      </c>
      <c r="S31" s="1353">
        <f t="shared" si="12"/>
        <v>100</v>
      </c>
      <c r="T31" s="1352" t="s">
        <v>62</v>
      </c>
      <c r="U31" s="1353">
        <f t="shared" si="13"/>
        <v>100</v>
      </c>
      <c r="V31" s="1352" t="s">
        <v>62</v>
      </c>
      <c r="W31" s="1353">
        <f t="shared" si="14"/>
        <v>100</v>
      </c>
      <c r="X31" s="2221"/>
      <c r="Y31" s="3642"/>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49"/>
      <c r="Q32" s="2219">
        <f t="shared" si="11"/>
        <v>111</v>
      </c>
      <c r="R32" s="1352" t="s">
        <v>62</v>
      </c>
      <c r="S32" s="1353">
        <f t="shared" si="12"/>
        <v>100</v>
      </c>
      <c r="T32" s="1352" t="s">
        <v>62</v>
      </c>
      <c r="U32" s="1353">
        <f t="shared" si="13"/>
        <v>100</v>
      </c>
      <c r="V32" s="1352" t="s">
        <v>62</v>
      </c>
      <c r="W32" s="1353">
        <f t="shared" si="14"/>
        <v>100</v>
      </c>
      <c r="X32" s="2221"/>
      <c r="Y32" s="3642"/>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3" t="s">
        <v>1087</v>
      </c>
      <c r="Q33" s="2219" t="str">
        <f t="shared" si="11"/>
        <v>建筑类型</v>
      </c>
      <c r="R33" s="1352" t="s">
        <v>62</v>
      </c>
      <c r="S33" s="1353">
        <f t="shared" si="12"/>
        <v>100</v>
      </c>
      <c r="T33" s="1352" t="s">
        <v>62</v>
      </c>
      <c r="U33" s="1353">
        <f t="shared" si="13"/>
        <v>100</v>
      </c>
      <c r="V33" s="1352" t="s">
        <v>62</v>
      </c>
      <c r="W33" s="1353">
        <f t="shared" si="14"/>
        <v>100</v>
      </c>
      <c r="X33" s="2221"/>
      <c r="Y33" s="3646"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4"/>
      <c r="Q34" s="1359" t="str">
        <f t="shared" si="11"/>
        <v>项目建筑规模</v>
      </c>
      <c r="R34" s="1360" t="s">
        <v>62</v>
      </c>
      <c r="S34" s="1361" t="e">
        <f t="shared" si="12"/>
        <v>#N/A</v>
      </c>
      <c r="T34" s="1360" t="s">
        <v>62</v>
      </c>
      <c r="U34" s="1361" t="e">
        <f t="shared" si="13"/>
        <v>#N/A</v>
      </c>
      <c r="V34" s="1360" t="s">
        <v>62</v>
      </c>
      <c r="W34" s="1361" t="e">
        <f t="shared" si="14"/>
        <v>#N/A</v>
      </c>
      <c r="X34" s="1362"/>
      <c r="Y34" s="3646"/>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4"/>
      <c r="Q35" s="2219" t="str">
        <f t="shared" si="11"/>
        <v>建筑结构</v>
      </c>
      <c r="R35" s="1352" t="s">
        <v>62</v>
      </c>
      <c r="S35" s="1353">
        <f t="shared" si="12"/>
        <v>100</v>
      </c>
      <c r="T35" s="1352" t="s">
        <v>62</v>
      </c>
      <c r="U35" s="1353">
        <f t="shared" si="13"/>
        <v>100</v>
      </c>
      <c r="V35" s="1352" t="s">
        <v>62</v>
      </c>
      <c r="W35" s="1353">
        <f t="shared" si="14"/>
        <v>100</v>
      </c>
      <c r="X35" s="2221"/>
      <c r="Y35" s="3646"/>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4"/>
      <c r="Q36" s="2219" t="str">
        <f t="shared" si="11"/>
        <v>公共部分装修</v>
      </c>
      <c r="R36" s="1352" t="s">
        <v>62</v>
      </c>
      <c r="S36" s="1353">
        <f t="shared" si="12"/>
        <v>100</v>
      </c>
      <c r="T36" s="1352" t="s">
        <v>62</v>
      </c>
      <c r="U36" s="1353">
        <f t="shared" si="13"/>
        <v>100</v>
      </c>
      <c r="V36" s="1352" t="s">
        <v>62</v>
      </c>
      <c r="W36" s="1353">
        <f t="shared" si="14"/>
        <v>100</v>
      </c>
      <c r="X36" s="2221"/>
      <c r="Y36" s="3646"/>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4"/>
      <c r="Q37" s="2219" t="str">
        <f t="shared" si="11"/>
        <v>成新度</v>
      </c>
      <c r="R37" s="1352" t="s">
        <v>62</v>
      </c>
      <c r="S37" s="1353" t="e">
        <f t="shared" si="12"/>
        <v>#N/A</v>
      </c>
      <c r="T37" s="1352" t="s">
        <v>62</v>
      </c>
      <c r="U37" s="1353" t="e">
        <f t="shared" si="13"/>
        <v>#N/A</v>
      </c>
      <c r="V37" s="1352" t="s">
        <v>62</v>
      </c>
      <c r="W37" s="1353" t="e">
        <f t="shared" si="14"/>
        <v>#N/A</v>
      </c>
      <c r="X37" s="2221"/>
      <c r="Y37" s="3646"/>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4"/>
      <c r="Q38" s="2212" t="str">
        <f t="shared" si="11"/>
        <v>写字楼等级</v>
      </c>
      <c r="R38" s="1342" t="s">
        <v>62</v>
      </c>
      <c r="S38" s="1343">
        <f t="shared" si="12"/>
        <v>100</v>
      </c>
      <c r="T38" s="1342" t="s">
        <v>62</v>
      </c>
      <c r="U38" s="1343">
        <f t="shared" si="13"/>
        <v>100</v>
      </c>
      <c r="V38" s="1342" t="s">
        <v>62</v>
      </c>
      <c r="W38" s="1343">
        <f t="shared" si="14"/>
        <v>100</v>
      </c>
      <c r="X38" s="287"/>
      <c r="Y38" s="3646"/>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4" t="s">
        <v>67</v>
      </c>
      <c r="Q39" s="2219" t="str">
        <f t="shared" si="11"/>
        <v>物业管理</v>
      </c>
      <c r="R39" s="1352" t="s">
        <v>62</v>
      </c>
      <c r="S39" s="1353">
        <f t="shared" si="12"/>
        <v>100</v>
      </c>
      <c r="T39" s="1352" t="s">
        <v>62</v>
      </c>
      <c r="U39" s="1353">
        <f t="shared" si="13"/>
        <v>100</v>
      </c>
      <c r="V39" s="1352" t="s">
        <v>62</v>
      </c>
      <c r="W39" s="1353">
        <f t="shared" si="14"/>
        <v>100</v>
      </c>
      <c r="X39" s="2221"/>
      <c r="Y39" s="3646"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4"/>
      <c r="Q40" s="2219" t="str">
        <f t="shared" si="11"/>
        <v>市政基础设施</v>
      </c>
      <c r="R40" s="1352" t="s">
        <v>62</v>
      </c>
      <c r="S40" s="1353">
        <f t="shared" si="12"/>
        <v>100</v>
      </c>
      <c r="T40" s="1352" t="s">
        <v>62</v>
      </c>
      <c r="U40" s="1353">
        <f t="shared" si="13"/>
        <v>100</v>
      </c>
      <c r="V40" s="1352" t="s">
        <v>62</v>
      </c>
      <c r="W40" s="1353">
        <f t="shared" si="14"/>
        <v>100</v>
      </c>
      <c r="X40" s="2221"/>
      <c r="Y40" s="3646"/>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4"/>
      <c r="Q41" s="2219" t="str">
        <f t="shared" si="11"/>
        <v>层高</v>
      </c>
      <c r="R41" s="1352" t="s">
        <v>62</v>
      </c>
      <c r="S41" s="1353">
        <f t="shared" si="12"/>
        <v>100</v>
      </c>
      <c r="T41" s="1352" t="s">
        <v>62</v>
      </c>
      <c r="U41" s="1353">
        <f t="shared" si="13"/>
        <v>100</v>
      </c>
      <c r="V41" s="1352" t="s">
        <v>62</v>
      </c>
      <c r="W41" s="1353">
        <f t="shared" si="14"/>
        <v>100</v>
      </c>
      <c r="X41" s="2221"/>
      <c r="Y41" s="3646"/>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4"/>
      <c r="Q42" s="1359" t="str">
        <f t="shared" si="11"/>
        <v>单套建筑面积</v>
      </c>
      <c r="R42" s="1360" t="s">
        <v>62</v>
      </c>
      <c r="S42" s="1361">
        <f t="shared" si="12"/>
        <v>100</v>
      </c>
      <c r="T42" s="1360" t="s">
        <v>62</v>
      </c>
      <c r="U42" s="1361">
        <f t="shared" si="13"/>
        <v>100</v>
      </c>
      <c r="V42" s="1360" t="s">
        <v>62</v>
      </c>
      <c r="W42" s="1361">
        <f t="shared" si="14"/>
        <v>100</v>
      </c>
      <c r="X42" s="1362"/>
      <c r="Y42" s="3646"/>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4"/>
      <c r="Q43" s="2219" t="str">
        <f t="shared" si="11"/>
        <v>内部装修</v>
      </c>
      <c r="R43" s="1352" t="s">
        <v>62</v>
      </c>
      <c r="S43" s="1353">
        <f t="shared" si="12"/>
        <v>100</v>
      </c>
      <c r="T43" s="1352" t="s">
        <v>62</v>
      </c>
      <c r="U43" s="1353">
        <f t="shared" si="13"/>
        <v>100</v>
      </c>
      <c r="V43" s="1352" t="s">
        <v>62</v>
      </c>
      <c r="W43" s="1353">
        <f t="shared" si="14"/>
        <v>100</v>
      </c>
      <c r="X43" s="2221"/>
      <c r="Y43" s="3646"/>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4"/>
      <c r="Q44" s="2219" t="str">
        <f t="shared" si="11"/>
        <v>内部装修维护情况</v>
      </c>
      <c r="R44" s="1352" t="s">
        <v>62</v>
      </c>
      <c r="S44" s="1353">
        <f t="shared" si="12"/>
        <v>100</v>
      </c>
      <c r="T44" s="1352" t="s">
        <v>62</v>
      </c>
      <c r="U44" s="1353">
        <f t="shared" si="13"/>
        <v>100</v>
      </c>
      <c r="V44" s="1352" t="s">
        <v>62</v>
      </c>
      <c r="W44" s="1353">
        <f t="shared" si="14"/>
        <v>100</v>
      </c>
      <c r="X44" s="2221"/>
      <c r="Y44" s="3646"/>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4"/>
      <c r="Q45" s="2212">
        <f t="shared" si="11"/>
        <v>111</v>
      </c>
      <c r="R45" s="1342" t="s">
        <v>62</v>
      </c>
      <c r="S45" s="1343">
        <f t="shared" si="12"/>
        <v>100</v>
      </c>
      <c r="T45" s="1342" t="s">
        <v>62</v>
      </c>
      <c r="U45" s="1343">
        <f t="shared" si="13"/>
        <v>100</v>
      </c>
      <c r="V45" s="1342" t="s">
        <v>62</v>
      </c>
      <c r="W45" s="1343">
        <f t="shared" si="14"/>
        <v>100</v>
      </c>
      <c r="X45" s="287"/>
      <c r="Y45" s="3646"/>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4"/>
      <c r="Q46" s="2219">
        <f t="shared" si="11"/>
        <v>111</v>
      </c>
      <c r="R46" s="1352" t="s">
        <v>62</v>
      </c>
      <c r="S46" s="1353">
        <f t="shared" si="12"/>
        <v>100</v>
      </c>
      <c r="T46" s="1352" t="s">
        <v>62</v>
      </c>
      <c r="U46" s="1353">
        <f t="shared" si="13"/>
        <v>100</v>
      </c>
      <c r="V46" s="1352" t="s">
        <v>62</v>
      </c>
      <c r="W46" s="1353">
        <f t="shared" si="14"/>
        <v>100</v>
      </c>
      <c r="X46" s="2221"/>
      <c r="Y46" s="3646"/>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5"/>
      <c r="Q47" s="2219">
        <f t="shared" si="11"/>
        <v>111</v>
      </c>
      <c r="R47" s="1352" t="s">
        <v>62</v>
      </c>
      <c r="S47" s="1353">
        <f t="shared" si="12"/>
        <v>100</v>
      </c>
      <c r="T47" s="1352" t="s">
        <v>62</v>
      </c>
      <c r="U47" s="1353">
        <f t="shared" si="13"/>
        <v>100</v>
      </c>
      <c r="V47" s="1352" t="s">
        <v>62</v>
      </c>
      <c r="W47" s="1353">
        <f t="shared" si="14"/>
        <v>100</v>
      </c>
      <c r="X47" s="2221"/>
      <c r="Y47" s="3647"/>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1" t="str">
        <f>A48</f>
        <v>成交单价（元/平方米）</v>
      </c>
      <c r="Q48" s="3639"/>
      <c r="R48" s="3640">
        <f>E48</f>
        <v>0</v>
      </c>
      <c r="S48" s="3640"/>
      <c r="T48" s="3640">
        <f>G48</f>
        <v>0</v>
      </c>
      <c r="U48" s="3640"/>
      <c r="V48" s="3640">
        <f>I48</f>
        <v>0</v>
      </c>
      <c r="W48" s="3640"/>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1"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62" t="str">
        <f>A50</f>
        <v>估价对象XX用房的比较价值（楼面单价，元/平方米）</v>
      </c>
      <c r="Q50" s="3663"/>
      <c r="R50" s="3664" t="e">
        <f>IF(F1="售价",ROUND(AVERAGE(R49:V49),0),ROUND(AVERAGE(R49:V49),1))</f>
        <v>#DIV/0!</v>
      </c>
      <c r="S50" s="3664"/>
      <c r="T50" s="3664"/>
      <c r="U50" s="3664"/>
      <c r="V50" s="3664"/>
      <c r="W50" s="366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2" t="s">
        <v>1108</v>
      </c>
      <c r="D4" s="3623"/>
      <c r="E4" s="3624" t="s">
        <v>1109</v>
      </c>
      <c r="F4" s="3625"/>
      <c r="G4" s="3622" t="s">
        <v>1110</v>
      </c>
      <c r="H4" s="3623"/>
      <c r="I4" s="3622" t="s">
        <v>1111</v>
      </c>
      <c r="J4" s="3623"/>
      <c r="K4" s="187" t="s">
        <v>1112</v>
      </c>
      <c r="L4" s="2295"/>
      <c r="M4" s="2296"/>
      <c r="N4" s="2296"/>
      <c r="O4" s="2296"/>
      <c r="P4" s="3626" t="s">
        <v>1107</v>
      </c>
      <c r="Q4" s="3627"/>
      <c r="R4" s="3609" t="s">
        <v>1109</v>
      </c>
      <c r="S4" s="3610"/>
      <c r="T4" s="3609" t="s">
        <v>1110</v>
      </c>
      <c r="U4" s="3610"/>
      <c r="V4" s="3634" t="s">
        <v>1111</v>
      </c>
      <c r="W4" s="3634"/>
      <c r="X4" s="1340"/>
      <c r="Y4" s="3609" t="s">
        <v>1107</v>
      </c>
      <c r="Z4" s="3610"/>
      <c r="AA4" s="3604" t="s">
        <v>1109</v>
      </c>
      <c r="AB4" s="3605" t="s">
        <v>1110</v>
      </c>
      <c r="AC4" s="3604" t="s">
        <v>1111</v>
      </c>
    </row>
    <row r="5" spans="1:29">
      <c r="A5" s="146"/>
      <c r="B5" s="147"/>
      <c r="C5" s="3615" t="s">
        <v>1113</v>
      </c>
      <c r="D5" s="3616"/>
      <c r="E5" s="3613" t="s">
        <v>1114</v>
      </c>
      <c r="F5" s="3614"/>
      <c r="G5" s="3615" t="s">
        <v>1115</v>
      </c>
      <c r="H5" s="3616"/>
      <c r="I5" s="3615" t="s">
        <v>1116</v>
      </c>
      <c r="J5" s="3616"/>
      <c r="K5" s="187"/>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1117</v>
      </c>
      <c r="D6" s="3618"/>
      <c r="E6" s="3619" t="s">
        <v>1117</v>
      </c>
      <c r="F6" s="3620"/>
      <c r="G6" s="3617" t="s">
        <v>1117</v>
      </c>
      <c r="H6" s="3618"/>
      <c r="I6" s="3617" t="s">
        <v>1117</v>
      </c>
      <c r="J6" s="3618"/>
      <c r="K6" s="187" t="s">
        <v>1118</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07" t="s">
        <v>1119</v>
      </c>
      <c r="Q7" s="3635"/>
      <c r="R7" s="1342" t="s">
        <v>62</v>
      </c>
      <c r="S7" s="1343">
        <f t="shared" ref="S7:S15" si="0">F7</f>
        <v>0</v>
      </c>
      <c r="T7" s="1342" t="s">
        <v>62</v>
      </c>
      <c r="U7" s="1343">
        <f t="shared" ref="U7:U15" si="1">H7</f>
        <v>0</v>
      </c>
      <c r="V7" s="1342" t="s">
        <v>62</v>
      </c>
      <c r="W7" s="1343">
        <f t="shared" ref="W7:W15" si="2">J7</f>
        <v>0</v>
      </c>
      <c r="X7" s="287"/>
      <c r="Y7" s="3607" t="s">
        <v>1119</v>
      </c>
      <c r="Z7" s="3608"/>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07" t="s">
        <v>1015</v>
      </c>
      <c r="Q8" s="3608"/>
      <c r="R8" s="1342" t="s">
        <v>62</v>
      </c>
      <c r="S8" s="1343">
        <f t="shared" si="0"/>
        <v>0</v>
      </c>
      <c r="T8" s="1342" t="s">
        <v>62</v>
      </c>
      <c r="U8" s="1343">
        <f t="shared" si="1"/>
        <v>0</v>
      </c>
      <c r="V8" s="1342" t="s">
        <v>62</v>
      </c>
      <c r="W8" s="1343">
        <f t="shared" si="2"/>
        <v>0</v>
      </c>
      <c r="X8" s="287"/>
      <c r="Y8" s="3607" t="s">
        <v>1015</v>
      </c>
      <c r="Z8" s="3608"/>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39" t="s">
        <v>64</v>
      </c>
      <c r="Q9" s="7" t="str">
        <f t="shared" ref="Q9:Q15" si="6">B9</f>
        <v>用途</v>
      </c>
      <c r="R9" s="1342" t="s">
        <v>62</v>
      </c>
      <c r="S9" s="1343">
        <f t="shared" si="0"/>
        <v>100</v>
      </c>
      <c r="T9" s="1342" t="s">
        <v>62</v>
      </c>
      <c r="U9" s="1343">
        <f t="shared" si="1"/>
        <v>100</v>
      </c>
      <c r="V9" s="1342" t="s">
        <v>62</v>
      </c>
      <c r="W9" s="1343">
        <f t="shared" si="2"/>
        <v>100</v>
      </c>
      <c r="X9" s="287"/>
      <c r="Y9" s="3445"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39"/>
      <c r="Q10" s="7" t="str">
        <f t="shared" si="6"/>
        <v>土地使用年限（年）</v>
      </c>
      <c r="R10" s="1342" t="s">
        <v>62</v>
      </c>
      <c r="S10" s="1343">
        <f t="shared" si="0"/>
        <v>100</v>
      </c>
      <c r="T10" s="1342" t="s">
        <v>62</v>
      </c>
      <c r="U10" s="1343">
        <f t="shared" si="1"/>
        <v>100</v>
      </c>
      <c r="V10" s="1342" t="s">
        <v>62</v>
      </c>
      <c r="W10" s="1343">
        <f t="shared" si="2"/>
        <v>100</v>
      </c>
      <c r="X10" s="287"/>
      <c r="Y10" s="3445"/>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39"/>
      <c r="Q11" s="7" t="str">
        <f t="shared" si="6"/>
        <v>容积率</v>
      </c>
      <c r="R11" s="1342" t="s">
        <v>62</v>
      </c>
      <c r="S11" s="1343" t="e">
        <f t="shared" si="0"/>
        <v>#N/A</v>
      </c>
      <c r="T11" s="1342" t="s">
        <v>62</v>
      </c>
      <c r="U11" s="1343" t="e">
        <f t="shared" si="1"/>
        <v>#N/A</v>
      </c>
      <c r="V11" s="1342" t="s">
        <v>62</v>
      </c>
      <c r="W11" s="1343" t="e">
        <f t="shared" si="2"/>
        <v>#N/A</v>
      </c>
      <c r="X11" s="287"/>
      <c r="Y11" s="344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39"/>
      <c r="Q12" s="7">
        <f t="shared" si="6"/>
        <v>111</v>
      </c>
      <c r="R12" s="1342" t="s">
        <v>62</v>
      </c>
      <c r="S12" s="1343">
        <f t="shared" si="0"/>
        <v>100</v>
      </c>
      <c r="T12" s="1342" t="s">
        <v>62</v>
      </c>
      <c r="U12" s="1343">
        <f t="shared" si="1"/>
        <v>100</v>
      </c>
      <c r="V12" s="1342" t="s">
        <v>62</v>
      </c>
      <c r="W12" s="1343">
        <f t="shared" si="2"/>
        <v>100</v>
      </c>
      <c r="X12" s="287"/>
      <c r="Y12" s="344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39"/>
      <c r="Q13" s="7">
        <f t="shared" si="6"/>
        <v>111</v>
      </c>
      <c r="R13" s="1342" t="s">
        <v>62</v>
      </c>
      <c r="S13" s="1343">
        <f t="shared" si="0"/>
        <v>100</v>
      </c>
      <c r="T13" s="1342" t="s">
        <v>62</v>
      </c>
      <c r="U13" s="1343">
        <f t="shared" si="1"/>
        <v>100</v>
      </c>
      <c r="V13" s="1342" t="s">
        <v>62</v>
      </c>
      <c r="W13" s="1343">
        <f t="shared" si="2"/>
        <v>100</v>
      </c>
      <c r="X13" s="287"/>
      <c r="Y13" s="344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39"/>
      <c r="Q14" s="7">
        <f t="shared" si="6"/>
        <v>111</v>
      </c>
      <c r="R14" s="1342" t="s">
        <v>62</v>
      </c>
      <c r="S14" s="1343">
        <f t="shared" si="0"/>
        <v>100</v>
      </c>
      <c r="T14" s="1342" t="s">
        <v>62</v>
      </c>
      <c r="U14" s="1343">
        <f t="shared" si="1"/>
        <v>100</v>
      </c>
      <c r="V14" s="1342" t="s">
        <v>62</v>
      </c>
      <c r="W14" s="1343">
        <f t="shared" si="2"/>
        <v>100</v>
      </c>
      <c r="X14" s="287"/>
      <c r="Y14" s="3445"/>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1" t="s">
        <v>66</v>
      </c>
      <c r="Q15" s="1351" t="str">
        <f t="shared" si="6"/>
        <v>产业集聚程度</v>
      </c>
      <c r="R15" s="1352" t="s">
        <v>62</v>
      </c>
      <c r="S15" s="1353">
        <f t="shared" si="0"/>
        <v>100</v>
      </c>
      <c r="T15" s="1352" t="s">
        <v>62</v>
      </c>
      <c r="U15" s="1353">
        <f t="shared" si="1"/>
        <v>100</v>
      </c>
      <c r="V15" s="1352" t="s">
        <v>62</v>
      </c>
      <c r="W15" s="1353">
        <f t="shared" si="2"/>
        <v>100</v>
      </c>
      <c r="X15" s="1340"/>
      <c r="Y15" s="3641"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42"/>
      <c r="Q16" s="1351"/>
      <c r="R16" s="1352"/>
      <c r="S16" s="1353"/>
      <c r="T16" s="1352"/>
      <c r="U16" s="1353"/>
      <c r="V16" s="1352"/>
      <c r="W16" s="1353"/>
      <c r="X16" s="1340"/>
      <c r="Y16" s="3642"/>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2"/>
      <c r="Q17" s="1351" t="str">
        <f>B17</f>
        <v>交通便捷度</v>
      </c>
      <c r="R17" s="1352" t="s">
        <v>62</v>
      </c>
      <c r="S17" s="1353">
        <f>F17</f>
        <v>100</v>
      </c>
      <c r="T17" s="1352" t="s">
        <v>62</v>
      </c>
      <c r="U17" s="1353">
        <f>H17</f>
        <v>100</v>
      </c>
      <c r="V17" s="1352" t="s">
        <v>62</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42"/>
      <c r="Q18" s="1351"/>
      <c r="R18" s="1352"/>
      <c r="S18" s="1353"/>
      <c r="T18" s="1352"/>
      <c r="U18" s="1353"/>
      <c r="V18" s="1352"/>
      <c r="W18" s="1353"/>
      <c r="X18" s="1340"/>
      <c r="Y18" s="3642"/>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2"/>
      <c r="Q19" s="1351" t="str">
        <f>B19</f>
        <v>公共配套设施</v>
      </c>
      <c r="R19" s="1352" t="s">
        <v>62</v>
      </c>
      <c r="S19" s="1353">
        <f>F19</f>
        <v>100</v>
      </c>
      <c r="T19" s="1352" t="s">
        <v>62</v>
      </c>
      <c r="U19" s="1353">
        <f>H19</f>
        <v>100</v>
      </c>
      <c r="V19" s="1352" t="s">
        <v>62</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42"/>
      <c r="Q20" s="1351"/>
      <c r="R20" s="1352"/>
      <c r="S20" s="1353"/>
      <c r="T20" s="1352"/>
      <c r="U20" s="1353"/>
      <c r="V20" s="1352"/>
      <c r="W20" s="1353"/>
      <c r="X20" s="1340"/>
      <c r="Y20" s="3642"/>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2"/>
      <c r="Q21" s="2746" t="str">
        <f>B21</f>
        <v>基础设施水平</v>
      </c>
      <c r="R21" s="1352" t="s">
        <v>62</v>
      </c>
      <c r="S21" s="1353">
        <f>F21</f>
        <v>100</v>
      </c>
      <c r="T21" s="1352" t="s">
        <v>62</v>
      </c>
      <c r="U21" s="1353">
        <f>H21</f>
        <v>100</v>
      </c>
      <c r="V21" s="1352" t="s">
        <v>62</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42"/>
      <c r="Q22" s="2746"/>
      <c r="R22" s="1352"/>
      <c r="S22" s="1353"/>
      <c r="T22" s="1352"/>
      <c r="U22" s="1353"/>
      <c r="V22" s="1352"/>
      <c r="W22" s="1353"/>
      <c r="X22" s="2748"/>
      <c r="Y22" s="3642"/>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2"/>
      <c r="Q23" s="1351" t="str">
        <f>B23</f>
        <v>环境质量</v>
      </c>
      <c r="R23" s="1352" t="s">
        <v>62</v>
      </c>
      <c r="S23" s="1353">
        <f>F23</f>
        <v>100</v>
      </c>
      <c r="T23" s="1352" t="s">
        <v>62</v>
      </c>
      <c r="U23" s="1353">
        <f>H23</f>
        <v>100</v>
      </c>
      <c r="V23" s="1352" t="s">
        <v>62</v>
      </c>
      <c r="W23" s="1353">
        <f>J23</f>
        <v>100</v>
      </c>
      <c r="X23" s="1340"/>
      <c r="Y23" s="364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42"/>
      <c r="Q24" s="1351"/>
      <c r="R24" s="1352"/>
      <c r="S24" s="1353"/>
      <c r="T24" s="1352"/>
      <c r="U24" s="1353"/>
      <c r="V24" s="1352"/>
      <c r="W24" s="1353"/>
      <c r="X24" s="1340"/>
      <c r="Y24" s="364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2"/>
      <c r="Q25" s="1351">
        <f>B25</f>
        <v>111</v>
      </c>
      <c r="R25" s="1352" t="s">
        <v>62</v>
      </c>
      <c r="S25" s="1353">
        <f>F25</f>
        <v>100</v>
      </c>
      <c r="T25" s="1352" t="s">
        <v>62</v>
      </c>
      <c r="U25" s="1353">
        <f>H25</f>
        <v>100</v>
      </c>
      <c r="V25" s="1352" t="s">
        <v>62</v>
      </c>
      <c r="W25" s="1353">
        <f>J25</f>
        <v>100</v>
      </c>
      <c r="X25" s="1340"/>
      <c r="Y25" s="364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2"/>
      <c r="Q26" s="1351">
        <f t="shared" ref="Q26:Q40" si="11">B26</f>
        <v>111</v>
      </c>
      <c r="R26" s="1352" t="s">
        <v>62</v>
      </c>
      <c r="S26" s="1353">
        <f>F26</f>
        <v>100</v>
      </c>
      <c r="T26" s="1352" t="s">
        <v>62</v>
      </c>
      <c r="U26" s="1353">
        <f>H26</f>
        <v>100</v>
      </c>
      <c r="V26" s="1352" t="s">
        <v>62</v>
      </c>
      <c r="W26" s="1353">
        <f>J26</f>
        <v>100</v>
      </c>
      <c r="X26" s="1340"/>
      <c r="Y26" s="364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2"/>
      <c r="Q27" s="7">
        <f t="shared" si="11"/>
        <v>111</v>
      </c>
      <c r="R27" s="1342" t="s">
        <v>62</v>
      </c>
      <c r="S27" s="1343">
        <f>F27</f>
        <v>100</v>
      </c>
      <c r="T27" s="1342" t="s">
        <v>62</v>
      </c>
      <c r="U27" s="1343">
        <f>H27</f>
        <v>100</v>
      </c>
      <c r="V27" s="1342" t="s">
        <v>62</v>
      </c>
      <c r="W27" s="1343">
        <f>J27</f>
        <v>100</v>
      </c>
      <c r="X27" s="287"/>
      <c r="Y27" s="364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2"/>
      <c r="Q28" s="1351">
        <f t="shared" si="11"/>
        <v>111</v>
      </c>
      <c r="R28" s="1352" t="s">
        <v>62</v>
      </c>
      <c r="S28" s="1353">
        <f t="shared" ref="S28:S40" si="12">F28</f>
        <v>100</v>
      </c>
      <c r="T28" s="1352" t="s">
        <v>62</v>
      </c>
      <c r="U28" s="1353">
        <f t="shared" ref="U28:U40" si="13">H28</f>
        <v>100</v>
      </c>
      <c r="V28" s="1352" t="s">
        <v>62</v>
      </c>
      <c r="W28" s="1353">
        <f t="shared" ref="W28:W40" si="14">J28</f>
        <v>100</v>
      </c>
      <c r="X28" s="1340"/>
      <c r="Y28" s="3642"/>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5" t="s">
        <v>1121</v>
      </c>
      <c r="Q29" s="1351" t="str">
        <f t="shared" si="11"/>
        <v>建筑类型</v>
      </c>
      <c r="R29" s="1352" t="s">
        <v>62</v>
      </c>
      <c r="S29" s="1353">
        <f t="shared" si="12"/>
        <v>100</v>
      </c>
      <c r="T29" s="1352" t="s">
        <v>62</v>
      </c>
      <c r="U29" s="1353">
        <f t="shared" si="13"/>
        <v>100</v>
      </c>
      <c r="V29" s="1352" t="s">
        <v>62</v>
      </c>
      <c r="W29" s="1353">
        <f t="shared" si="14"/>
        <v>100</v>
      </c>
      <c r="X29" s="1340"/>
      <c r="Y29" s="3646"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46"/>
      <c r="Q30" s="1359" t="str">
        <f t="shared" si="11"/>
        <v>项目建筑规模</v>
      </c>
      <c r="R30" s="1360" t="s">
        <v>62</v>
      </c>
      <c r="S30" s="1361" t="e">
        <f t="shared" si="12"/>
        <v>#N/A</v>
      </c>
      <c r="T30" s="1360" t="s">
        <v>62</v>
      </c>
      <c r="U30" s="1361" t="e">
        <f t="shared" si="13"/>
        <v>#N/A</v>
      </c>
      <c r="V30" s="1360" t="s">
        <v>62</v>
      </c>
      <c r="W30" s="1361" t="e">
        <f t="shared" si="14"/>
        <v>#N/A</v>
      </c>
      <c r="X30" s="1362"/>
      <c r="Y30" s="3646"/>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46"/>
      <c r="Q31" s="1351" t="str">
        <f t="shared" si="11"/>
        <v>建筑结构</v>
      </c>
      <c r="R31" s="1352" t="s">
        <v>62</v>
      </c>
      <c r="S31" s="1353">
        <f t="shared" si="12"/>
        <v>100</v>
      </c>
      <c r="T31" s="1352" t="s">
        <v>62</v>
      </c>
      <c r="U31" s="1353">
        <f t="shared" si="13"/>
        <v>100</v>
      </c>
      <c r="V31" s="1352" t="s">
        <v>62</v>
      </c>
      <c r="W31" s="1353">
        <f t="shared" si="14"/>
        <v>100</v>
      </c>
      <c r="X31" s="1340"/>
      <c r="Y31" s="3646"/>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46"/>
      <c r="Q32" s="1351" t="str">
        <f t="shared" si="11"/>
        <v>公共部分装修</v>
      </c>
      <c r="R32" s="1352" t="s">
        <v>62</v>
      </c>
      <c r="S32" s="1353">
        <f t="shared" si="12"/>
        <v>100</v>
      </c>
      <c r="T32" s="1352" t="s">
        <v>62</v>
      </c>
      <c r="U32" s="1353">
        <f t="shared" si="13"/>
        <v>100</v>
      </c>
      <c r="V32" s="1352" t="s">
        <v>62</v>
      </c>
      <c r="W32" s="1353">
        <f t="shared" si="14"/>
        <v>100</v>
      </c>
      <c r="X32" s="1340"/>
      <c r="Y32" s="3646"/>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46"/>
      <c r="Q33" s="1351" t="str">
        <f t="shared" si="11"/>
        <v>成新度</v>
      </c>
      <c r="R33" s="1352" t="s">
        <v>62</v>
      </c>
      <c r="S33" s="1353" t="e">
        <f t="shared" si="12"/>
        <v>#N/A</v>
      </c>
      <c r="T33" s="1352" t="s">
        <v>62</v>
      </c>
      <c r="U33" s="1353" t="e">
        <f t="shared" si="13"/>
        <v>#N/A</v>
      </c>
      <c r="V33" s="1352" t="s">
        <v>62</v>
      </c>
      <c r="W33" s="1353" t="e">
        <f t="shared" si="14"/>
        <v>#N/A</v>
      </c>
      <c r="X33" s="1340"/>
      <c r="Y33" s="3646"/>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6"/>
      <c r="Q34" s="7" t="str">
        <f t="shared" si="11"/>
        <v>物业管理</v>
      </c>
      <c r="R34" s="1342" t="s">
        <v>62</v>
      </c>
      <c r="S34" s="1343">
        <f t="shared" si="12"/>
        <v>100</v>
      </c>
      <c r="T34" s="1342" t="s">
        <v>62</v>
      </c>
      <c r="U34" s="1343">
        <f t="shared" si="13"/>
        <v>100</v>
      </c>
      <c r="V34" s="1342" t="s">
        <v>62</v>
      </c>
      <c r="W34" s="1343">
        <f t="shared" si="14"/>
        <v>100</v>
      </c>
      <c r="X34" s="287"/>
      <c r="Y34" s="3646"/>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46" t="s">
        <v>67</v>
      </c>
      <c r="Q35" s="1351" t="str">
        <f t="shared" si="11"/>
        <v>市政基础设施</v>
      </c>
      <c r="R35" s="1352" t="s">
        <v>62</v>
      </c>
      <c r="S35" s="1353">
        <f t="shared" si="12"/>
        <v>100</v>
      </c>
      <c r="T35" s="1352" t="s">
        <v>62</v>
      </c>
      <c r="U35" s="1353">
        <f t="shared" si="13"/>
        <v>100</v>
      </c>
      <c r="V35" s="1352" t="s">
        <v>62</v>
      </c>
      <c r="W35" s="1353">
        <f t="shared" si="14"/>
        <v>100</v>
      </c>
      <c r="X35" s="1340"/>
      <c r="Y35" s="3646"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46"/>
      <c r="Q36" s="1351" t="str">
        <f t="shared" si="11"/>
        <v>内部装修</v>
      </c>
      <c r="R36" s="1352" t="s">
        <v>62</v>
      </c>
      <c r="S36" s="1353">
        <f t="shared" si="12"/>
        <v>100</v>
      </c>
      <c r="T36" s="1352" t="s">
        <v>62</v>
      </c>
      <c r="U36" s="1353">
        <f t="shared" si="13"/>
        <v>100</v>
      </c>
      <c r="V36" s="1352" t="s">
        <v>62</v>
      </c>
      <c r="W36" s="1353">
        <f t="shared" si="14"/>
        <v>100</v>
      </c>
      <c r="X36" s="1340"/>
      <c r="Y36" s="3646"/>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46"/>
      <c r="Q37" s="1351" t="str">
        <f t="shared" si="11"/>
        <v>内部装修状况</v>
      </c>
      <c r="R37" s="1352" t="s">
        <v>62</v>
      </c>
      <c r="S37" s="1353">
        <f t="shared" si="12"/>
        <v>100</v>
      </c>
      <c r="T37" s="1352" t="s">
        <v>62</v>
      </c>
      <c r="U37" s="1353">
        <f t="shared" si="13"/>
        <v>100</v>
      </c>
      <c r="V37" s="1352" t="s">
        <v>62</v>
      </c>
      <c r="W37" s="1353">
        <f t="shared" si="14"/>
        <v>100</v>
      </c>
      <c r="X37" s="1340"/>
      <c r="Y37" s="364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46"/>
      <c r="Q38" s="1359">
        <f t="shared" si="11"/>
        <v>111</v>
      </c>
      <c r="R38" s="1360" t="s">
        <v>62</v>
      </c>
      <c r="S38" s="1361">
        <f t="shared" si="12"/>
        <v>100</v>
      </c>
      <c r="T38" s="1360" t="s">
        <v>62</v>
      </c>
      <c r="U38" s="1361">
        <f t="shared" si="13"/>
        <v>100</v>
      </c>
      <c r="V38" s="1360" t="s">
        <v>62</v>
      </c>
      <c r="W38" s="1361">
        <f t="shared" si="14"/>
        <v>100</v>
      </c>
      <c r="X38" s="1362"/>
      <c r="Y38" s="364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6"/>
      <c r="Q39" s="1351">
        <f t="shared" si="11"/>
        <v>111</v>
      </c>
      <c r="R39" s="1352" t="s">
        <v>62</v>
      </c>
      <c r="S39" s="1353">
        <f t="shared" si="12"/>
        <v>100</v>
      </c>
      <c r="T39" s="1352" t="s">
        <v>62</v>
      </c>
      <c r="U39" s="1353">
        <f t="shared" si="13"/>
        <v>100</v>
      </c>
      <c r="V39" s="1352" t="s">
        <v>62</v>
      </c>
      <c r="W39" s="1353">
        <f t="shared" si="14"/>
        <v>100</v>
      </c>
      <c r="X39" s="1340"/>
      <c r="Y39" s="364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47"/>
      <c r="Q40" s="1351">
        <f t="shared" si="11"/>
        <v>111</v>
      </c>
      <c r="R40" s="1352" t="s">
        <v>62</v>
      </c>
      <c r="S40" s="1353">
        <f t="shared" si="12"/>
        <v>100</v>
      </c>
      <c r="T40" s="1352" t="s">
        <v>62</v>
      </c>
      <c r="U40" s="1353">
        <f t="shared" si="13"/>
        <v>100</v>
      </c>
      <c r="V40" s="1352" t="s">
        <v>62</v>
      </c>
      <c r="W40" s="1353">
        <f t="shared" si="14"/>
        <v>100</v>
      </c>
      <c r="X40" s="1340"/>
      <c r="Y40" s="3647"/>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39" t="str">
        <f>A41</f>
        <v>成交单价（元/平方米）</v>
      </c>
      <c r="Q41" s="3639"/>
      <c r="R41" s="3640">
        <f>E41</f>
        <v>0</v>
      </c>
      <c r="S41" s="3640"/>
      <c r="T41" s="3640">
        <f>G41</f>
        <v>0</v>
      </c>
      <c r="U41" s="3640"/>
      <c r="V41" s="3640">
        <f>I41</f>
        <v>0</v>
      </c>
      <c r="W41" s="3640"/>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36" t="str">
        <f>A43</f>
        <v>估价对象XX用房的比较价值（楼面单价，元/平方米）</v>
      </c>
      <c r="Q43" s="3637"/>
      <c r="R43" s="3638" t="e">
        <f>IF(F1="售价",ROUND(AVERAGE(R42:V42),0),ROUND(AVERAGE(R42:V42),1))</f>
        <v>#DIV/0!</v>
      </c>
      <c r="S43" s="3638"/>
      <c r="T43" s="3638"/>
      <c r="U43" s="3638"/>
      <c r="V43" s="3638"/>
      <c r="W43" s="3638"/>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4" t="s">
        <v>447</v>
      </c>
      <c r="D4" s="3685"/>
      <c r="E4" s="3686" t="s">
        <v>448</v>
      </c>
      <c r="F4" s="3687"/>
      <c r="G4" s="3684" t="s">
        <v>449</v>
      </c>
      <c r="H4" s="3685"/>
      <c r="I4" s="3684" t="s">
        <v>450</v>
      </c>
      <c r="J4" s="3685"/>
      <c r="K4" s="953" t="s">
        <v>451</v>
      </c>
      <c r="L4" s="2348"/>
      <c r="M4" s="2349"/>
      <c r="N4" s="2349"/>
      <c r="O4" s="2349"/>
      <c r="P4" s="3688" t="s">
        <v>452</v>
      </c>
      <c r="Q4" s="3689"/>
      <c r="R4" s="3671" t="s">
        <v>448</v>
      </c>
      <c r="S4" s="3672"/>
      <c r="T4" s="3671" t="s">
        <v>449</v>
      </c>
      <c r="U4" s="3672"/>
      <c r="V4" s="3696" t="s">
        <v>450</v>
      </c>
      <c r="W4" s="3696"/>
      <c r="X4" s="2830"/>
      <c r="Y4" s="3671" t="s">
        <v>452</v>
      </c>
      <c r="Z4" s="3672"/>
      <c r="AA4" s="3666" t="s">
        <v>448</v>
      </c>
      <c r="AB4" s="3667" t="s">
        <v>449</v>
      </c>
      <c r="AC4" s="3666" t="s">
        <v>450</v>
      </c>
    </row>
    <row r="5" spans="1:29" ht="15">
      <c r="A5" s="747"/>
      <c r="B5" s="748"/>
      <c r="C5" s="3677" t="s">
        <v>3005</v>
      </c>
      <c r="D5" s="3678"/>
      <c r="E5" s="3675" t="s">
        <v>3006</v>
      </c>
      <c r="F5" s="3676"/>
      <c r="G5" s="3677" t="s">
        <v>3007</v>
      </c>
      <c r="H5" s="3678"/>
      <c r="I5" s="3677" t="s">
        <v>3008</v>
      </c>
      <c r="J5" s="3678"/>
      <c r="K5" s="953"/>
      <c r="L5" s="2348"/>
      <c r="M5" s="2349"/>
      <c r="N5" s="2349"/>
      <c r="O5" s="2349"/>
      <c r="P5" s="3690"/>
      <c r="Q5" s="3691"/>
      <c r="R5" s="3673"/>
      <c r="S5" s="3674"/>
      <c r="T5" s="3673"/>
      <c r="U5" s="3674"/>
      <c r="V5" s="3696"/>
      <c r="W5" s="3696"/>
      <c r="X5" s="2830"/>
      <c r="Y5" s="3673"/>
      <c r="Z5" s="3674"/>
      <c r="AA5" s="3667"/>
      <c r="AB5" s="3667"/>
      <c r="AC5" s="3667"/>
    </row>
    <row r="6" spans="1:29" ht="15.75" thickBot="1">
      <c r="A6" s="749"/>
      <c r="B6" s="750"/>
      <c r="C6" s="3679" t="s">
        <v>3009</v>
      </c>
      <c r="D6" s="3680"/>
      <c r="E6" s="3681" t="s">
        <v>3009</v>
      </c>
      <c r="F6" s="3682"/>
      <c r="G6" s="3679" t="s">
        <v>3009</v>
      </c>
      <c r="H6" s="3680"/>
      <c r="I6" s="3679" t="s">
        <v>3009</v>
      </c>
      <c r="J6" s="3680"/>
      <c r="K6" s="953" t="s">
        <v>394</v>
      </c>
      <c r="L6" s="2348"/>
      <c r="M6" s="2349"/>
      <c r="N6" s="2349"/>
      <c r="O6" s="2349"/>
      <c r="P6" s="3692"/>
      <c r="Q6" s="3693"/>
      <c r="R6" s="3673"/>
      <c r="S6" s="3674"/>
      <c r="T6" s="3694"/>
      <c r="U6" s="3695"/>
      <c r="V6" s="3696"/>
      <c r="W6" s="3696"/>
      <c r="X6" s="2830"/>
      <c r="Y6" s="3694"/>
      <c r="Z6" s="3695"/>
      <c r="AA6" s="3668"/>
      <c r="AB6" s="3668"/>
      <c r="AC6" s="3668"/>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69" t="s">
        <v>396</v>
      </c>
      <c r="Q7" s="3697"/>
      <c r="R7" s="1319" t="s">
        <v>62</v>
      </c>
      <c r="S7" s="1320">
        <f t="shared" ref="S7:S14" si="0">F7</f>
        <v>0</v>
      </c>
      <c r="T7" s="1319" t="s">
        <v>62</v>
      </c>
      <c r="U7" s="1320">
        <f t="shared" ref="U7:U14" si="1">H7</f>
        <v>0</v>
      </c>
      <c r="V7" s="1319" t="s">
        <v>62</v>
      </c>
      <c r="W7" s="1320">
        <f t="shared" ref="W7:W14" si="2">J7</f>
        <v>0</v>
      </c>
      <c r="X7" s="1321"/>
      <c r="Y7" s="3669" t="s">
        <v>396</v>
      </c>
      <c r="Z7" s="3670"/>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69" t="s">
        <v>432</v>
      </c>
      <c r="Q8" s="3670"/>
      <c r="R8" s="1319" t="s">
        <v>62</v>
      </c>
      <c r="S8" s="1320">
        <f t="shared" si="0"/>
        <v>0</v>
      </c>
      <c r="T8" s="1319" t="s">
        <v>62</v>
      </c>
      <c r="U8" s="1320">
        <f t="shared" si="1"/>
        <v>0</v>
      </c>
      <c r="V8" s="1319" t="s">
        <v>62</v>
      </c>
      <c r="W8" s="1320">
        <f t="shared" si="2"/>
        <v>0</v>
      </c>
      <c r="X8" s="1321"/>
      <c r="Y8" s="3669" t="s">
        <v>432</v>
      </c>
      <c r="Z8" s="3670"/>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3" t="s">
        <v>399</v>
      </c>
      <c r="Q9" s="2829" t="str">
        <f t="shared" ref="Q9:Q14" si="6">B9</f>
        <v>用途</v>
      </c>
      <c r="R9" s="1319" t="s">
        <v>62</v>
      </c>
      <c r="S9" s="1320">
        <f t="shared" si="0"/>
        <v>100</v>
      </c>
      <c r="T9" s="1319" t="s">
        <v>62</v>
      </c>
      <c r="U9" s="1320">
        <f t="shared" si="1"/>
        <v>100</v>
      </c>
      <c r="V9" s="1319" t="s">
        <v>62</v>
      </c>
      <c r="W9" s="1320">
        <f t="shared" si="2"/>
        <v>100</v>
      </c>
      <c r="X9" s="1321"/>
      <c r="Y9" s="3551"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3"/>
      <c r="Q10" s="2829" t="str">
        <f t="shared" si="6"/>
        <v>土地使用年限（年）</v>
      </c>
      <c r="R10" s="1319" t="s">
        <v>62</v>
      </c>
      <c r="S10" s="1320">
        <f t="shared" si="0"/>
        <v>100</v>
      </c>
      <c r="T10" s="1319" t="s">
        <v>62</v>
      </c>
      <c r="U10" s="1320">
        <f t="shared" si="1"/>
        <v>100</v>
      </c>
      <c r="V10" s="1319" t="s">
        <v>62</v>
      </c>
      <c r="W10" s="1320">
        <f t="shared" si="2"/>
        <v>100</v>
      </c>
      <c r="X10" s="1321"/>
      <c r="Y10" s="355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3"/>
      <c r="Q11" s="2829">
        <f t="shared" si="6"/>
        <v>111</v>
      </c>
      <c r="R11" s="1319" t="s">
        <v>62</v>
      </c>
      <c r="S11" s="1320">
        <f t="shared" si="0"/>
        <v>100</v>
      </c>
      <c r="T11" s="1319" t="s">
        <v>62</v>
      </c>
      <c r="U11" s="1320">
        <f t="shared" si="1"/>
        <v>100</v>
      </c>
      <c r="V11" s="1319" t="s">
        <v>62</v>
      </c>
      <c r="W11" s="1320">
        <f t="shared" si="2"/>
        <v>100</v>
      </c>
      <c r="X11" s="1321"/>
      <c r="Y11" s="355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3"/>
      <c r="Q12" s="2829">
        <f t="shared" si="6"/>
        <v>111</v>
      </c>
      <c r="R12" s="1319" t="s">
        <v>62</v>
      </c>
      <c r="S12" s="1320">
        <f t="shared" si="0"/>
        <v>100</v>
      </c>
      <c r="T12" s="1319" t="s">
        <v>62</v>
      </c>
      <c r="U12" s="1320">
        <f t="shared" si="1"/>
        <v>100</v>
      </c>
      <c r="V12" s="1319" t="s">
        <v>62</v>
      </c>
      <c r="W12" s="1320">
        <f t="shared" si="2"/>
        <v>100</v>
      </c>
      <c r="X12" s="1321"/>
      <c r="Y12" s="355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3"/>
      <c r="Q13" s="2829">
        <f t="shared" si="6"/>
        <v>111</v>
      </c>
      <c r="R13" s="1319" t="s">
        <v>62</v>
      </c>
      <c r="S13" s="1320">
        <f t="shared" si="0"/>
        <v>100</v>
      </c>
      <c r="T13" s="1319" t="s">
        <v>62</v>
      </c>
      <c r="U13" s="1320">
        <f t="shared" si="1"/>
        <v>100</v>
      </c>
      <c r="V13" s="1319" t="s">
        <v>62</v>
      </c>
      <c r="W13" s="1320">
        <f t="shared" si="2"/>
        <v>100</v>
      </c>
      <c r="X13" s="1321"/>
      <c r="Y13" s="3551"/>
      <c r="Z13" s="344">
        <f t="shared" si="7"/>
        <v>111</v>
      </c>
      <c r="AA13" s="1322">
        <f t="shared" si="3"/>
        <v>1</v>
      </c>
      <c r="AB13" s="1322">
        <f t="shared" si="4"/>
        <v>1</v>
      </c>
      <c r="AC13" s="1322">
        <f t="shared" si="5"/>
        <v>1</v>
      </c>
    </row>
    <row r="14" spans="1:29" ht="94.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8" t="s">
        <v>404</v>
      </c>
      <c r="Q14" s="2831" t="str">
        <f t="shared" si="6"/>
        <v>交通便捷度</v>
      </c>
      <c r="R14" s="1324" t="s">
        <v>62</v>
      </c>
      <c r="S14" s="1325">
        <f t="shared" si="0"/>
        <v>100</v>
      </c>
      <c r="T14" s="1324" t="s">
        <v>62</v>
      </c>
      <c r="U14" s="1325">
        <f t="shared" si="1"/>
        <v>100</v>
      </c>
      <c r="V14" s="1324" t="s">
        <v>62</v>
      </c>
      <c r="W14" s="1325">
        <f t="shared" si="2"/>
        <v>100</v>
      </c>
      <c r="X14" s="2830"/>
      <c r="Y14" s="3698"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9"/>
      <c r="Q15" s="2831"/>
      <c r="R15" s="1324"/>
      <c r="S15" s="1325"/>
      <c r="T15" s="1324"/>
      <c r="U15" s="1325"/>
      <c r="V15" s="1324"/>
      <c r="W15" s="1325"/>
      <c r="X15" s="2830"/>
      <c r="Y15" s="3699"/>
      <c r="Z15" s="2832"/>
      <c r="AA15" s="1327">
        <v>1</v>
      </c>
      <c r="AB15" s="1327">
        <v>1</v>
      </c>
      <c r="AC15" s="1327">
        <v>1</v>
      </c>
    </row>
    <row r="16" spans="1:29" ht="40.5">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9"/>
      <c r="Q16" s="2831" t="str">
        <f>B16</f>
        <v>公共配套设施</v>
      </c>
      <c r="R16" s="1324" t="s">
        <v>62</v>
      </c>
      <c r="S16" s="1325">
        <f>F16</f>
        <v>100</v>
      </c>
      <c r="T16" s="1324" t="s">
        <v>62</v>
      </c>
      <c r="U16" s="1325">
        <f>H16</f>
        <v>100</v>
      </c>
      <c r="V16" s="1324" t="s">
        <v>62</v>
      </c>
      <c r="W16" s="1325">
        <f>J16</f>
        <v>100</v>
      </c>
      <c r="X16" s="2830"/>
      <c r="Y16" s="3699"/>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9"/>
      <c r="Q17" s="2831"/>
      <c r="R17" s="1324"/>
      <c r="S17" s="1325"/>
      <c r="T17" s="1324"/>
      <c r="U17" s="1325"/>
      <c r="V17" s="1324"/>
      <c r="W17" s="1325"/>
      <c r="X17" s="2830"/>
      <c r="Y17" s="3699"/>
      <c r="Z17" s="2832"/>
      <c r="AA17" s="1327">
        <v>1</v>
      </c>
      <c r="AB17" s="1327">
        <v>1</v>
      </c>
      <c r="AC17" s="1327">
        <v>1</v>
      </c>
    </row>
    <row r="18" spans="1:29" ht="40.5">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9"/>
      <c r="Q18" s="2831" t="str">
        <f>B18</f>
        <v>基础设施水平</v>
      </c>
      <c r="R18" s="1324" t="s">
        <v>62</v>
      </c>
      <c r="S18" s="1325">
        <f>F18</f>
        <v>100</v>
      </c>
      <c r="T18" s="1324" t="s">
        <v>62</v>
      </c>
      <c r="U18" s="1325">
        <f>H18</f>
        <v>100</v>
      </c>
      <c r="V18" s="1324" t="s">
        <v>62</v>
      </c>
      <c r="W18" s="1325">
        <f>J18</f>
        <v>100</v>
      </c>
      <c r="X18" s="2830"/>
      <c r="Y18" s="3699"/>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9"/>
      <c r="Q19" s="2831"/>
      <c r="R19" s="1324"/>
      <c r="S19" s="1325"/>
      <c r="T19" s="1324"/>
      <c r="U19" s="1325"/>
      <c r="V19" s="1324"/>
      <c r="W19" s="1325"/>
      <c r="X19" s="2830"/>
      <c r="Y19" s="3699"/>
      <c r="Z19" s="2832"/>
      <c r="AA19" s="1327">
        <v>1</v>
      </c>
      <c r="AB19" s="1327">
        <v>1</v>
      </c>
      <c r="AC19" s="1327">
        <v>1</v>
      </c>
    </row>
    <row r="20" spans="1:29" ht="54">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9"/>
      <c r="Q20" s="2831" t="str">
        <f>B20</f>
        <v>自然及人文环境</v>
      </c>
      <c r="R20" s="1324" t="s">
        <v>62</v>
      </c>
      <c r="S20" s="1325">
        <f>F20</f>
        <v>100</v>
      </c>
      <c r="T20" s="1324" t="s">
        <v>62</v>
      </c>
      <c r="U20" s="1325">
        <f>H20</f>
        <v>100</v>
      </c>
      <c r="V20" s="1324" t="s">
        <v>62</v>
      </c>
      <c r="W20" s="1325">
        <f>J20</f>
        <v>100</v>
      </c>
      <c r="X20" s="2830"/>
      <c r="Y20" s="3699"/>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9"/>
      <c r="Q21" s="2831"/>
      <c r="R21" s="1324"/>
      <c r="S21" s="1325"/>
      <c r="T21" s="1324"/>
      <c r="U21" s="1325"/>
      <c r="V21" s="1324"/>
      <c r="W21" s="1325"/>
      <c r="X21" s="2830"/>
      <c r="Y21" s="3699"/>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9"/>
      <c r="Q22" s="2831" t="str">
        <f>B22</f>
        <v>楼层</v>
      </c>
      <c r="R22" s="1324" t="s">
        <v>62</v>
      </c>
      <c r="S22" s="1325">
        <f>F22</f>
        <v>100</v>
      </c>
      <c r="T22" s="1324" t="s">
        <v>62</v>
      </c>
      <c r="U22" s="1325">
        <f>H22</f>
        <v>100</v>
      </c>
      <c r="V22" s="1324" t="s">
        <v>62</v>
      </c>
      <c r="W22" s="1325">
        <f>J22</f>
        <v>100</v>
      </c>
      <c r="X22" s="2830"/>
      <c r="Y22" s="3699"/>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9"/>
      <c r="Q23" s="2831">
        <f>B23</f>
        <v>111</v>
      </c>
      <c r="R23" s="1324" t="s">
        <v>62</v>
      </c>
      <c r="S23" s="1325">
        <f>F23</f>
        <v>100</v>
      </c>
      <c r="T23" s="1324" t="s">
        <v>62</v>
      </c>
      <c r="U23" s="1325">
        <f>H23</f>
        <v>100</v>
      </c>
      <c r="V23" s="1324" t="s">
        <v>62</v>
      </c>
      <c r="W23" s="1325">
        <f>J23</f>
        <v>100</v>
      </c>
      <c r="X23" s="2830"/>
      <c r="Y23" s="3699"/>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9"/>
      <c r="Q24" s="2831">
        <f t="shared" ref="Q24:Q36" si="11">B24</f>
        <v>111</v>
      </c>
      <c r="R24" s="1324" t="s">
        <v>62</v>
      </c>
      <c r="S24" s="1325">
        <f>F24</f>
        <v>100</v>
      </c>
      <c r="T24" s="1324" t="s">
        <v>62</v>
      </c>
      <c r="U24" s="1325">
        <f>H24</f>
        <v>100</v>
      </c>
      <c r="V24" s="1324" t="s">
        <v>62</v>
      </c>
      <c r="W24" s="1325">
        <f>J24</f>
        <v>100</v>
      </c>
      <c r="X24" s="2830"/>
      <c r="Y24" s="3699"/>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9"/>
      <c r="Q25" s="2829">
        <f t="shared" si="11"/>
        <v>111</v>
      </c>
      <c r="R25" s="1319" t="s">
        <v>62</v>
      </c>
      <c r="S25" s="1320">
        <f>F25</f>
        <v>100</v>
      </c>
      <c r="T25" s="1319" t="s">
        <v>62</v>
      </c>
      <c r="U25" s="1320">
        <f>H25</f>
        <v>100</v>
      </c>
      <c r="V25" s="1319" t="s">
        <v>62</v>
      </c>
      <c r="W25" s="1320">
        <f>J25</f>
        <v>100</v>
      </c>
      <c r="X25" s="1321"/>
      <c r="Y25" s="3699"/>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0"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701"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1"/>
      <c r="Q27" s="1328" t="str">
        <f t="shared" si="11"/>
        <v>项目停车位配比</v>
      </c>
      <c r="R27" s="1329" t="s">
        <v>62</v>
      </c>
      <c r="S27" s="1330">
        <f t="shared" si="12"/>
        <v>100</v>
      </c>
      <c r="T27" s="1329" t="s">
        <v>62</v>
      </c>
      <c r="U27" s="1330">
        <f t="shared" si="13"/>
        <v>100</v>
      </c>
      <c r="V27" s="1329" t="s">
        <v>62</v>
      </c>
      <c r="W27" s="1330">
        <f t="shared" si="14"/>
        <v>100</v>
      </c>
      <c r="X27" s="1331"/>
      <c r="Y27" s="3701"/>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1"/>
      <c r="Q28" s="2831" t="str">
        <f t="shared" si="11"/>
        <v>公共部分装修</v>
      </c>
      <c r="R28" s="1324" t="s">
        <v>62</v>
      </c>
      <c r="S28" s="1325">
        <f t="shared" si="12"/>
        <v>100</v>
      </c>
      <c r="T28" s="1324" t="s">
        <v>62</v>
      </c>
      <c r="U28" s="1325">
        <f t="shared" si="13"/>
        <v>100</v>
      </c>
      <c r="V28" s="1324" t="s">
        <v>62</v>
      </c>
      <c r="W28" s="1325">
        <f t="shared" si="14"/>
        <v>100</v>
      </c>
      <c r="X28" s="2830"/>
      <c r="Y28" s="3701"/>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1"/>
      <c r="Q29" s="2831" t="str">
        <f t="shared" si="11"/>
        <v>成新率</v>
      </c>
      <c r="R29" s="1324" t="s">
        <v>62</v>
      </c>
      <c r="S29" s="1325" t="e">
        <f t="shared" si="12"/>
        <v>#N/A</v>
      </c>
      <c r="T29" s="1324" t="s">
        <v>62</v>
      </c>
      <c r="U29" s="1325" t="e">
        <f t="shared" si="13"/>
        <v>#N/A</v>
      </c>
      <c r="V29" s="1324" t="s">
        <v>62</v>
      </c>
      <c r="W29" s="1325" t="e">
        <f t="shared" si="14"/>
        <v>#N/A</v>
      </c>
      <c r="X29" s="2830"/>
      <c r="Y29" s="3701"/>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1"/>
      <c r="Q30" s="2831" t="str">
        <f t="shared" si="11"/>
        <v>物业等级</v>
      </c>
      <c r="R30" s="1324" t="s">
        <v>62</v>
      </c>
      <c r="S30" s="1325">
        <f t="shared" si="12"/>
        <v>100</v>
      </c>
      <c r="T30" s="1324" t="s">
        <v>62</v>
      </c>
      <c r="U30" s="1325">
        <f t="shared" si="13"/>
        <v>100</v>
      </c>
      <c r="V30" s="1324" t="s">
        <v>62</v>
      </c>
      <c r="W30" s="1325">
        <f t="shared" si="14"/>
        <v>100</v>
      </c>
      <c r="X30" s="2830"/>
      <c r="Y30" s="3701"/>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1"/>
      <c r="Q31" s="2829" t="str">
        <f t="shared" si="11"/>
        <v>停车位面积</v>
      </c>
      <c r="R31" s="1319" t="s">
        <v>62</v>
      </c>
      <c r="S31" s="1320" t="e">
        <f t="shared" si="12"/>
        <v>#N/A</v>
      </c>
      <c r="T31" s="1319" t="s">
        <v>62</v>
      </c>
      <c r="U31" s="1320" t="e">
        <f t="shared" si="13"/>
        <v>#N/A</v>
      </c>
      <c r="V31" s="1319" t="s">
        <v>62</v>
      </c>
      <c r="W31" s="1320" t="e">
        <f t="shared" si="14"/>
        <v>#N/A</v>
      </c>
      <c r="X31" s="1321"/>
      <c r="Y31" s="3701"/>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1" t="s">
        <v>406</v>
      </c>
      <c r="Q32" s="2831" t="str">
        <f t="shared" si="11"/>
        <v>车位类型</v>
      </c>
      <c r="R32" s="1324" t="s">
        <v>62</v>
      </c>
      <c r="S32" s="1325">
        <f t="shared" si="12"/>
        <v>100</v>
      </c>
      <c r="T32" s="1324" t="s">
        <v>62</v>
      </c>
      <c r="U32" s="1325">
        <f t="shared" si="13"/>
        <v>100</v>
      </c>
      <c r="V32" s="1324" t="s">
        <v>62</v>
      </c>
      <c r="W32" s="1325">
        <f t="shared" si="14"/>
        <v>100</v>
      </c>
      <c r="X32" s="2830"/>
      <c r="Y32" s="3701"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1"/>
      <c r="Q33" s="2831" t="str">
        <f t="shared" si="11"/>
        <v>是否直接入户</v>
      </c>
      <c r="R33" s="1324" t="s">
        <v>62</v>
      </c>
      <c r="S33" s="1325">
        <f t="shared" si="12"/>
        <v>100</v>
      </c>
      <c r="T33" s="1324" t="s">
        <v>62</v>
      </c>
      <c r="U33" s="1325">
        <f t="shared" si="13"/>
        <v>100</v>
      </c>
      <c r="V33" s="1324" t="s">
        <v>62</v>
      </c>
      <c r="W33" s="1325">
        <f t="shared" si="14"/>
        <v>100</v>
      </c>
      <c r="X33" s="2830"/>
      <c r="Y33" s="3701"/>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1"/>
      <c r="Q34" s="2831">
        <f t="shared" si="11"/>
        <v>111</v>
      </c>
      <c r="R34" s="1324" t="s">
        <v>62</v>
      </c>
      <c r="S34" s="1325">
        <f t="shared" si="12"/>
        <v>100</v>
      </c>
      <c r="T34" s="1324" t="s">
        <v>62</v>
      </c>
      <c r="U34" s="1325">
        <f t="shared" si="13"/>
        <v>100</v>
      </c>
      <c r="V34" s="1324" t="s">
        <v>62</v>
      </c>
      <c r="W34" s="1325">
        <f t="shared" si="14"/>
        <v>100</v>
      </c>
      <c r="X34" s="2830"/>
      <c r="Y34" s="3701"/>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1"/>
      <c r="Q35" s="1328">
        <f t="shared" si="11"/>
        <v>111</v>
      </c>
      <c r="R35" s="1329" t="s">
        <v>62</v>
      </c>
      <c r="S35" s="1330">
        <f t="shared" si="12"/>
        <v>100</v>
      </c>
      <c r="T35" s="1329" t="s">
        <v>62</v>
      </c>
      <c r="U35" s="1330">
        <f t="shared" si="13"/>
        <v>100</v>
      </c>
      <c r="V35" s="1329" t="s">
        <v>62</v>
      </c>
      <c r="W35" s="1330">
        <f t="shared" si="14"/>
        <v>100</v>
      </c>
      <c r="X35" s="1331"/>
      <c r="Y35" s="370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1"/>
      <c r="Q36" s="2831">
        <f t="shared" si="11"/>
        <v>111</v>
      </c>
      <c r="R36" s="1324" t="s">
        <v>62</v>
      </c>
      <c r="S36" s="1325">
        <f t="shared" si="12"/>
        <v>100</v>
      </c>
      <c r="T36" s="1324" t="s">
        <v>62</v>
      </c>
      <c r="U36" s="1325">
        <f t="shared" si="13"/>
        <v>100</v>
      </c>
      <c r="V36" s="1324" t="s">
        <v>62</v>
      </c>
      <c r="W36" s="1325">
        <f t="shared" si="14"/>
        <v>100</v>
      </c>
      <c r="X36" s="2830"/>
      <c r="Y36" s="3701"/>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83" t="str">
        <f>A37</f>
        <v>成交单价</v>
      </c>
      <c r="Q37" s="3683"/>
      <c r="R37" s="3702">
        <f>E37</f>
        <v>0</v>
      </c>
      <c r="S37" s="3702"/>
      <c r="T37" s="3702">
        <f>G37</f>
        <v>0</v>
      </c>
      <c r="U37" s="3702"/>
      <c r="V37" s="3702">
        <f>I37</f>
        <v>0</v>
      </c>
      <c r="W37" s="3702"/>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3" t="str">
        <f>A38</f>
        <v>比较价值（元/平方米）</v>
      </c>
      <c r="Q38" s="3683"/>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703" t="str">
        <f>A39</f>
        <v>估价对象XX用房的比较价值（楼面单价，元/平方米）</v>
      </c>
      <c r="Q39" s="3704"/>
      <c r="R39" s="3705" t="e">
        <f>IF(F1="售价",ROUND(AVERAGE(R38:V38),0),ROUND(AVERAGE(R38:V38),1))</f>
        <v>#DIV/0!</v>
      </c>
      <c r="S39" s="3705"/>
      <c r="T39" s="3705"/>
      <c r="U39" s="3705"/>
      <c r="V39" s="3705"/>
      <c r="W39" s="370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4" t="s">
        <v>447</v>
      </c>
      <c r="D4" s="3685"/>
      <c r="E4" s="3686" t="s">
        <v>448</v>
      </c>
      <c r="F4" s="3687"/>
      <c r="G4" s="3684" t="s">
        <v>449</v>
      </c>
      <c r="H4" s="3685"/>
      <c r="I4" s="3684" t="s">
        <v>450</v>
      </c>
      <c r="J4" s="3685"/>
      <c r="K4" s="953" t="s">
        <v>451</v>
      </c>
      <c r="L4" s="2348"/>
      <c r="M4" s="2349"/>
      <c r="N4" s="2349"/>
      <c r="O4" s="2349"/>
      <c r="P4" s="3688" t="s">
        <v>452</v>
      </c>
      <c r="Q4" s="3689"/>
      <c r="R4" s="3671" t="s">
        <v>448</v>
      </c>
      <c r="S4" s="3672"/>
      <c r="T4" s="3671" t="s">
        <v>449</v>
      </c>
      <c r="U4" s="3672"/>
      <c r="V4" s="3696" t="s">
        <v>450</v>
      </c>
      <c r="W4" s="3696"/>
      <c r="X4" s="1318"/>
      <c r="Y4" s="3671" t="s">
        <v>452</v>
      </c>
      <c r="Z4" s="3672"/>
      <c r="AA4" s="3666" t="s">
        <v>448</v>
      </c>
      <c r="AB4" s="3667" t="s">
        <v>449</v>
      </c>
      <c r="AC4" s="3666" t="s">
        <v>450</v>
      </c>
    </row>
    <row r="5" spans="1:29" ht="15">
      <c r="A5" s="747"/>
      <c r="B5" s="748"/>
      <c r="C5" s="3615" t="s">
        <v>1124</v>
      </c>
      <c r="D5" s="3616"/>
      <c r="E5" s="3613" t="s">
        <v>1125</v>
      </c>
      <c r="F5" s="3614"/>
      <c r="G5" s="3615" t="s">
        <v>59</v>
      </c>
      <c r="H5" s="3616"/>
      <c r="I5" s="3615" t="s">
        <v>1126</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617" t="s">
        <v>1127</v>
      </c>
      <c r="D6" s="3618"/>
      <c r="E6" s="3619" t="s">
        <v>1127</v>
      </c>
      <c r="F6" s="3620"/>
      <c r="G6" s="3617" t="s">
        <v>1127</v>
      </c>
      <c r="H6" s="3618"/>
      <c r="I6" s="3617" t="s">
        <v>1127</v>
      </c>
      <c r="J6" s="3618"/>
      <c r="K6" s="953" t="s">
        <v>394</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69" t="s">
        <v>396</v>
      </c>
      <c r="Q7" s="3697"/>
      <c r="R7" s="1319" t="s">
        <v>62</v>
      </c>
      <c r="S7" s="1320">
        <f t="shared" ref="S7:S14" si="0">F7</f>
        <v>0</v>
      </c>
      <c r="T7" s="1319" t="s">
        <v>62</v>
      </c>
      <c r="U7" s="1320">
        <f t="shared" ref="U7:U14" si="1">H7</f>
        <v>0</v>
      </c>
      <c r="V7" s="1319" t="s">
        <v>62</v>
      </c>
      <c r="W7" s="1320">
        <f t="shared" ref="W7:W14" si="2">J7</f>
        <v>0</v>
      </c>
      <c r="X7" s="1321"/>
      <c r="Y7" s="3669" t="s">
        <v>396</v>
      </c>
      <c r="Z7" s="3670"/>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69" t="s">
        <v>432</v>
      </c>
      <c r="Q8" s="3670"/>
      <c r="R8" s="1319" t="s">
        <v>62</v>
      </c>
      <c r="S8" s="1320">
        <f t="shared" si="0"/>
        <v>0</v>
      </c>
      <c r="T8" s="1319" t="s">
        <v>62</v>
      </c>
      <c r="U8" s="1320">
        <f t="shared" si="1"/>
        <v>0</v>
      </c>
      <c r="V8" s="1319" t="s">
        <v>62</v>
      </c>
      <c r="W8" s="1320">
        <f t="shared" si="2"/>
        <v>0</v>
      </c>
      <c r="X8" s="1321"/>
      <c r="Y8" s="3669" t="s">
        <v>432</v>
      </c>
      <c r="Z8" s="3670"/>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3" t="s">
        <v>399</v>
      </c>
      <c r="Q9" s="296" t="str">
        <f t="shared" ref="Q9:Q14" si="6">B9</f>
        <v>用途</v>
      </c>
      <c r="R9" s="1319" t="s">
        <v>62</v>
      </c>
      <c r="S9" s="1320">
        <f t="shared" si="0"/>
        <v>100</v>
      </c>
      <c r="T9" s="1319" t="s">
        <v>62</v>
      </c>
      <c r="U9" s="1320">
        <f t="shared" si="1"/>
        <v>100</v>
      </c>
      <c r="V9" s="1319" t="s">
        <v>62</v>
      </c>
      <c r="W9" s="1320">
        <f t="shared" si="2"/>
        <v>100</v>
      </c>
      <c r="X9" s="1321"/>
      <c r="Y9" s="3551"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3"/>
      <c r="Q10" s="296" t="str">
        <f t="shared" si="6"/>
        <v>土地使用年限（年）</v>
      </c>
      <c r="R10" s="1319" t="s">
        <v>62</v>
      </c>
      <c r="S10" s="1320">
        <f t="shared" si="0"/>
        <v>100</v>
      </c>
      <c r="T10" s="1319" t="s">
        <v>62</v>
      </c>
      <c r="U10" s="1320">
        <f t="shared" si="1"/>
        <v>100</v>
      </c>
      <c r="V10" s="1319" t="s">
        <v>62</v>
      </c>
      <c r="W10" s="1320">
        <f t="shared" si="2"/>
        <v>100</v>
      </c>
      <c r="X10" s="1321"/>
      <c r="Y10" s="355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3"/>
      <c r="Q11" s="296">
        <f t="shared" si="6"/>
        <v>111</v>
      </c>
      <c r="R11" s="1319" t="s">
        <v>62</v>
      </c>
      <c r="S11" s="1320">
        <f t="shared" si="0"/>
        <v>100</v>
      </c>
      <c r="T11" s="1319" t="s">
        <v>62</v>
      </c>
      <c r="U11" s="1320">
        <f t="shared" si="1"/>
        <v>100</v>
      </c>
      <c r="V11" s="1319" t="s">
        <v>62</v>
      </c>
      <c r="W11" s="1320">
        <f t="shared" si="2"/>
        <v>100</v>
      </c>
      <c r="X11" s="1321"/>
      <c r="Y11" s="355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3"/>
      <c r="Q12" s="296">
        <f t="shared" si="6"/>
        <v>111</v>
      </c>
      <c r="R12" s="1319" t="s">
        <v>62</v>
      </c>
      <c r="S12" s="1320">
        <f t="shared" si="0"/>
        <v>100</v>
      </c>
      <c r="T12" s="1319" t="s">
        <v>62</v>
      </c>
      <c r="U12" s="1320">
        <f t="shared" si="1"/>
        <v>100</v>
      </c>
      <c r="V12" s="1319" t="s">
        <v>62</v>
      </c>
      <c r="W12" s="1320">
        <f t="shared" si="2"/>
        <v>100</v>
      </c>
      <c r="X12" s="1321"/>
      <c r="Y12" s="355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3"/>
      <c r="Q13" s="296">
        <f t="shared" si="6"/>
        <v>111</v>
      </c>
      <c r="R13" s="1319" t="s">
        <v>62</v>
      </c>
      <c r="S13" s="1320">
        <f t="shared" si="0"/>
        <v>100</v>
      </c>
      <c r="T13" s="1319" t="s">
        <v>62</v>
      </c>
      <c r="U13" s="1320">
        <f t="shared" si="1"/>
        <v>100</v>
      </c>
      <c r="V13" s="1319" t="s">
        <v>62</v>
      </c>
      <c r="W13" s="1320">
        <f t="shared" si="2"/>
        <v>100</v>
      </c>
      <c r="X13" s="1321"/>
      <c r="Y13" s="3551"/>
      <c r="Z13" s="344">
        <f t="shared" si="7"/>
        <v>111</v>
      </c>
      <c r="AA13" s="1322">
        <f t="shared" si="3"/>
        <v>1</v>
      </c>
      <c r="AB13" s="1322">
        <f t="shared" si="4"/>
        <v>1</v>
      </c>
      <c r="AC13" s="1322">
        <f t="shared" si="5"/>
        <v>1</v>
      </c>
    </row>
    <row r="14" spans="1:29" ht="94.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8" t="s">
        <v>404</v>
      </c>
      <c r="Q14" s="1323" t="str">
        <f t="shared" si="6"/>
        <v>交通便捷度</v>
      </c>
      <c r="R14" s="1324" t="s">
        <v>62</v>
      </c>
      <c r="S14" s="1325">
        <f t="shared" si="0"/>
        <v>100</v>
      </c>
      <c r="T14" s="1324" t="s">
        <v>62</v>
      </c>
      <c r="U14" s="1325">
        <f t="shared" si="1"/>
        <v>100</v>
      </c>
      <c r="V14" s="1324" t="s">
        <v>62</v>
      </c>
      <c r="W14" s="1325">
        <f t="shared" si="2"/>
        <v>100</v>
      </c>
      <c r="X14" s="1318"/>
      <c r="Y14" s="3698"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9"/>
      <c r="Q15" s="1323"/>
      <c r="R15" s="1324"/>
      <c r="S15" s="1325"/>
      <c r="T15" s="1324"/>
      <c r="U15" s="1325"/>
      <c r="V15" s="1324"/>
      <c r="W15" s="1325"/>
      <c r="X15" s="1318"/>
      <c r="Y15" s="3699"/>
      <c r="Z15" s="1326"/>
      <c r="AA15" s="1327">
        <v>1</v>
      </c>
      <c r="AB15" s="1327">
        <v>1</v>
      </c>
      <c r="AC15" s="1327">
        <v>1</v>
      </c>
    </row>
    <row r="16" spans="1:29" ht="40.5">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9"/>
      <c r="Q16" s="1323" t="str">
        <f>B16</f>
        <v>公共配套设施</v>
      </c>
      <c r="R16" s="1324" t="s">
        <v>62</v>
      </c>
      <c r="S16" s="1325">
        <f>F16</f>
        <v>100</v>
      </c>
      <c r="T16" s="1324" t="s">
        <v>62</v>
      </c>
      <c r="U16" s="1325">
        <f>H16</f>
        <v>100</v>
      </c>
      <c r="V16" s="1324" t="s">
        <v>62</v>
      </c>
      <c r="W16" s="1325">
        <f>J16</f>
        <v>100</v>
      </c>
      <c r="X16" s="1318"/>
      <c r="Y16" s="369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9"/>
      <c r="Q17" s="1323"/>
      <c r="R17" s="1324"/>
      <c r="S17" s="1325"/>
      <c r="T17" s="1324"/>
      <c r="U17" s="1325"/>
      <c r="V17" s="1324"/>
      <c r="W17" s="1325"/>
      <c r="X17" s="1318"/>
      <c r="Y17" s="3699"/>
      <c r="Z17" s="1326"/>
      <c r="AA17" s="1327">
        <v>1</v>
      </c>
      <c r="AB17" s="1327">
        <v>1</v>
      </c>
      <c r="AC17" s="1327">
        <v>1</v>
      </c>
    </row>
    <row r="18" spans="1:29" ht="40.5">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9"/>
      <c r="Q18" s="2749" t="str">
        <f>B18</f>
        <v>基础设施水平</v>
      </c>
      <c r="R18" s="1324" t="s">
        <v>62</v>
      </c>
      <c r="S18" s="1325">
        <f>F18</f>
        <v>100</v>
      </c>
      <c r="T18" s="1324" t="s">
        <v>62</v>
      </c>
      <c r="U18" s="1325">
        <f>H18</f>
        <v>100</v>
      </c>
      <c r="V18" s="1324" t="s">
        <v>62</v>
      </c>
      <c r="W18" s="1325">
        <f>J18</f>
        <v>100</v>
      </c>
      <c r="X18" s="2751"/>
      <c r="Y18" s="3699"/>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9"/>
      <c r="Q19" s="2749"/>
      <c r="R19" s="1324"/>
      <c r="S19" s="1325"/>
      <c r="T19" s="1324"/>
      <c r="U19" s="1325"/>
      <c r="V19" s="1324"/>
      <c r="W19" s="1325"/>
      <c r="X19" s="2751"/>
      <c r="Y19" s="3699"/>
      <c r="Z19" s="2750"/>
      <c r="AA19" s="1327">
        <v>1</v>
      </c>
      <c r="AB19" s="1327">
        <v>1</v>
      </c>
      <c r="AC19" s="1327">
        <v>1</v>
      </c>
    </row>
    <row r="20" spans="1:29" ht="54">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9"/>
      <c r="Q20" s="1323" t="str">
        <f>B20</f>
        <v>自然及人文环境</v>
      </c>
      <c r="R20" s="1324" t="s">
        <v>62</v>
      </c>
      <c r="S20" s="1325">
        <f>F20</f>
        <v>100</v>
      </c>
      <c r="T20" s="1324" t="s">
        <v>62</v>
      </c>
      <c r="U20" s="1325">
        <f>H20</f>
        <v>100</v>
      </c>
      <c r="V20" s="1324" t="s">
        <v>62</v>
      </c>
      <c r="W20" s="1325">
        <f>J20</f>
        <v>100</v>
      </c>
      <c r="X20" s="1318"/>
      <c r="Y20" s="369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9"/>
      <c r="Q21" s="1323"/>
      <c r="R21" s="1324"/>
      <c r="S21" s="1325"/>
      <c r="T21" s="1324"/>
      <c r="U21" s="1325"/>
      <c r="V21" s="1324"/>
      <c r="W21" s="1325"/>
      <c r="X21" s="1318"/>
      <c r="Y21" s="3699"/>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9"/>
      <c r="Q22" s="1323" t="str">
        <f>B22</f>
        <v>楼层</v>
      </c>
      <c r="R22" s="1324" t="s">
        <v>62</v>
      </c>
      <c r="S22" s="1325">
        <f>F22</f>
        <v>100</v>
      </c>
      <c r="T22" s="1324" t="s">
        <v>62</v>
      </c>
      <c r="U22" s="1325">
        <f>H22</f>
        <v>100</v>
      </c>
      <c r="V22" s="1324" t="s">
        <v>62</v>
      </c>
      <c r="W22" s="1325">
        <f>J22</f>
        <v>100</v>
      </c>
      <c r="X22" s="1318"/>
      <c r="Y22" s="369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9"/>
      <c r="Q23" s="1323">
        <f>B23</f>
        <v>111</v>
      </c>
      <c r="R23" s="1324" t="s">
        <v>62</v>
      </c>
      <c r="S23" s="1325">
        <f>F23</f>
        <v>100</v>
      </c>
      <c r="T23" s="1324" t="s">
        <v>62</v>
      </c>
      <c r="U23" s="1325">
        <f>H23</f>
        <v>100</v>
      </c>
      <c r="V23" s="1324" t="s">
        <v>62</v>
      </c>
      <c r="W23" s="1325">
        <f>J23</f>
        <v>100</v>
      </c>
      <c r="X23" s="1318"/>
      <c r="Y23" s="369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9"/>
      <c r="Q24" s="1323">
        <f t="shared" ref="Q24:Q34" si="11">B24</f>
        <v>111</v>
      </c>
      <c r="R24" s="1324" t="s">
        <v>62</v>
      </c>
      <c r="S24" s="1325">
        <f>F24</f>
        <v>100</v>
      </c>
      <c r="T24" s="1324" t="s">
        <v>62</v>
      </c>
      <c r="U24" s="1325">
        <f>H24</f>
        <v>100</v>
      </c>
      <c r="V24" s="1324" t="s">
        <v>62</v>
      </c>
      <c r="W24" s="1325">
        <f>J24</f>
        <v>100</v>
      </c>
      <c r="X24" s="1318"/>
      <c r="Y24" s="369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9"/>
      <c r="Q25" s="296">
        <f t="shared" si="11"/>
        <v>111</v>
      </c>
      <c r="R25" s="1319" t="s">
        <v>62</v>
      </c>
      <c r="S25" s="1320">
        <f>F25</f>
        <v>100</v>
      </c>
      <c r="T25" s="1319" t="s">
        <v>62</v>
      </c>
      <c r="U25" s="1320">
        <f>H25</f>
        <v>100</v>
      </c>
      <c r="V25" s="1319" t="s">
        <v>62</v>
      </c>
      <c r="W25" s="1320">
        <f>J25</f>
        <v>100</v>
      </c>
      <c r="X25" s="1321"/>
      <c r="Y25" s="3699"/>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0"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701"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1"/>
      <c r="Q27" s="1328" t="str">
        <f t="shared" si="11"/>
        <v>成新率</v>
      </c>
      <c r="R27" s="1329" t="s">
        <v>62</v>
      </c>
      <c r="S27" s="1330" t="e">
        <f t="shared" si="12"/>
        <v>#N/A</v>
      </c>
      <c r="T27" s="1329" t="s">
        <v>62</v>
      </c>
      <c r="U27" s="1330" t="e">
        <f t="shared" si="13"/>
        <v>#N/A</v>
      </c>
      <c r="V27" s="1329" t="s">
        <v>62</v>
      </c>
      <c r="W27" s="1330" t="e">
        <f t="shared" si="14"/>
        <v>#N/A</v>
      </c>
      <c r="X27" s="1331"/>
      <c r="Y27" s="3701"/>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1"/>
      <c r="Q28" s="1323" t="str">
        <f t="shared" si="11"/>
        <v>物业等级</v>
      </c>
      <c r="R28" s="1324" t="s">
        <v>62</v>
      </c>
      <c r="S28" s="1325">
        <f t="shared" si="12"/>
        <v>100</v>
      </c>
      <c r="T28" s="1324" t="s">
        <v>62</v>
      </c>
      <c r="U28" s="1325">
        <f t="shared" si="13"/>
        <v>100</v>
      </c>
      <c r="V28" s="1324" t="s">
        <v>62</v>
      </c>
      <c r="W28" s="1325">
        <f t="shared" si="14"/>
        <v>100</v>
      </c>
      <c r="X28" s="1318"/>
      <c r="Y28" s="3701"/>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1"/>
      <c r="Q29" s="1323" t="str">
        <f t="shared" si="11"/>
        <v>有无电梯</v>
      </c>
      <c r="R29" s="1324" t="s">
        <v>62</v>
      </c>
      <c r="S29" s="1325">
        <f t="shared" si="12"/>
        <v>100</v>
      </c>
      <c r="T29" s="1324" t="s">
        <v>62</v>
      </c>
      <c r="U29" s="1325">
        <f t="shared" si="13"/>
        <v>100</v>
      </c>
      <c r="V29" s="1324" t="s">
        <v>62</v>
      </c>
      <c r="W29" s="1325">
        <f t="shared" si="14"/>
        <v>100</v>
      </c>
      <c r="X29" s="1318"/>
      <c r="Y29" s="3701"/>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1"/>
      <c r="Q30" s="1323" t="str">
        <f t="shared" si="11"/>
        <v>建筑面积</v>
      </c>
      <c r="R30" s="1324" t="s">
        <v>62</v>
      </c>
      <c r="S30" s="1325" t="e">
        <f t="shared" si="12"/>
        <v>#N/A</v>
      </c>
      <c r="T30" s="1324" t="s">
        <v>62</v>
      </c>
      <c r="U30" s="1325" t="e">
        <f t="shared" si="13"/>
        <v>#N/A</v>
      </c>
      <c r="V30" s="1324" t="s">
        <v>62</v>
      </c>
      <c r="W30" s="1325" t="e">
        <f t="shared" si="14"/>
        <v>#N/A</v>
      </c>
      <c r="X30" s="1318"/>
      <c r="Y30" s="3701"/>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1"/>
      <c r="Q31" s="296" t="str">
        <f t="shared" si="11"/>
        <v>是否封闭</v>
      </c>
      <c r="R31" s="1319" t="s">
        <v>62</v>
      </c>
      <c r="S31" s="1320">
        <f t="shared" si="12"/>
        <v>100</v>
      </c>
      <c r="T31" s="1319" t="s">
        <v>62</v>
      </c>
      <c r="U31" s="1320">
        <f t="shared" si="13"/>
        <v>100</v>
      </c>
      <c r="V31" s="1319" t="s">
        <v>62</v>
      </c>
      <c r="W31" s="1320">
        <f t="shared" si="14"/>
        <v>100</v>
      </c>
      <c r="X31" s="1321"/>
      <c r="Y31" s="370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1" t="s">
        <v>406</v>
      </c>
      <c r="Q32" s="1323">
        <f t="shared" si="11"/>
        <v>111</v>
      </c>
      <c r="R32" s="1324" t="s">
        <v>62</v>
      </c>
      <c r="S32" s="1325">
        <f t="shared" si="12"/>
        <v>100</v>
      </c>
      <c r="T32" s="1324" t="s">
        <v>62</v>
      </c>
      <c r="U32" s="1325">
        <f t="shared" si="13"/>
        <v>100</v>
      </c>
      <c r="V32" s="1324" t="s">
        <v>62</v>
      </c>
      <c r="W32" s="1325">
        <f t="shared" si="14"/>
        <v>100</v>
      </c>
      <c r="X32" s="1318"/>
      <c r="Y32" s="3701"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1"/>
      <c r="Q33" s="1323">
        <f t="shared" si="11"/>
        <v>111</v>
      </c>
      <c r="R33" s="1324" t="s">
        <v>62</v>
      </c>
      <c r="S33" s="1325">
        <f t="shared" si="12"/>
        <v>100</v>
      </c>
      <c r="T33" s="1324" t="s">
        <v>62</v>
      </c>
      <c r="U33" s="1325">
        <f t="shared" si="13"/>
        <v>100</v>
      </c>
      <c r="V33" s="1324" t="s">
        <v>62</v>
      </c>
      <c r="W33" s="1325">
        <f t="shared" si="14"/>
        <v>100</v>
      </c>
      <c r="X33" s="1318"/>
      <c r="Y33" s="370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1"/>
      <c r="Q34" s="1323">
        <f t="shared" si="11"/>
        <v>111</v>
      </c>
      <c r="R34" s="1324" t="s">
        <v>62</v>
      </c>
      <c r="S34" s="1325">
        <f t="shared" si="12"/>
        <v>100</v>
      </c>
      <c r="T34" s="1324" t="s">
        <v>62</v>
      </c>
      <c r="U34" s="1325">
        <f t="shared" si="13"/>
        <v>100</v>
      </c>
      <c r="V34" s="1324" t="s">
        <v>62</v>
      </c>
      <c r="W34" s="1325">
        <f t="shared" si="14"/>
        <v>100</v>
      </c>
      <c r="X34" s="1318"/>
      <c r="Y34" s="3701"/>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83" t="str">
        <f>A35</f>
        <v>成交单价（元/平方米）</v>
      </c>
      <c r="Q35" s="3683"/>
      <c r="R35" s="3702">
        <f>E35</f>
        <v>0</v>
      </c>
      <c r="S35" s="3702"/>
      <c r="T35" s="3702">
        <f>G35</f>
        <v>0</v>
      </c>
      <c r="U35" s="3702"/>
      <c r="V35" s="3702">
        <f>I35</f>
        <v>0</v>
      </c>
      <c r="W35" s="3702"/>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83" t="str">
        <f>A36</f>
        <v>比较价值（元/平方米）</v>
      </c>
      <c r="Q36" s="3683"/>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703" t="str">
        <f>A37</f>
        <v>估价对象XX用房的比较价值（楼面单价，元/平方米）</v>
      </c>
      <c r="Q37" s="3704"/>
      <c r="R37" s="3705" t="e">
        <f>IF(F1="售价",ROUND(AVERAGE(R36:V36),0),ROUND(AVERAGE(R36:V36),1))</f>
        <v>#DIV/0!</v>
      </c>
      <c r="S37" s="3705"/>
      <c r="T37" s="3705"/>
      <c r="U37" s="3705"/>
      <c r="V37" s="3705"/>
      <c r="W37" s="370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4" t="s">
        <v>388</v>
      </c>
      <c r="D4" s="3685"/>
      <c r="E4" s="3686" t="s">
        <v>389</v>
      </c>
      <c r="F4" s="3687"/>
      <c r="G4" s="3684" t="s">
        <v>390</v>
      </c>
      <c r="H4" s="3685"/>
      <c r="I4" s="3684" t="s">
        <v>391</v>
      </c>
      <c r="J4" s="3685"/>
      <c r="K4" s="953" t="s">
        <v>392</v>
      </c>
      <c r="L4" s="2348"/>
      <c r="M4" s="2349"/>
      <c r="N4" s="2349"/>
      <c r="O4" s="2349"/>
      <c r="P4" s="3688" t="s">
        <v>393</v>
      </c>
      <c r="Q4" s="3689"/>
      <c r="R4" s="3671" t="s">
        <v>389</v>
      </c>
      <c r="S4" s="3672"/>
      <c r="T4" s="3671" t="s">
        <v>390</v>
      </c>
      <c r="U4" s="3672"/>
      <c r="V4" s="3696" t="s">
        <v>391</v>
      </c>
      <c r="W4" s="3696"/>
      <c r="X4" s="1318"/>
      <c r="Y4" s="3671" t="s">
        <v>393</v>
      </c>
      <c r="Z4" s="3672"/>
      <c r="AA4" s="3666" t="s">
        <v>389</v>
      </c>
      <c r="AB4" s="3667" t="s">
        <v>390</v>
      </c>
      <c r="AC4" s="3666" t="s">
        <v>391</v>
      </c>
    </row>
    <row r="5" spans="1:30" ht="15">
      <c r="A5" s="747"/>
      <c r="B5" s="748"/>
      <c r="C5" s="3615" t="s">
        <v>1124</v>
      </c>
      <c r="D5" s="3616"/>
      <c r="E5" s="3613" t="s">
        <v>1125</v>
      </c>
      <c r="F5" s="3614"/>
      <c r="G5" s="3615" t="s">
        <v>1128</v>
      </c>
      <c r="H5" s="3616"/>
      <c r="I5" s="3615" t="s">
        <v>1126</v>
      </c>
      <c r="J5" s="3616"/>
      <c r="K5" s="953"/>
      <c r="L5" s="2348"/>
      <c r="M5" s="2349"/>
      <c r="N5" s="2349"/>
      <c r="O5" s="2349"/>
      <c r="P5" s="3690"/>
      <c r="Q5" s="3691"/>
      <c r="R5" s="3673"/>
      <c r="S5" s="3674"/>
      <c r="T5" s="3673"/>
      <c r="U5" s="3674"/>
      <c r="V5" s="3696"/>
      <c r="W5" s="3696"/>
      <c r="X5" s="1318"/>
      <c r="Y5" s="3673"/>
      <c r="Z5" s="3674"/>
      <c r="AA5" s="3667"/>
      <c r="AB5" s="3667"/>
      <c r="AC5" s="3667"/>
    </row>
    <row r="6" spans="1:30" ht="15.75" thickBot="1">
      <c r="A6" s="749"/>
      <c r="B6" s="750"/>
      <c r="C6" s="3617" t="s">
        <v>1127</v>
      </c>
      <c r="D6" s="3618"/>
      <c r="E6" s="3619" t="s">
        <v>1127</v>
      </c>
      <c r="F6" s="3620"/>
      <c r="G6" s="3617" t="s">
        <v>1127</v>
      </c>
      <c r="H6" s="3618"/>
      <c r="I6" s="3617" t="s">
        <v>1127</v>
      </c>
      <c r="J6" s="3618"/>
      <c r="K6" s="953" t="s">
        <v>394</v>
      </c>
      <c r="L6" s="2348"/>
      <c r="M6" s="2349"/>
      <c r="N6" s="2349"/>
      <c r="O6" s="2349"/>
      <c r="P6" s="3692"/>
      <c r="Q6" s="3693"/>
      <c r="R6" s="3673"/>
      <c r="S6" s="3674"/>
      <c r="T6" s="3694"/>
      <c r="U6" s="3695"/>
      <c r="V6" s="3696"/>
      <c r="W6" s="3696"/>
      <c r="X6" s="1318"/>
      <c r="Y6" s="3694"/>
      <c r="Z6" s="3695"/>
      <c r="AA6" s="3668"/>
      <c r="AB6" s="3668"/>
      <c r="AC6" s="3668"/>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69" t="s">
        <v>396</v>
      </c>
      <c r="Q7" s="3697"/>
      <c r="R7" s="1319" t="s">
        <v>62</v>
      </c>
      <c r="S7" s="1320">
        <f t="shared" ref="S7:S15" si="0">F7</f>
        <v>0</v>
      </c>
      <c r="T7" s="1319" t="s">
        <v>62</v>
      </c>
      <c r="U7" s="1320">
        <f t="shared" ref="U7:U15" si="1">H7</f>
        <v>0</v>
      </c>
      <c r="V7" s="1319" t="s">
        <v>62</v>
      </c>
      <c r="W7" s="1320">
        <f t="shared" ref="W7:W15" si="2">J7</f>
        <v>0</v>
      </c>
      <c r="X7" s="1321"/>
      <c r="Y7" s="3669" t="s">
        <v>396</v>
      </c>
      <c r="Z7" s="3670"/>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69" t="s">
        <v>432</v>
      </c>
      <c r="Q8" s="3670"/>
      <c r="R8" s="1319" t="s">
        <v>62</v>
      </c>
      <c r="S8" s="1320">
        <f t="shared" si="0"/>
        <v>0</v>
      </c>
      <c r="T8" s="1319" t="s">
        <v>62</v>
      </c>
      <c r="U8" s="1320">
        <f t="shared" si="1"/>
        <v>0</v>
      </c>
      <c r="V8" s="1319" t="s">
        <v>62</v>
      </c>
      <c r="W8" s="1320">
        <f t="shared" si="2"/>
        <v>0</v>
      </c>
      <c r="X8" s="1321"/>
      <c r="Y8" s="3669" t="s">
        <v>432</v>
      </c>
      <c r="Z8" s="3670"/>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3" t="s">
        <v>399</v>
      </c>
      <c r="Q9" s="296" t="str">
        <f t="shared" ref="Q9:Q15" si="6">B9</f>
        <v>用途</v>
      </c>
      <c r="R9" s="1319" t="s">
        <v>62</v>
      </c>
      <c r="S9" s="1320">
        <f t="shared" si="0"/>
        <v>100</v>
      </c>
      <c r="T9" s="1319" t="s">
        <v>62</v>
      </c>
      <c r="U9" s="1320">
        <f t="shared" si="1"/>
        <v>100</v>
      </c>
      <c r="V9" s="1319" t="s">
        <v>62</v>
      </c>
      <c r="W9" s="1320">
        <f t="shared" si="2"/>
        <v>100</v>
      </c>
      <c r="X9" s="1321"/>
      <c r="Y9" s="3551"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118</v>
      </c>
      <c r="G10" s="806"/>
      <c r="H10" s="426">
        <f>ROUND(100/'数据-取费表'!G16,0)</f>
        <v>118</v>
      </c>
      <c r="I10" s="806"/>
      <c r="J10" s="426">
        <f>ROUND(100/'数据-取费表'!G16,0)</f>
        <v>118</v>
      </c>
      <c r="K10" s="1081"/>
      <c r="L10" s="2353"/>
      <c r="M10" s="2354"/>
      <c r="N10" s="2354"/>
      <c r="O10" s="2355"/>
      <c r="P10" s="3683"/>
      <c r="Q10" s="296" t="str">
        <f t="shared" si="6"/>
        <v>土地使用年限（年）</v>
      </c>
      <c r="R10" s="1319" t="s">
        <v>62</v>
      </c>
      <c r="S10" s="1320">
        <f t="shared" si="0"/>
        <v>118</v>
      </c>
      <c r="T10" s="1319" t="s">
        <v>62</v>
      </c>
      <c r="U10" s="1320">
        <f t="shared" si="1"/>
        <v>118</v>
      </c>
      <c r="V10" s="1319" t="s">
        <v>62</v>
      </c>
      <c r="W10" s="1320">
        <f t="shared" si="2"/>
        <v>118</v>
      </c>
      <c r="X10" s="1321"/>
      <c r="Y10" s="3551"/>
      <c r="Z10" s="344" t="str">
        <f t="shared" si="7"/>
        <v>土地使用年限（年）</v>
      </c>
      <c r="AA10" s="1322">
        <f t="shared" si="3"/>
        <v>0.84745762711864403</v>
      </c>
      <c r="AB10" s="1322">
        <f t="shared" si="4"/>
        <v>0.84745762711864403</v>
      </c>
      <c r="AC10" s="1322">
        <f t="shared" si="5"/>
        <v>0.84745762711864403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3"/>
      <c r="Q11" s="296" t="str">
        <f t="shared" si="6"/>
        <v>容积率</v>
      </c>
      <c r="R11" s="1319" t="s">
        <v>62</v>
      </c>
      <c r="S11" s="1320" t="e">
        <f t="shared" si="0"/>
        <v>#N/A</v>
      </c>
      <c r="T11" s="1319" t="s">
        <v>62</v>
      </c>
      <c r="U11" s="1320" t="e">
        <f t="shared" si="1"/>
        <v>#N/A</v>
      </c>
      <c r="V11" s="1319" t="s">
        <v>62</v>
      </c>
      <c r="W11" s="1320" t="e">
        <f t="shared" si="2"/>
        <v>#N/A</v>
      </c>
      <c r="X11" s="1321"/>
      <c r="Y11" s="3551"/>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3"/>
      <c r="Q12" s="296" t="str">
        <f t="shared" si="6"/>
        <v>配建</v>
      </c>
      <c r="R12" s="1319" t="s">
        <v>62</v>
      </c>
      <c r="S12" s="1320">
        <f t="shared" si="0"/>
        <v>100</v>
      </c>
      <c r="T12" s="1319" t="s">
        <v>62</v>
      </c>
      <c r="U12" s="1320">
        <f t="shared" si="1"/>
        <v>100</v>
      </c>
      <c r="V12" s="1319" t="s">
        <v>62</v>
      </c>
      <c r="W12" s="1320">
        <f t="shared" si="2"/>
        <v>100</v>
      </c>
      <c r="X12" s="1321"/>
      <c r="Y12" s="355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3"/>
      <c r="Q13" s="296">
        <f t="shared" si="6"/>
        <v>111</v>
      </c>
      <c r="R13" s="1319" t="s">
        <v>62</v>
      </c>
      <c r="S13" s="1320">
        <f t="shared" si="0"/>
        <v>100</v>
      </c>
      <c r="T13" s="1319" t="s">
        <v>62</v>
      </c>
      <c r="U13" s="1320">
        <f t="shared" si="1"/>
        <v>100</v>
      </c>
      <c r="V13" s="1319" t="s">
        <v>62</v>
      </c>
      <c r="W13" s="1320">
        <f t="shared" si="2"/>
        <v>100</v>
      </c>
      <c r="X13" s="1321"/>
      <c r="Y13" s="355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3"/>
      <c r="Q14" s="296">
        <f t="shared" si="6"/>
        <v>111</v>
      </c>
      <c r="R14" s="1319" t="s">
        <v>62</v>
      </c>
      <c r="S14" s="1320">
        <f t="shared" si="0"/>
        <v>100</v>
      </c>
      <c r="T14" s="1319" t="s">
        <v>62</v>
      </c>
      <c r="U14" s="1320">
        <f t="shared" si="1"/>
        <v>100</v>
      </c>
      <c r="V14" s="1319" t="s">
        <v>62</v>
      </c>
      <c r="W14" s="1320">
        <f t="shared" si="2"/>
        <v>100</v>
      </c>
      <c r="X14" s="1321"/>
      <c r="Y14" s="3551"/>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8" t="s">
        <v>404</v>
      </c>
      <c r="Q15" s="1323" t="str">
        <f t="shared" si="6"/>
        <v>居住社区成熟度</v>
      </c>
      <c r="R15" s="1324" t="s">
        <v>62</v>
      </c>
      <c r="S15" s="1325">
        <f t="shared" si="0"/>
        <v>100</v>
      </c>
      <c r="T15" s="1324" t="s">
        <v>62</v>
      </c>
      <c r="U15" s="1325">
        <f t="shared" si="1"/>
        <v>100</v>
      </c>
      <c r="V15" s="1324" t="s">
        <v>62</v>
      </c>
      <c r="W15" s="1325">
        <f t="shared" si="2"/>
        <v>100</v>
      </c>
      <c r="X15" s="1318"/>
      <c r="Y15" s="3698"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81">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9"/>
      <c r="Q17" s="1323" t="str">
        <f>B17</f>
        <v>商业繁华度</v>
      </c>
      <c r="R17" s="1324" t="s">
        <v>62</v>
      </c>
      <c r="S17" s="1325">
        <f>F17</f>
        <v>100</v>
      </c>
      <c r="T17" s="1324" t="s">
        <v>62</v>
      </c>
      <c r="U17" s="1325">
        <f>H17</f>
        <v>100</v>
      </c>
      <c r="V17" s="1324" t="s">
        <v>62</v>
      </c>
      <c r="W17" s="1325">
        <f>J17</f>
        <v>100</v>
      </c>
      <c r="X17" s="1318"/>
      <c r="Y17" s="369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9"/>
      <c r="Q19" s="1323" t="str">
        <f>B19</f>
        <v>办公集聚程度</v>
      </c>
      <c r="R19" s="1324" t="s">
        <v>62</v>
      </c>
      <c r="S19" s="1325">
        <f>F19</f>
        <v>100</v>
      </c>
      <c r="T19" s="1324" t="s">
        <v>62</v>
      </c>
      <c r="U19" s="1325">
        <f>H19</f>
        <v>100</v>
      </c>
      <c r="V19" s="1324" t="s">
        <v>62</v>
      </c>
      <c r="W19" s="1325">
        <f>J19</f>
        <v>100</v>
      </c>
      <c r="X19" s="1318"/>
      <c r="Y19" s="369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9"/>
      <c r="Q20" s="1323"/>
      <c r="R20" s="1324"/>
      <c r="S20" s="1325"/>
      <c r="T20" s="1324"/>
      <c r="U20" s="1325"/>
      <c r="V20" s="1324"/>
      <c r="W20" s="1325"/>
      <c r="X20" s="1318"/>
      <c r="Y20" s="3699"/>
      <c r="Z20" s="1326"/>
      <c r="AA20" s="1327">
        <v>1</v>
      </c>
      <c r="AB20" s="1327">
        <v>1</v>
      </c>
      <c r="AC20" s="1327">
        <v>1</v>
      </c>
    </row>
    <row r="21" spans="1:29" ht="94.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9"/>
      <c r="Q21" s="1323" t="str">
        <f>B21</f>
        <v>交通便捷度</v>
      </c>
      <c r="R21" s="1324" t="s">
        <v>62</v>
      </c>
      <c r="S21" s="1325">
        <f>F21</f>
        <v>100</v>
      </c>
      <c r="T21" s="1324" t="s">
        <v>62</v>
      </c>
      <c r="U21" s="1325">
        <f>H21</f>
        <v>100</v>
      </c>
      <c r="V21" s="1324" t="s">
        <v>62</v>
      </c>
      <c r="W21" s="1325">
        <f>J21</f>
        <v>100</v>
      </c>
      <c r="X21" s="1318"/>
      <c r="Y21" s="3699"/>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9"/>
      <c r="Q23" s="1323" t="str">
        <f t="shared" ref="Q23:Q37" si="8">B23</f>
        <v>区域土地利用方向</v>
      </c>
      <c r="R23" s="1324" t="s">
        <v>62</v>
      </c>
      <c r="S23" s="1325">
        <f>F23</f>
        <v>100</v>
      </c>
      <c r="T23" s="1324" t="s">
        <v>62</v>
      </c>
      <c r="U23" s="1325">
        <f>H23</f>
        <v>100</v>
      </c>
      <c r="V23" s="1324" t="s">
        <v>62</v>
      </c>
      <c r="W23" s="1325">
        <f>J23</f>
        <v>100</v>
      </c>
      <c r="X23" s="1318"/>
      <c r="Y23" s="369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9"/>
      <c r="Q24" s="1470"/>
      <c r="R24" s="1324"/>
      <c r="S24" s="1325"/>
      <c r="T24" s="1324"/>
      <c r="U24" s="1325"/>
      <c r="V24" s="1324"/>
      <c r="W24" s="1325"/>
      <c r="X24" s="1469"/>
      <c r="Y24" s="3699"/>
      <c r="Z24" s="1471"/>
      <c r="AA24" s="1327"/>
      <c r="AB24" s="1327"/>
      <c r="AC24" s="1327"/>
    </row>
    <row r="25" spans="1:29" ht="54">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9"/>
      <c r="Q25" s="1323" t="str">
        <f t="shared" si="8"/>
        <v>自然及人文环境状况</v>
      </c>
      <c r="R25" s="1324" t="s">
        <v>62</v>
      </c>
      <c r="S25" s="1325">
        <f>F25</f>
        <v>100</v>
      </c>
      <c r="T25" s="1324" t="s">
        <v>62</v>
      </c>
      <c r="U25" s="1325">
        <f>H25</f>
        <v>100</v>
      </c>
      <c r="V25" s="1324" t="s">
        <v>62</v>
      </c>
      <c r="W25" s="1325">
        <f>J25</f>
        <v>100</v>
      </c>
      <c r="X25" s="1318"/>
      <c r="Y25" s="369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9"/>
      <c r="Q26" s="1323"/>
      <c r="R26" s="1324"/>
      <c r="S26" s="1325"/>
      <c r="T26" s="1324"/>
      <c r="U26" s="1325"/>
      <c r="V26" s="1324"/>
      <c r="W26" s="1325"/>
      <c r="X26" s="1318"/>
      <c r="Y26" s="3699"/>
      <c r="Z26" s="1326"/>
      <c r="AA26" s="1327">
        <v>1</v>
      </c>
      <c r="AB26" s="1327">
        <v>1</v>
      </c>
      <c r="AC26" s="1327">
        <v>1</v>
      </c>
    </row>
    <row r="27" spans="1:29" s="407" customFormat="1" ht="40.5">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9"/>
      <c r="Q27" s="296" t="str">
        <f t="shared" si="8"/>
        <v>公共配套设施</v>
      </c>
      <c r="R27" s="1319" t="s">
        <v>62</v>
      </c>
      <c r="S27" s="1320">
        <f>F27</f>
        <v>100</v>
      </c>
      <c r="T27" s="1319" t="s">
        <v>62</v>
      </c>
      <c r="U27" s="1320">
        <f>H27</f>
        <v>100</v>
      </c>
      <c r="V27" s="1319" t="s">
        <v>62</v>
      </c>
      <c r="W27" s="1320">
        <f>J27</f>
        <v>100</v>
      </c>
      <c r="X27" s="1321"/>
      <c r="Y27" s="3699"/>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9"/>
      <c r="Q28" s="296"/>
      <c r="R28" s="1319"/>
      <c r="S28" s="1320"/>
      <c r="T28" s="1319"/>
      <c r="U28" s="1320"/>
      <c r="V28" s="1319"/>
      <c r="W28" s="1320"/>
      <c r="X28" s="1321"/>
      <c r="Y28" s="3699"/>
      <c r="Z28" s="344"/>
      <c r="AA28" s="1327">
        <v>1</v>
      </c>
      <c r="AB28" s="1327">
        <v>1</v>
      </c>
      <c r="AC28" s="1327">
        <v>1</v>
      </c>
    </row>
    <row r="29" spans="1:29" s="407" customFormat="1" ht="40.5">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9"/>
      <c r="Q29" s="2744" t="str">
        <f t="shared" ref="Q29" si="9">B29</f>
        <v>基础设施水平</v>
      </c>
      <c r="R29" s="1319" t="s">
        <v>62</v>
      </c>
      <c r="S29" s="1320">
        <f>F29</f>
        <v>100</v>
      </c>
      <c r="T29" s="1319" t="s">
        <v>62</v>
      </c>
      <c r="U29" s="1320">
        <f>H29</f>
        <v>100</v>
      </c>
      <c r="V29" s="1319" t="s">
        <v>62</v>
      </c>
      <c r="W29" s="1320">
        <f>J29</f>
        <v>100</v>
      </c>
      <c r="X29" s="1321"/>
      <c r="Y29" s="3699"/>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9"/>
      <c r="Q30" s="2744"/>
      <c r="R30" s="1319"/>
      <c r="S30" s="1320"/>
      <c r="T30" s="1319"/>
      <c r="U30" s="1320"/>
      <c r="V30" s="1319"/>
      <c r="W30" s="1320"/>
      <c r="X30" s="1321"/>
      <c r="Y30" s="3699"/>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9"/>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699"/>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9"/>
      <c r="Q32" s="1323" t="str">
        <f t="shared" si="8"/>
        <v>毗邻道路的类型与等级</v>
      </c>
      <c r="R32" s="1324" t="s">
        <v>62</v>
      </c>
      <c r="S32" s="1325">
        <f t="shared" si="10"/>
        <v>100</v>
      </c>
      <c r="T32" s="1324" t="s">
        <v>62</v>
      </c>
      <c r="U32" s="1325">
        <f t="shared" si="11"/>
        <v>100</v>
      </c>
      <c r="V32" s="1324" t="s">
        <v>62</v>
      </c>
      <c r="W32" s="1325">
        <f t="shared" si="12"/>
        <v>100</v>
      </c>
      <c r="X32" s="1318"/>
      <c r="Y32" s="369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9"/>
      <c r="Q33" s="1323"/>
      <c r="R33" s="1324"/>
      <c r="S33" s="1325"/>
      <c r="T33" s="1324"/>
      <c r="U33" s="1325"/>
      <c r="V33" s="1324"/>
      <c r="W33" s="1325"/>
      <c r="X33" s="1318"/>
      <c r="Y33" s="3699"/>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9"/>
      <c r="Q34" s="1323" t="str">
        <f t="shared" si="8"/>
        <v>土地级别</v>
      </c>
      <c r="R34" s="1324" t="s">
        <v>62</v>
      </c>
      <c r="S34" s="1325">
        <f t="shared" si="10"/>
        <v>100</v>
      </c>
      <c r="T34" s="1324" t="s">
        <v>62</v>
      </c>
      <c r="U34" s="1325">
        <f t="shared" si="11"/>
        <v>100</v>
      </c>
      <c r="V34" s="1324" t="s">
        <v>62</v>
      </c>
      <c r="W34" s="1325">
        <f t="shared" si="12"/>
        <v>100</v>
      </c>
      <c r="X34" s="1318"/>
      <c r="Y34" s="3699"/>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9"/>
      <c r="Q35" s="1323">
        <f t="shared" si="8"/>
        <v>111</v>
      </c>
      <c r="R35" s="1324" t="s">
        <v>62</v>
      </c>
      <c r="S35" s="1325">
        <f t="shared" si="10"/>
        <v>100</v>
      </c>
      <c r="T35" s="1324" t="s">
        <v>62</v>
      </c>
      <c r="U35" s="1325">
        <f t="shared" si="11"/>
        <v>100</v>
      </c>
      <c r="V35" s="1324" t="s">
        <v>62</v>
      </c>
      <c r="W35" s="1325">
        <f t="shared" si="12"/>
        <v>100</v>
      </c>
      <c r="X35" s="1318"/>
      <c r="Y35" s="3699"/>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0" t="s">
        <v>406</v>
      </c>
      <c r="Q36" s="1323">
        <f t="shared" si="8"/>
        <v>111</v>
      </c>
      <c r="R36" s="1324" t="s">
        <v>62</v>
      </c>
      <c r="S36" s="1325">
        <f t="shared" si="10"/>
        <v>100</v>
      </c>
      <c r="T36" s="1324" t="s">
        <v>62</v>
      </c>
      <c r="U36" s="1325">
        <f t="shared" si="11"/>
        <v>100</v>
      </c>
      <c r="V36" s="1324" t="s">
        <v>62</v>
      </c>
      <c r="W36" s="1325">
        <f t="shared" si="12"/>
        <v>100</v>
      </c>
      <c r="X36" s="1318"/>
      <c r="Y36" s="3701"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1"/>
      <c r="Q37" s="1323">
        <f t="shared" si="8"/>
        <v>111</v>
      </c>
      <c r="R37" s="1329" t="s">
        <v>62</v>
      </c>
      <c r="S37" s="1330">
        <f t="shared" si="10"/>
        <v>100</v>
      </c>
      <c r="T37" s="1329" t="s">
        <v>62</v>
      </c>
      <c r="U37" s="1330">
        <f t="shared" si="11"/>
        <v>100</v>
      </c>
      <c r="V37" s="1329" t="s">
        <v>62</v>
      </c>
      <c r="W37" s="1330">
        <f t="shared" si="12"/>
        <v>100</v>
      </c>
      <c r="X37" s="1331"/>
      <c r="Y37" s="3701"/>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1"/>
      <c r="Q38" s="1323" t="str">
        <f>B38</f>
        <v>宗地面积</v>
      </c>
      <c r="R38" s="1324" t="s">
        <v>62</v>
      </c>
      <c r="S38" s="1325" t="e">
        <f t="shared" si="10"/>
        <v>#N/A</v>
      </c>
      <c r="T38" s="1324" t="s">
        <v>62</v>
      </c>
      <c r="U38" s="1325" t="e">
        <f t="shared" si="11"/>
        <v>#N/A</v>
      </c>
      <c r="V38" s="1324" t="s">
        <v>62</v>
      </c>
      <c r="W38" s="1325" t="e">
        <f t="shared" si="12"/>
        <v>#N/A</v>
      </c>
      <c r="X38" s="1318"/>
      <c r="Y38" s="3701"/>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1"/>
      <c r="Q39" s="1323" t="str">
        <f t="shared" ref="Q39:Q45" si="14">B39</f>
        <v>宗地形状</v>
      </c>
      <c r="R39" s="1324" t="s">
        <v>62</v>
      </c>
      <c r="S39" s="1325">
        <f t="shared" si="10"/>
        <v>100</v>
      </c>
      <c r="T39" s="1324" t="s">
        <v>62</v>
      </c>
      <c r="U39" s="1325">
        <f t="shared" si="11"/>
        <v>100</v>
      </c>
      <c r="V39" s="1324" t="s">
        <v>62</v>
      </c>
      <c r="W39" s="1325">
        <f t="shared" si="12"/>
        <v>100</v>
      </c>
      <c r="X39" s="1318"/>
      <c r="Y39" s="3701"/>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1"/>
      <c r="Q40" s="1323" t="str">
        <f t="shared" si="14"/>
        <v>临街宽度及深度</v>
      </c>
      <c r="R40" s="1324" t="s">
        <v>62</v>
      </c>
      <c r="S40" s="1325">
        <f t="shared" si="10"/>
        <v>100</v>
      </c>
      <c r="T40" s="1324" t="s">
        <v>62</v>
      </c>
      <c r="U40" s="1325">
        <f t="shared" si="11"/>
        <v>100</v>
      </c>
      <c r="V40" s="1324" t="s">
        <v>62</v>
      </c>
      <c r="W40" s="1325">
        <f t="shared" si="12"/>
        <v>100</v>
      </c>
      <c r="X40" s="1318"/>
      <c r="Y40" s="3701"/>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1"/>
      <c r="Q41" s="1323" t="str">
        <f t="shared" si="14"/>
        <v>宗地开发程度</v>
      </c>
      <c r="R41" s="1319" t="s">
        <v>62</v>
      </c>
      <c r="S41" s="1320">
        <f t="shared" si="10"/>
        <v>100</v>
      </c>
      <c r="T41" s="1319" t="s">
        <v>62</v>
      </c>
      <c r="U41" s="1320">
        <f t="shared" si="11"/>
        <v>100</v>
      </c>
      <c r="V41" s="1319" t="s">
        <v>62</v>
      </c>
      <c r="W41" s="1320">
        <f t="shared" si="12"/>
        <v>100</v>
      </c>
      <c r="X41" s="1321"/>
      <c r="Y41" s="3701"/>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1" t="s">
        <v>406</v>
      </c>
      <c r="Q42" s="1323" t="str">
        <f t="shared" si="14"/>
        <v>工程地质条件</v>
      </c>
      <c r="R42" s="1324" t="s">
        <v>62</v>
      </c>
      <c r="S42" s="1325">
        <f t="shared" si="10"/>
        <v>100</v>
      </c>
      <c r="T42" s="1324" t="s">
        <v>62</v>
      </c>
      <c r="U42" s="1325">
        <f t="shared" si="11"/>
        <v>100</v>
      </c>
      <c r="V42" s="1324" t="s">
        <v>62</v>
      </c>
      <c r="W42" s="1325">
        <f t="shared" si="12"/>
        <v>100</v>
      </c>
      <c r="X42" s="1318"/>
      <c r="Y42" s="3701"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1"/>
      <c r="Q43" s="1323">
        <f t="shared" si="14"/>
        <v>111</v>
      </c>
      <c r="R43" s="1324" t="s">
        <v>62</v>
      </c>
      <c r="S43" s="1325">
        <f t="shared" si="10"/>
        <v>100</v>
      </c>
      <c r="T43" s="1324" t="s">
        <v>62</v>
      </c>
      <c r="U43" s="1325">
        <f t="shared" si="11"/>
        <v>100</v>
      </c>
      <c r="V43" s="1324" t="s">
        <v>62</v>
      </c>
      <c r="W43" s="1325">
        <f t="shared" si="12"/>
        <v>100</v>
      </c>
      <c r="X43" s="1318"/>
      <c r="Y43" s="370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1"/>
      <c r="Q44" s="1323">
        <f t="shared" si="14"/>
        <v>111</v>
      </c>
      <c r="R44" s="1324" t="s">
        <v>62</v>
      </c>
      <c r="S44" s="1325">
        <f t="shared" si="10"/>
        <v>100</v>
      </c>
      <c r="T44" s="1324" t="s">
        <v>62</v>
      </c>
      <c r="U44" s="1325">
        <f t="shared" si="11"/>
        <v>100</v>
      </c>
      <c r="V44" s="1324" t="s">
        <v>62</v>
      </c>
      <c r="W44" s="1325">
        <f t="shared" si="12"/>
        <v>100</v>
      </c>
      <c r="X44" s="1318"/>
      <c r="Y44" s="370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1"/>
      <c r="Q45" s="1323">
        <f t="shared" si="14"/>
        <v>111</v>
      </c>
      <c r="R45" s="1329" t="s">
        <v>62</v>
      </c>
      <c r="S45" s="1330">
        <f t="shared" si="10"/>
        <v>100</v>
      </c>
      <c r="T45" s="1329" t="s">
        <v>62</v>
      </c>
      <c r="U45" s="1330">
        <f t="shared" si="11"/>
        <v>100</v>
      </c>
      <c r="V45" s="1329" t="s">
        <v>62</v>
      </c>
      <c r="W45" s="1330">
        <f t="shared" si="12"/>
        <v>100</v>
      </c>
      <c r="X45" s="1331"/>
      <c r="Y45" s="3701"/>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83" t="str">
        <f>A46</f>
        <v>成交单价</v>
      </c>
      <c r="Q46" s="3683"/>
      <c r="R46" s="3696">
        <f>E46</f>
        <v>0</v>
      </c>
      <c r="S46" s="3696"/>
      <c r="T46" s="3696">
        <f>G46</f>
        <v>0</v>
      </c>
      <c r="U46" s="3696"/>
      <c r="V46" s="3696">
        <f>I46</f>
        <v>0</v>
      </c>
      <c r="W46" s="3696"/>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83" t="str">
        <f>A47</f>
        <v>比较价值（元/平方米）</v>
      </c>
      <c r="Q47" s="3683"/>
      <c r="R47" s="3706" t="e">
        <f>ROUND(PRODUCT(R46,AA7:AA45),0)</f>
        <v>#DIV/0!</v>
      </c>
      <c r="S47" s="3706"/>
      <c r="T47" s="3706" t="e">
        <f>ROUND(PRODUCT(T46,AB7:AB45),0)</f>
        <v>#DIV/0!</v>
      </c>
      <c r="U47" s="3706"/>
      <c r="V47" s="3706" t="e">
        <f>ROUND(PRODUCT(V46,AC7:AC45),0)</f>
        <v>#DIV/0!</v>
      </c>
      <c r="W47" s="3706"/>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703" t="str">
        <f>A48</f>
        <v>估价对象XX用房的比较价值（楼面单价，元/平方米）</v>
      </c>
      <c r="Q48" s="3704"/>
      <c r="R48" s="3707" t="e">
        <f>ROUND(AVERAGE(R47:V47),0)</f>
        <v>#DIV/0!</v>
      </c>
      <c r="S48" s="3707"/>
      <c r="T48" s="3707"/>
      <c r="U48" s="3707"/>
      <c r="V48" s="3707"/>
      <c r="W48" s="370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08" t="s">
        <v>2308</v>
      </c>
      <c r="H55" s="3709"/>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0"/>
      <c r="H56" s="3711"/>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2"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2"/>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2"/>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2"/>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4" t="s">
        <v>388</v>
      </c>
      <c r="D4" s="3685"/>
      <c r="E4" s="3686" t="s">
        <v>389</v>
      </c>
      <c r="F4" s="3687"/>
      <c r="G4" s="3684" t="s">
        <v>390</v>
      </c>
      <c r="H4" s="3685"/>
      <c r="I4" s="3684" t="s">
        <v>391</v>
      </c>
      <c r="J4" s="3685"/>
      <c r="K4" s="953" t="s">
        <v>392</v>
      </c>
      <c r="L4" s="2348"/>
      <c r="M4" s="2349"/>
      <c r="N4" s="2349"/>
      <c r="O4" s="2349"/>
      <c r="P4" s="3688" t="s">
        <v>393</v>
      </c>
      <c r="Q4" s="3689"/>
      <c r="R4" s="3671" t="s">
        <v>389</v>
      </c>
      <c r="S4" s="3672"/>
      <c r="T4" s="3671" t="s">
        <v>390</v>
      </c>
      <c r="U4" s="3672"/>
      <c r="V4" s="3696" t="s">
        <v>391</v>
      </c>
      <c r="W4" s="3696"/>
      <c r="X4" s="1318"/>
      <c r="Y4" s="3671" t="s">
        <v>393</v>
      </c>
      <c r="Z4" s="3672"/>
      <c r="AA4" s="3666" t="s">
        <v>389</v>
      </c>
      <c r="AB4" s="3667" t="s">
        <v>390</v>
      </c>
      <c r="AC4" s="3666" t="s">
        <v>391</v>
      </c>
    </row>
    <row r="5" spans="1:29" ht="15">
      <c r="A5" s="747"/>
      <c r="B5" s="748"/>
      <c r="C5" s="3615" t="s">
        <v>1124</v>
      </c>
      <c r="D5" s="3616"/>
      <c r="E5" s="3613" t="s">
        <v>1125</v>
      </c>
      <c r="F5" s="3614"/>
      <c r="G5" s="3615" t="s">
        <v>1128</v>
      </c>
      <c r="H5" s="3616"/>
      <c r="I5" s="3615" t="s">
        <v>1126</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713" t="s">
        <v>1127</v>
      </c>
      <c r="D6" s="3714"/>
      <c r="E6" s="3715" t="s">
        <v>1127</v>
      </c>
      <c r="F6" s="3716"/>
      <c r="G6" s="3713" t="s">
        <v>1127</v>
      </c>
      <c r="H6" s="3714"/>
      <c r="I6" s="3713" t="s">
        <v>1127</v>
      </c>
      <c r="J6" s="3714"/>
      <c r="K6" s="953" t="s">
        <v>394</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69" t="s">
        <v>396</v>
      </c>
      <c r="Q7" s="3697"/>
      <c r="R7" s="1319" t="s">
        <v>62</v>
      </c>
      <c r="S7" s="1320">
        <f t="shared" ref="S7:S15" si="0">F7</f>
        <v>0</v>
      </c>
      <c r="T7" s="1319" t="s">
        <v>62</v>
      </c>
      <c r="U7" s="1320">
        <f t="shared" ref="U7:U15" si="1">H7</f>
        <v>0</v>
      </c>
      <c r="V7" s="1319" t="s">
        <v>62</v>
      </c>
      <c r="W7" s="1320">
        <f t="shared" ref="W7:W15" si="2">J7</f>
        <v>0</v>
      </c>
      <c r="X7" s="1321"/>
      <c r="Y7" s="3669" t="s">
        <v>396</v>
      </c>
      <c r="Z7" s="3670"/>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69" t="s">
        <v>432</v>
      </c>
      <c r="Q8" s="3670"/>
      <c r="R8" s="1319" t="s">
        <v>62</v>
      </c>
      <c r="S8" s="1320">
        <f t="shared" si="0"/>
        <v>0</v>
      </c>
      <c r="T8" s="1319" t="s">
        <v>62</v>
      </c>
      <c r="U8" s="1320">
        <f t="shared" si="1"/>
        <v>0</v>
      </c>
      <c r="V8" s="1319" t="s">
        <v>62</v>
      </c>
      <c r="W8" s="1320">
        <f t="shared" si="2"/>
        <v>0</v>
      </c>
      <c r="X8" s="1321"/>
      <c r="Y8" s="3669" t="s">
        <v>432</v>
      </c>
      <c r="Z8" s="3670"/>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3" t="s">
        <v>399</v>
      </c>
      <c r="Q9" s="296" t="str">
        <f t="shared" ref="Q9:Q15" si="6">B9</f>
        <v>用途</v>
      </c>
      <c r="R9" s="1319" t="s">
        <v>62</v>
      </c>
      <c r="S9" s="1320">
        <f t="shared" si="0"/>
        <v>100</v>
      </c>
      <c r="T9" s="1319" t="s">
        <v>62</v>
      </c>
      <c r="U9" s="1320">
        <f t="shared" si="1"/>
        <v>100</v>
      </c>
      <c r="V9" s="1319" t="s">
        <v>62</v>
      </c>
      <c r="W9" s="1320">
        <f t="shared" si="2"/>
        <v>100</v>
      </c>
      <c r="X9" s="1321"/>
      <c r="Y9" s="3551"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118</v>
      </c>
      <c r="G10" s="1024"/>
      <c r="H10" s="426">
        <f>ROUND(100/'数据-取费表'!G16,0)</f>
        <v>118</v>
      </c>
      <c r="I10" s="1024"/>
      <c r="J10" s="426">
        <f>ROUND(100/'数据-取费表'!G16,0)</f>
        <v>118</v>
      </c>
      <c r="K10" s="1081"/>
      <c r="L10" s="2353"/>
      <c r="M10" s="2354"/>
      <c r="N10" s="2354"/>
      <c r="O10" s="2355"/>
      <c r="P10" s="3683"/>
      <c r="Q10" s="296" t="str">
        <f t="shared" si="6"/>
        <v>土地使用年限（年）</v>
      </c>
      <c r="R10" s="1319" t="s">
        <v>62</v>
      </c>
      <c r="S10" s="1320">
        <f t="shared" si="0"/>
        <v>118</v>
      </c>
      <c r="T10" s="1319" t="s">
        <v>62</v>
      </c>
      <c r="U10" s="1320">
        <f t="shared" si="1"/>
        <v>118</v>
      </c>
      <c r="V10" s="1319" t="s">
        <v>62</v>
      </c>
      <c r="W10" s="1320">
        <f t="shared" si="2"/>
        <v>118</v>
      </c>
      <c r="X10" s="1321"/>
      <c r="Y10" s="3551"/>
      <c r="Z10" s="344" t="str">
        <f t="shared" si="7"/>
        <v>土地使用年限（年）</v>
      </c>
      <c r="AA10" s="1322">
        <f t="shared" si="3"/>
        <v>0.84745762711864403</v>
      </c>
      <c r="AB10" s="1322">
        <f t="shared" si="4"/>
        <v>0.84745762711864403</v>
      </c>
      <c r="AC10" s="1322">
        <f t="shared" si="5"/>
        <v>0.84745762711864403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3"/>
      <c r="Q11" s="296" t="str">
        <f t="shared" si="6"/>
        <v>容积率</v>
      </c>
      <c r="R11" s="1319" t="s">
        <v>62</v>
      </c>
      <c r="S11" s="1320" t="e">
        <f t="shared" si="0"/>
        <v>#N/A</v>
      </c>
      <c r="T11" s="1319" t="s">
        <v>62</v>
      </c>
      <c r="U11" s="1320" t="e">
        <f t="shared" si="1"/>
        <v>#N/A</v>
      </c>
      <c r="V11" s="1319" t="s">
        <v>62</v>
      </c>
      <c r="W11" s="1320" t="e">
        <f t="shared" si="2"/>
        <v>#N/A</v>
      </c>
      <c r="X11" s="1321"/>
      <c r="Y11" s="355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3"/>
      <c r="Q12" s="296">
        <f t="shared" si="6"/>
        <v>111</v>
      </c>
      <c r="R12" s="1319" t="s">
        <v>62</v>
      </c>
      <c r="S12" s="1320">
        <f t="shared" si="0"/>
        <v>100</v>
      </c>
      <c r="T12" s="1319" t="s">
        <v>62</v>
      </c>
      <c r="U12" s="1320">
        <f t="shared" si="1"/>
        <v>100</v>
      </c>
      <c r="V12" s="1319" t="s">
        <v>62</v>
      </c>
      <c r="W12" s="1320">
        <f t="shared" si="2"/>
        <v>100</v>
      </c>
      <c r="X12" s="1321"/>
      <c r="Y12" s="355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3"/>
      <c r="Q13" s="296">
        <f t="shared" si="6"/>
        <v>111</v>
      </c>
      <c r="R13" s="1319" t="s">
        <v>62</v>
      </c>
      <c r="S13" s="1320">
        <f t="shared" si="0"/>
        <v>100</v>
      </c>
      <c r="T13" s="1319" t="s">
        <v>62</v>
      </c>
      <c r="U13" s="1320">
        <f t="shared" si="1"/>
        <v>100</v>
      </c>
      <c r="V13" s="1319" t="s">
        <v>62</v>
      </c>
      <c r="W13" s="1320">
        <f t="shared" si="2"/>
        <v>100</v>
      </c>
      <c r="X13" s="1321"/>
      <c r="Y13" s="355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3"/>
      <c r="Q14" s="296">
        <f t="shared" si="6"/>
        <v>111</v>
      </c>
      <c r="R14" s="1319" t="s">
        <v>62</v>
      </c>
      <c r="S14" s="1320">
        <f t="shared" si="0"/>
        <v>100</v>
      </c>
      <c r="T14" s="1319" t="s">
        <v>62</v>
      </c>
      <c r="U14" s="1320">
        <f t="shared" si="1"/>
        <v>100</v>
      </c>
      <c r="V14" s="1319" t="s">
        <v>62</v>
      </c>
      <c r="W14" s="1320">
        <f t="shared" si="2"/>
        <v>100</v>
      </c>
      <c r="X14" s="1321"/>
      <c r="Y14" s="3551"/>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8" t="s">
        <v>404</v>
      </c>
      <c r="Q15" s="1323" t="str">
        <f t="shared" si="6"/>
        <v>产业集聚程度</v>
      </c>
      <c r="R15" s="1324" t="s">
        <v>62</v>
      </c>
      <c r="S15" s="1325">
        <f t="shared" si="0"/>
        <v>100</v>
      </c>
      <c r="T15" s="1324" t="s">
        <v>62</v>
      </c>
      <c r="U15" s="1325">
        <f t="shared" si="1"/>
        <v>100</v>
      </c>
      <c r="V15" s="1324" t="s">
        <v>62</v>
      </c>
      <c r="W15" s="1325">
        <f t="shared" si="2"/>
        <v>100</v>
      </c>
      <c r="X15" s="1318"/>
      <c r="Y15" s="3698"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9"/>
      <c r="Q17" s="1323" t="str">
        <f>B17</f>
        <v>交通便捷度</v>
      </c>
      <c r="R17" s="1324" t="s">
        <v>62</v>
      </c>
      <c r="S17" s="1325">
        <f>F17</f>
        <v>100</v>
      </c>
      <c r="T17" s="1324" t="s">
        <v>62</v>
      </c>
      <c r="U17" s="1325">
        <f>H17</f>
        <v>100</v>
      </c>
      <c r="V17" s="1324" t="s">
        <v>62</v>
      </c>
      <c r="W17" s="1325">
        <f>J17</f>
        <v>100</v>
      </c>
      <c r="X17" s="1318"/>
      <c r="Y17" s="369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9"/>
      <c r="Q19" s="1323" t="str">
        <f t="shared" ref="Q19:Q33" si="8">B19</f>
        <v>区域土地利用方向</v>
      </c>
      <c r="R19" s="1324" t="s">
        <v>62</v>
      </c>
      <c r="S19" s="1325">
        <f>F19</f>
        <v>100</v>
      </c>
      <c r="T19" s="1324" t="s">
        <v>62</v>
      </c>
      <c r="U19" s="1325">
        <f>H19</f>
        <v>100</v>
      </c>
      <c r="V19" s="1324" t="s">
        <v>62</v>
      </c>
      <c r="W19" s="1325">
        <f>J19</f>
        <v>100</v>
      </c>
      <c r="X19" s="1318"/>
      <c r="Y19" s="369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9"/>
      <c r="Q20" s="1470"/>
      <c r="R20" s="1324"/>
      <c r="S20" s="1325"/>
      <c r="T20" s="1324"/>
      <c r="U20" s="1325"/>
      <c r="V20" s="1324"/>
      <c r="W20" s="1325"/>
      <c r="X20" s="1469"/>
      <c r="Y20" s="3699"/>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9"/>
      <c r="Q21" s="1323" t="str">
        <f t="shared" si="8"/>
        <v>环境状况</v>
      </c>
      <c r="R21" s="1324" t="s">
        <v>62</v>
      </c>
      <c r="S21" s="1325">
        <f>F21</f>
        <v>100</v>
      </c>
      <c r="T21" s="1324" t="s">
        <v>62</v>
      </c>
      <c r="U21" s="1325">
        <f>H21</f>
        <v>100</v>
      </c>
      <c r="V21" s="1324" t="s">
        <v>62</v>
      </c>
      <c r="W21" s="1325">
        <f>J21</f>
        <v>100</v>
      </c>
      <c r="X21" s="1318"/>
      <c r="Y21" s="369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9"/>
      <c r="Q23" s="296" t="str">
        <f t="shared" si="8"/>
        <v>公共配套设施</v>
      </c>
      <c r="R23" s="1319" t="s">
        <v>62</v>
      </c>
      <c r="S23" s="1320">
        <f>F23</f>
        <v>100</v>
      </c>
      <c r="T23" s="1319" t="s">
        <v>62</v>
      </c>
      <c r="U23" s="1320">
        <f>H23</f>
        <v>100</v>
      </c>
      <c r="V23" s="1319" t="s">
        <v>62</v>
      </c>
      <c r="W23" s="1320">
        <f>J23</f>
        <v>100</v>
      </c>
      <c r="X23" s="1321"/>
      <c r="Y23" s="3699"/>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9"/>
      <c r="Q24" s="296"/>
      <c r="R24" s="1319"/>
      <c r="S24" s="1320"/>
      <c r="T24" s="1319"/>
      <c r="U24" s="1320"/>
      <c r="V24" s="1319"/>
      <c r="W24" s="1320"/>
      <c r="X24" s="1321"/>
      <c r="Y24" s="3699"/>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9"/>
      <c r="Q25" s="2744" t="str">
        <f t="shared" ref="Q25" si="9">B25</f>
        <v>基础设施水平</v>
      </c>
      <c r="R25" s="1319" t="s">
        <v>62</v>
      </c>
      <c r="S25" s="1320">
        <f>F25</f>
        <v>100</v>
      </c>
      <c r="T25" s="1319" t="s">
        <v>62</v>
      </c>
      <c r="U25" s="1320">
        <f>H25</f>
        <v>100</v>
      </c>
      <c r="V25" s="1319" t="s">
        <v>62</v>
      </c>
      <c r="W25" s="1320">
        <f>J25</f>
        <v>100</v>
      </c>
      <c r="X25" s="1321"/>
      <c r="Y25" s="3699"/>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9"/>
      <c r="Q26" s="2744"/>
      <c r="R26" s="1319"/>
      <c r="S26" s="1320"/>
      <c r="T26" s="1319"/>
      <c r="U26" s="1320"/>
      <c r="V26" s="1319"/>
      <c r="W26" s="1320"/>
      <c r="X26" s="1321"/>
      <c r="Y26" s="3699"/>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9"/>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699"/>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9"/>
      <c r="Q28" s="1323" t="str">
        <f t="shared" si="8"/>
        <v>毗邻道路的类型与等级</v>
      </c>
      <c r="R28" s="1324" t="s">
        <v>62</v>
      </c>
      <c r="S28" s="1325">
        <f t="shared" si="10"/>
        <v>100</v>
      </c>
      <c r="T28" s="1324" t="s">
        <v>62</v>
      </c>
      <c r="U28" s="1325">
        <f t="shared" si="11"/>
        <v>100</v>
      </c>
      <c r="V28" s="1324" t="s">
        <v>62</v>
      </c>
      <c r="W28" s="1325">
        <f t="shared" si="12"/>
        <v>100</v>
      </c>
      <c r="X28" s="1318"/>
      <c r="Y28" s="369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9"/>
      <c r="Q29" s="1323"/>
      <c r="R29" s="1324"/>
      <c r="S29" s="1325"/>
      <c r="T29" s="1324"/>
      <c r="U29" s="1325"/>
      <c r="V29" s="1324"/>
      <c r="W29" s="1325"/>
      <c r="X29" s="1318"/>
      <c r="Y29" s="3699"/>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9"/>
      <c r="Q30" s="1323" t="str">
        <f t="shared" si="8"/>
        <v>土地级别</v>
      </c>
      <c r="R30" s="1324" t="s">
        <v>62</v>
      </c>
      <c r="S30" s="1325">
        <f t="shared" si="10"/>
        <v>100</v>
      </c>
      <c r="T30" s="1324" t="s">
        <v>62</v>
      </c>
      <c r="U30" s="1325">
        <f t="shared" si="11"/>
        <v>100</v>
      </c>
      <c r="V30" s="1324" t="s">
        <v>62</v>
      </c>
      <c r="W30" s="1325">
        <f t="shared" si="12"/>
        <v>100</v>
      </c>
      <c r="X30" s="1318"/>
      <c r="Y30" s="369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9"/>
      <c r="Q31" s="1323">
        <f t="shared" si="8"/>
        <v>111</v>
      </c>
      <c r="R31" s="1324" t="s">
        <v>62</v>
      </c>
      <c r="S31" s="1325">
        <f t="shared" si="10"/>
        <v>100</v>
      </c>
      <c r="T31" s="1324" t="s">
        <v>62</v>
      </c>
      <c r="U31" s="1325">
        <f t="shared" si="11"/>
        <v>100</v>
      </c>
      <c r="V31" s="1324" t="s">
        <v>62</v>
      </c>
      <c r="W31" s="1325">
        <f t="shared" si="12"/>
        <v>100</v>
      </c>
      <c r="X31" s="1318"/>
      <c r="Y31" s="369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0" t="s">
        <v>406</v>
      </c>
      <c r="Q32" s="1323">
        <f t="shared" si="8"/>
        <v>111</v>
      </c>
      <c r="R32" s="1324" t="s">
        <v>62</v>
      </c>
      <c r="S32" s="1325">
        <f t="shared" si="10"/>
        <v>100</v>
      </c>
      <c r="T32" s="1324" t="s">
        <v>62</v>
      </c>
      <c r="U32" s="1325">
        <f t="shared" si="11"/>
        <v>100</v>
      </c>
      <c r="V32" s="1324" t="s">
        <v>62</v>
      </c>
      <c r="W32" s="1325">
        <f t="shared" si="12"/>
        <v>100</v>
      </c>
      <c r="X32" s="1318"/>
      <c r="Y32" s="3701"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1"/>
      <c r="Q33" s="1323">
        <f t="shared" si="8"/>
        <v>111</v>
      </c>
      <c r="R33" s="1329" t="s">
        <v>62</v>
      </c>
      <c r="S33" s="1330">
        <f t="shared" si="10"/>
        <v>100</v>
      </c>
      <c r="T33" s="1329" t="s">
        <v>62</v>
      </c>
      <c r="U33" s="1330">
        <f t="shared" si="11"/>
        <v>100</v>
      </c>
      <c r="V33" s="1329" t="s">
        <v>62</v>
      </c>
      <c r="W33" s="1330">
        <f t="shared" si="12"/>
        <v>100</v>
      </c>
      <c r="X33" s="1331"/>
      <c r="Y33" s="3701"/>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1"/>
      <c r="Q34" s="1323" t="str">
        <f>B34</f>
        <v>宗地面积</v>
      </c>
      <c r="R34" s="1324" t="s">
        <v>62</v>
      </c>
      <c r="S34" s="1325" t="e">
        <f t="shared" si="10"/>
        <v>#N/A</v>
      </c>
      <c r="T34" s="1324" t="s">
        <v>62</v>
      </c>
      <c r="U34" s="1325" t="e">
        <f t="shared" si="11"/>
        <v>#N/A</v>
      </c>
      <c r="V34" s="1324" t="s">
        <v>62</v>
      </c>
      <c r="W34" s="1325" t="e">
        <f t="shared" si="12"/>
        <v>#N/A</v>
      </c>
      <c r="X34" s="1318"/>
      <c r="Y34" s="3701"/>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1"/>
      <c r="Q35" s="1323" t="str">
        <f t="shared" ref="Q35:Q40" si="14">B35</f>
        <v>宗地形状</v>
      </c>
      <c r="R35" s="1324" t="s">
        <v>62</v>
      </c>
      <c r="S35" s="1325">
        <f t="shared" si="10"/>
        <v>100</v>
      </c>
      <c r="T35" s="1324" t="s">
        <v>62</v>
      </c>
      <c r="U35" s="1325">
        <f t="shared" si="11"/>
        <v>100</v>
      </c>
      <c r="V35" s="1324" t="s">
        <v>62</v>
      </c>
      <c r="W35" s="1325">
        <f t="shared" si="12"/>
        <v>100</v>
      </c>
      <c r="X35" s="1318"/>
      <c r="Y35" s="3701"/>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1"/>
      <c r="Q36" s="1323" t="str">
        <f t="shared" si="14"/>
        <v>宗地开发程度</v>
      </c>
      <c r="R36" s="1319" t="s">
        <v>62</v>
      </c>
      <c r="S36" s="1320">
        <f t="shared" si="10"/>
        <v>100</v>
      </c>
      <c r="T36" s="1319" t="s">
        <v>62</v>
      </c>
      <c r="U36" s="1320">
        <f t="shared" si="11"/>
        <v>100</v>
      </c>
      <c r="V36" s="1319" t="s">
        <v>62</v>
      </c>
      <c r="W36" s="1320">
        <f t="shared" si="12"/>
        <v>100</v>
      </c>
      <c r="X36" s="1321"/>
      <c r="Y36" s="3701"/>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1" t="s">
        <v>517</v>
      </c>
      <c r="Q37" s="1323" t="str">
        <f t="shared" si="14"/>
        <v>工程地质条件</v>
      </c>
      <c r="R37" s="1324" t="s">
        <v>62</v>
      </c>
      <c r="S37" s="1325">
        <f t="shared" si="10"/>
        <v>100</v>
      </c>
      <c r="T37" s="1324" t="s">
        <v>62</v>
      </c>
      <c r="U37" s="1325">
        <f t="shared" si="11"/>
        <v>100</v>
      </c>
      <c r="V37" s="1324" t="s">
        <v>62</v>
      </c>
      <c r="W37" s="1325">
        <f t="shared" si="12"/>
        <v>100</v>
      </c>
      <c r="X37" s="1318"/>
      <c r="Y37" s="3701"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1"/>
      <c r="Q38" s="1323">
        <f t="shared" si="14"/>
        <v>111</v>
      </c>
      <c r="R38" s="1324" t="s">
        <v>62</v>
      </c>
      <c r="S38" s="1325">
        <f t="shared" si="10"/>
        <v>100</v>
      </c>
      <c r="T38" s="1324" t="s">
        <v>62</v>
      </c>
      <c r="U38" s="1325">
        <f t="shared" si="11"/>
        <v>100</v>
      </c>
      <c r="V38" s="1324" t="s">
        <v>62</v>
      </c>
      <c r="W38" s="1325">
        <f t="shared" si="12"/>
        <v>100</v>
      </c>
      <c r="X38" s="1318"/>
      <c r="Y38" s="370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1"/>
      <c r="Q39" s="1323">
        <f t="shared" si="14"/>
        <v>111</v>
      </c>
      <c r="R39" s="1324" t="s">
        <v>62</v>
      </c>
      <c r="S39" s="1325">
        <f t="shared" si="10"/>
        <v>100</v>
      </c>
      <c r="T39" s="1324" t="s">
        <v>62</v>
      </c>
      <c r="U39" s="1325">
        <f t="shared" si="11"/>
        <v>100</v>
      </c>
      <c r="V39" s="1324" t="s">
        <v>62</v>
      </c>
      <c r="W39" s="1325">
        <f t="shared" si="12"/>
        <v>100</v>
      </c>
      <c r="X39" s="1318"/>
      <c r="Y39" s="370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1"/>
      <c r="Q40" s="1323">
        <f t="shared" si="14"/>
        <v>111</v>
      </c>
      <c r="R40" s="1329" t="s">
        <v>62</v>
      </c>
      <c r="S40" s="1330">
        <f t="shared" si="10"/>
        <v>100</v>
      </c>
      <c r="T40" s="1329" t="s">
        <v>62</v>
      </c>
      <c r="U40" s="1330">
        <f t="shared" si="11"/>
        <v>100</v>
      </c>
      <c r="V40" s="1329" t="s">
        <v>62</v>
      </c>
      <c r="W40" s="1330">
        <f t="shared" si="12"/>
        <v>100</v>
      </c>
      <c r="X40" s="1331"/>
      <c r="Y40" s="3701"/>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83" t="str">
        <f>A41</f>
        <v>成交单价</v>
      </c>
      <c r="Q41" s="3683"/>
      <c r="R41" s="3696">
        <f>E41</f>
        <v>0</v>
      </c>
      <c r="S41" s="3696"/>
      <c r="T41" s="3696">
        <f>G41</f>
        <v>0</v>
      </c>
      <c r="U41" s="3696"/>
      <c r="V41" s="3696">
        <f>I41</f>
        <v>0</v>
      </c>
      <c r="W41" s="3696"/>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83" t="str">
        <f>A42</f>
        <v>比较价值（元/平方米）</v>
      </c>
      <c r="Q42" s="3683"/>
      <c r="R42" s="3706" t="e">
        <f>ROUND(PRODUCT(R41,AA7:AA40),0)</f>
        <v>#DIV/0!</v>
      </c>
      <c r="S42" s="3706"/>
      <c r="T42" s="3706" t="e">
        <f>ROUND(PRODUCT(T41,AB7:AB40),0)</f>
        <v>#DIV/0!</v>
      </c>
      <c r="U42" s="3706"/>
      <c r="V42" s="3706" t="e">
        <f>ROUND(PRODUCT(V41,AC7:AC40),0)</f>
        <v>#DIV/0!</v>
      </c>
      <c r="W42" s="3706"/>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703" t="str">
        <f>A43</f>
        <v>估价对象XX用房的比较价值（楼面单价，元/平方米）</v>
      </c>
      <c r="Q43" s="3704"/>
      <c r="R43" s="3707" t="e">
        <f>ROUND(AVERAGE(R42:V42),0)</f>
        <v>#DIV/0!</v>
      </c>
      <c r="S43" s="3707"/>
      <c r="T43" s="3707"/>
      <c r="U43" s="3707"/>
      <c r="V43" s="3707"/>
      <c r="W43" s="370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08" t="s">
        <v>2308</v>
      </c>
      <c r="H50" s="3709"/>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0"/>
      <c r="H51" s="3711"/>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2"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2"/>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2"/>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2"/>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3"/>
      <c r="B4" s="3734"/>
      <c r="C4" s="3734"/>
      <c r="D4" s="3735"/>
      <c r="E4" s="3735"/>
      <c r="F4" s="3735"/>
      <c r="G4" s="3735"/>
      <c r="H4" s="3735"/>
      <c r="I4" s="3735"/>
      <c r="J4" s="3736"/>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17"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18"/>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30" t="s">
        <v>2885</v>
      </c>
      <c r="X8" s="3731"/>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18"/>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32"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8"/>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3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8"/>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32"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17"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32"/>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37"/>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32"/>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37"/>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38"/>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17"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18"/>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27"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8"/>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8"/>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29"/>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36">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19" t="s">
        <v>1757</v>
      </c>
      <c r="B90" s="3719"/>
      <c r="C90" s="3719"/>
      <c r="D90" s="3719"/>
      <c r="E90" s="3719"/>
      <c r="F90" s="3719"/>
      <c r="G90" s="3719"/>
      <c r="H90" s="3719"/>
      <c r="I90" s="3719"/>
      <c r="J90" s="3719"/>
      <c r="K90" s="2608"/>
      <c r="L90" s="2608"/>
      <c r="M90" s="2608"/>
      <c r="N90" s="2608"/>
    </row>
    <row r="91" spans="1:37">
      <c r="A91" s="3721" t="s">
        <v>65</v>
      </c>
      <c r="B91" s="3721" t="s">
        <v>1758</v>
      </c>
      <c r="C91" s="1587" t="s">
        <v>1759</v>
      </c>
      <c r="D91" s="1588"/>
      <c r="E91" s="1588"/>
      <c r="F91" s="1588"/>
      <c r="G91" s="1588"/>
      <c r="H91" s="1588"/>
      <c r="I91" s="1588"/>
      <c r="J91" s="1589"/>
      <c r="K91" s="1577"/>
      <c r="L91" s="1577"/>
      <c r="M91" s="1577"/>
      <c r="N91" s="1577"/>
    </row>
    <row r="92" spans="1:37">
      <c r="A92" s="3721"/>
      <c r="B92" s="3721"/>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22"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3"/>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4"/>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2"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23"/>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23"/>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23"/>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23"/>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23"/>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23"/>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23"/>
      <c r="B108" s="3725"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4"/>
      <c r="B109" s="3726"/>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20" t="s">
        <v>1765</v>
      </c>
      <c r="B110" s="3720"/>
      <c r="C110" s="3720"/>
      <c r="D110" s="3720"/>
      <c r="E110" s="3720"/>
      <c r="F110" s="3720"/>
      <c r="G110" s="3720"/>
      <c r="H110" s="3720"/>
      <c r="I110" s="3720"/>
      <c r="J110" s="3720"/>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21" t="s">
        <v>1194</v>
      </c>
      <c r="B18" s="1573" t="s">
        <v>1571</v>
      </c>
      <c r="C18" s="1574" t="s">
        <v>1572</v>
      </c>
      <c r="D18" s="1575"/>
      <c r="E18" s="1573">
        <v>1</v>
      </c>
      <c r="F18" s="1576" t="s">
        <v>1573</v>
      </c>
      <c r="G18" s="1577"/>
      <c r="H18" s="1569"/>
      <c r="I18" s="1569"/>
    </row>
    <row r="19" spans="1:9" s="1578" customFormat="1" ht="19.5" customHeight="1">
      <c r="A19" s="3721"/>
      <c r="B19" s="3721" t="s">
        <v>1574</v>
      </c>
      <c r="C19" s="1574" t="s">
        <v>1575</v>
      </c>
      <c r="D19" s="1575"/>
      <c r="E19" s="1573">
        <v>0.9</v>
      </c>
      <c r="F19" s="1576" t="s">
        <v>1576</v>
      </c>
      <c r="G19" s="1577"/>
      <c r="H19" s="1569"/>
      <c r="I19" s="1569"/>
    </row>
    <row r="20" spans="1:9" s="1578" customFormat="1" ht="19.5" customHeight="1">
      <c r="A20" s="3721"/>
      <c r="B20" s="3721"/>
      <c r="C20" s="1574" t="s">
        <v>1577</v>
      </c>
      <c r="D20" s="1575"/>
      <c r="E20" s="1573">
        <v>1.1000000000000001</v>
      </c>
      <c r="F20" s="1576" t="s">
        <v>1578</v>
      </c>
      <c r="G20" s="1577"/>
      <c r="H20" s="1569"/>
      <c r="I20" s="1569"/>
    </row>
    <row r="21" spans="1:9" s="1578" customFormat="1" ht="19.5" customHeight="1">
      <c r="A21" s="3721"/>
      <c r="B21" s="3721"/>
      <c r="C21" s="1574" t="s">
        <v>1579</v>
      </c>
      <c r="D21" s="1575"/>
      <c r="E21" s="1573">
        <v>0.8</v>
      </c>
      <c r="F21" s="1576" t="s">
        <v>1580</v>
      </c>
      <c r="G21" s="1577"/>
      <c r="H21" s="1569"/>
      <c r="I21" s="1569"/>
    </row>
    <row r="22" spans="1:9" s="1578" customFormat="1" ht="19.5" customHeight="1">
      <c r="A22" s="3721"/>
      <c r="B22" s="3721"/>
      <c r="C22" s="1574" t="s">
        <v>1581</v>
      </c>
      <c r="D22" s="1575"/>
      <c r="E22" s="1573">
        <v>0.5</v>
      </c>
      <c r="F22" s="1576"/>
      <c r="G22" s="1577"/>
      <c r="H22" s="1569"/>
      <c r="I22" s="1569"/>
    </row>
    <row r="23" spans="1:9" s="1578" customFormat="1" ht="19.5" customHeight="1">
      <c r="A23" s="3721" t="s">
        <v>1195</v>
      </c>
      <c r="B23" s="1573" t="s">
        <v>1571</v>
      </c>
      <c r="C23" s="1574" t="s">
        <v>1582</v>
      </c>
      <c r="D23" s="1575"/>
      <c r="E23" s="1573">
        <v>1</v>
      </c>
      <c r="F23" s="1576" t="s">
        <v>1583</v>
      </c>
      <c r="G23" s="1577"/>
      <c r="H23" s="1569"/>
      <c r="I23" s="1569"/>
    </row>
    <row r="24" spans="1:9" s="1578" customFormat="1" ht="19.5" customHeight="1">
      <c r="A24" s="3721"/>
      <c r="B24" s="3721" t="s">
        <v>1574</v>
      </c>
      <c r="C24" s="1574" t="s">
        <v>1584</v>
      </c>
      <c r="D24" s="1575"/>
      <c r="E24" s="1573">
        <v>0.5</v>
      </c>
      <c r="F24" s="1576"/>
      <c r="G24" s="1577"/>
      <c r="H24" s="1569"/>
      <c r="I24" s="1569"/>
    </row>
    <row r="25" spans="1:9" s="1578" customFormat="1" ht="19.5" customHeight="1">
      <c r="A25" s="3721"/>
      <c r="B25" s="3721"/>
      <c r="C25" s="1574" t="s">
        <v>1585</v>
      </c>
      <c r="D25" s="1575"/>
      <c r="E25" s="1573">
        <v>1.1000000000000001</v>
      </c>
      <c r="F25" s="1576"/>
      <c r="G25" s="1577"/>
      <c r="H25" s="1569"/>
      <c r="I25" s="1569"/>
    </row>
    <row r="26" spans="1:9" s="1578" customFormat="1" ht="19.5" customHeight="1">
      <c r="A26" s="3721"/>
      <c r="B26" s="3721"/>
      <c r="C26" s="1574" t="s">
        <v>1586</v>
      </c>
      <c r="D26" s="1575"/>
      <c r="E26" s="1573">
        <v>1.1000000000000001</v>
      </c>
      <c r="F26" s="1576"/>
      <c r="G26" s="1577"/>
      <c r="H26" s="1569"/>
      <c r="I26" s="1569"/>
    </row>
    <row r="27" spans="1:9" s="1578" customFormat="1" ht="19.5" customHeight="1">
      <c r="A27" s="3721"/>
      <c r="B27" s="3721"/>
      <c r="C27" s="1574" t="s">
        <v>1587</v>
      </c>
      <c r="D27" s="1575"/>
      <c r="E27" s="1573">
        <v>0.9</v>
      </c>
      <c r="F27" s="1576" t="s">
        <v>1588</v>
      </c>
      <c r="G27" s="1577"/>
      <c r="H27" s="1569"/>
      <c r="I27" s="1569"/>
    </row>
    <row r="28" spans="1:9" s="1578" customFormat="1" ht="19.5" customHeight="1">
      <c r="A28" s="3721"/>
      <c r="B28" s="3721"/>
      <c r="C28" s="1574" t="s">
        <v>1589</v>
      </c>
      <c r="D28" s="1575"/>
      <c r="E28" s="1573">
        <v>0.9</v>
      </c>
      <c r="F28" s="1576" t="s">
        <v>1590</v>
      </c>
      <c r="G28" s="1577"/>
      <c r="H28" s="1569"/>
      <c r="I28" s="1569"/>
    </row>
    <row r="29" spans="1:9" s="1578" customFormat="1" ht="19.5" customHeight="1">
      <c r="A29" s="3721"/>
      <c r="B29" s="3721"/>
      <c r="C29" s="1574" t="s">
        <v>1591</v>
      </c>
      <c r="D29" s="1575"/>
      <c r="E29" s="1573">
        <v>0.9</v>
      </c>
      <c r="F29" s="1576" t="s">
        <v>1592</v>
      </c>
      <c r="G29" s="1577"/>
      <c r="H29" s="1569"/>
      <c r="I29" s="1569"/>
    </row>
    <row r="30" spans="1:9" s="1578" customFormat="1" ht="19.5" customHeight="1">
      <c r="A30" s="3721"/>
      <c r="B30" s="3721"/>
      <c r="C30" s="1574" t="s">
        <v>1593</v>
      </c>
      <c r="D30" s="1575"/>
      <c r="E30" s="1573">
        <v>0.9</v>
      </c>
      <c r="F30" s="1576" t="s">
        <v>1594</v>
      </c>
      <c r="G30" s="1577"/>
      <c r="H30" s="1569"/>
      <c r="I30" s="1569"/>
    </row>
    <row r="31" spans="1:9" s="1578" customFormat="1" ht="19.5" customHeight="1">
      <c r="A31" s="3721"/>
      <c r="B31" s="3721"/>
      <c r="C31" s="1574" t="s">
        <v>1595</v>
      </c>
      <c r="D31" s="1575"/>
      <c r="E31" s="1573">
        <v>0.8</v>
      </c>
      <c r="F31" s="1576" t="s">
        <v>1596</v>
      </c>
      <c r="G31" s="1577"/>
      <c r="H31" s="1569"/>
      <c r="I31" s="1569"/>
    </row>
    <row r="32" spans="1:9" s="1578" customFormat="1" ht="19.5" customHeight="1">
      <c r="A32" s="3721"/>
      <c r="B32" s="3721"/>
      <c r="C32" s="1574" t="s">
        <v>1597</v>
      </c>
      <c r="D32" s="1575"/>
      <c r="E32" s="1573">
        <v>0.8</v>
      </c>
      <c r="F32" s="1576" t="s">
        <v>1598</v>
      </c>
      <c r="G32" s="1577"/>
      <c r="H32" s="1569"/>
      <c r="I32" s="1569"/>
    </row>
    <row r="33" spans="1:9" s="1578" customFormat="1" ht="19.5" customHeight="1">
      <c r="A33" s="3721" t="s">
        <v>1196</v>
      </c>
      <c r="B33" s="1573" t="s">
        <v>1571</v>
      </c>
      <c r="C33" s="1574" t="s">
        <v>1599</v>
      </c>
      <c r="D33" s="1575"/>
      <c r="E33" s="1573">
        <v>1</v>
      </c>
      <c r="F33" s="1576" t="s">
        <v>1600</v>
      </c>
      <c r="G33" s="1577"/>
      <c r="H33" s="1569"/>
      <c r="I33" s="1569"/>
    </row>
    <row r="34" spans="1:9" s="1578" customFormat="1" ht="19.5" customHeight="1">
      <c r="A34" s="3721"/>
      <c r="B34" s="1573" t="s">
        <v>1574</v>
      </c>
      <c r="C34" s="1574" t="s">
        <v>1601</v>
      </c>
      <c r="D34" s="1575"/>
      <c r="E34" s="1573">
        <v>1.5</v>
      </c>
      <c r="F34" s="1576" t="s">
        <v>1602</v>
      </c>
      <c r="G34" s="1577"/>
      <c r="H34" s="1569"/>
      <c r="I34" s="1569"/>
    </row>
    <row r="35" spans="1:9" s="1578" customFormat="1" ht="19.5" customHeight="1">
      <c r="A35" s="3721" t="s">
        <v>1197</v>
      </c>
      <c r="B35" s="1573" t="s">
        <v>1571</v>
      </c>
      <c r="C35" s="1574" t="s">
        <v>1603</v>
      </c>
      <c r="D35" s="1575"/>
      <c r="E35" s="1573">
        <v>1</v>
      </c>
      <c r="F35" s="1576" t="s">
        <v>1604</v>
      </c>
      <c r="G35" s="1577"/>
      <c r="H35" s="1569"/>
      <c r="I35" s="1569"/>
    </row>
    <row r="36" spans="1:9" s="1578" customFormat="1" ht="19.5" customHeight="1">
      <c r="A36" s="3721"/>
      <c r="B36" s="3721" t="s">
        <v>1574</v>
      </c>
      <c r="C36" s="1574" t="s">
        <v>1605</v>
      </c>
      <c r="D36" s="1575"/>
      <c r="E36" s="1573">
        <v>1</v>
      </c>
      <c r="F36" s="1576" t="s">
        <v>1606</v>
      </c>
      <c r="G36" s="1577"/>
      <c r="H36" s="1569"/>
      <c r="I36" s="1569"/>
    </row>
    <row r="37" spans="1:9" s="1578" customFormat="1" ht="19.5" customHeight="1">
      <c r="A37" s="3721"/>
      <c r="B37" s="3721"/>
      <c r="C37" s="1574" t="s">
        <v>1607</v>
      </c>
      <c r="D37" s="1575"/>
      <c r="E37" s="1573">
        <v>1.5</v>
      </c>
      <c r="F37" s="1576" t="s">
        <v>1608</v>
      </c>
      <c r="G37" s="1577"/>
      <c r="H37" s="1569"/>
      <c r="I37" s="1569"/>
    </row>
    <row r="38" spans="1:9" s="1578" customFormat="1" ht="19.5" customHeight="1">
      <c r="A38" s="3721"/>
      <c r="B38" s="3721"/>
      <c r="C38" s="1574" t="s">
        <v>1609</v>
      </c>
      <c r="D38" s="1575"/>
      <c r="E38" s="1573">
        <v>1</v>
      </c>
      <c r="F38" s="1576" t="s">
        <v>1610</v>
      </c>
      <c r="G38" s="1577"/>
      <c r="H38" s="1569"/>
      <c r="I38" s="1569"/>
    </row>
    <row r="39" spans="1:9" s="1578" customFormat="1" ht="19.5" customHeight="1">
      <c r="A39" s="3721"/>
      <c r="B39" s="3721"/>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21" t="s">
        <v>1625</v>
      </c>
      <c r="C61" s="1499" t="s">
        <v>1626</v>
      </c>
      <c r="D61" s="1499" t="s">
        <v>1627</v>
      </c>
      <c r="E61" s="1586">
        <v>0.5</v>
      </c>
      <c r="F61" s="1573">
        <v>80</v>
      </c>
    </row>
    <row r="62" spans="1:8" s="1569" customFormat="1" ht="24">
      <c r="A62" s="1573">
        <v>2</v>
      </c>
      <c r="B62" s="3721"/>
      <c r="C62" s="1499" t="s">
        <v>1628</v>
      </c>
      <c r="D62" s="1499" t="s">
        <v>1629</v>
      </c>
      <c r="E62" s="1586">
        <v>0.5</v>
      </c>
      <c r="F62" s="1573">
        <v>80</v>
      </c>
    </row>
    <row r="63" spans="1:8" s="1569" customFormat="1" ht="36">
      <c r="A63" s="1573">
        <v>3</v>
      </c>
      <c r="B63" s="3721"/>
      <c r="C63" s="1499" t="s">
        <v>1630</v>
      </c>
      <c r="D63" s="1499" t="s">
        <v>1631</v>
      </c>
      <c r="E63" s="1586">
        <v>0.5</v>
      </c>
      <c r="F63" s="1573">
        <v>80</v>
      </c>
    </row>
    <row r="64" spans="1:8" s="1569" customFormat="1" ht="36">
      <c r="A64" s="1573">
        <v>4</v>
      </c>
      <c r="B64" s="3721"/>
      <c r="C64" s="1499" t="s">
        <v>1632</v>
      </c>
      <c r="D64" s="1499" t="s">
        <v>1633</v>
      </c>
      <c r="E64" s="1586">
        <v>0.4</v>
      </c>
      <c r="F64" s="1573">
        <v>60</v>
      </c>
    </row>
    <row r="65" spans="1:6" s="1569" customFormat="1" ht="36">
      <c r="A65" s="1573">
        <v>5</v>
      </c>
      <c r="B65" s="3721"/>
      <c r="C65" s="1499" t="s">
        <v>1634</v>
      </c>
      <c r="D65" s="1499" t="s">
        <v>1635</v>
      </c>
      <c r="E65" s="1586">
        <v>0.2</v>
      </c>
      <c r="F65" s="1573">
        <v>30</v>
      </c>
    </row>
    <row r="66" spans="1:6" s="1569" customFormat="1" ht="36">
      <c r="A66" s="1573">
        <v>6</v>
      </c>
      <c r="B66" s="3721"/>
      <c r="C66" s="1499" t="s">
        <v>1636</v>
      </c>
      <c r="D66" s="1499" t="s">
        <v>1637</v>
      </c>
      <c r="E66" s="1586">
        <v>0.3</v>
      </c>
      <c r="F66" s="1573">
        <v>50</v>
      </c>
    </row>
    <row r="67" spans="1:6" s="1569" customFormat="1" ht="36">
      <c r="A67" s="1573">
        <v>7</v>
      </c>
      <c r="B67" s="3721"/>
      <c r="C67" s="1499" t="s">
        <v>1638</v>
      </c>
      <c r="D67" s="1499" t="s">
        <v>1639</v>
      </c>
      <c r="E67" s="1586">
        <v>0.2</v>
      </c>
      <c r="F67" s="1573">
        <v>30</v>
      </c>
    </row>
    <row r="68" spans="1:6" s="1569" customFormat="1" ht="36">
      <c r="A68" s="1573">
        <v>8</v>
      </c>
      <c r="B68" s="3721"/>
      <c r="C68" s="1499" t="s">
        <v>1640</v>
      </c>
      <c r="D68" s="1499" t="s">
        <v>1641</v>
      </c>
      <c r="E68" s="1586">
        <v>0.2</v>
      </c>
      <c r="F68" s="1573">
        <v>30</v>
      </c>
    </row>
    <row r="69" spans="1:6" s="1569" customFormat="1" ht="36">
      <c r="A69" s="1573">
        <v>9</v>
      </c>
      <c r="B69" s="3721"/>
      <c r="C69" s="1499" t="s">
        <v>1642</v>
      </c>
      <c r="D69" s="1499" t="s">
        <v>1643</v>
      </c>
      <c r="E69" s="1586">
        <v>0.2</v>
      </c>
      <c r="F69" s="1573">
        <v>30</v>
      </c>
    </row>
    <row r="70" spans="1:6" s="1569" customFormat="1" ht="48">
      <c r="A70" s="1573">
        <v>10</v>
      </c>
      <c r="B70" s="3721"/>
      <c r="C70" s="1499" t="s">
        <v>1644</v>
      </c>
      <c r="D70" s="1499" t="s">
        <v>1645</v>
      </c>
      <c r="E70" s="1586">
        <v>0.2</v>
      </c>
      <c r="F70" s="1573">
        <v>30</v>
      </c>
    </row>
    <row r="71" spans="1:6" s="1569" customFormat="1" ht="48">
      <c r="A71" s="1573">
        <v>11</v>
      </c>
      <c r="B71" s="3721"/>
      <c r="C71" s="1499" t="s">
        <v>1646</v>
      </c>
      <c r="D71" s="1499" t="s">
        <v>1647</v>
      </c>
      <c r="E71" s="1586">
        <v>0.2</v>
      </c>
      <c r="F71" s="1573">
        <v>30</v>
      </c>
    </row>
    <row r="72" spans="1:6" s="1569" customFormat="1" ht="36">
      <c r="A72" s="1573">
        <v>12</v>
      </c>
      <c r="B72" s="3721"/>
      <c r="C72" s="1499" t="s">
        <v>1648</v>
      </c>
      <c r="D72" s="1499" t="s">
        <v>1649</v>
      </c>
      <c r="E72" s="1586">
        <v>0.5</v>
      </c>
      <c r="F72" s="1573">
        <v>80</v>
      </c>
    </row>
    <row r="73" spans="1:6" s="1569" customFormat="1" ht="24">
      <c r="A73" s="1573">
        <v>13</v>
      </c>
      <c r="B73" s="3721"/>
      <c r="C73" s="1499" t="s">
        <v>1650</v>
      </c>
      <c r="D73" s="1499" t="s">
        <v>1651</v>
      </c>
      <c r="E73" s="1586">
        <v>0.4</v>
      </c>
      <c r="F73" s="1573">
        <v>60</v>
      </c>
    </row>
    <row r="74" spans="1:6" s="1569" customFormat="1" ht="24">
      <c r="A74" s="1573">
        <v>14</v>
      </c>
      <c r="B74" s="3721"/>
      <c r="C74" s="1499" t="s">
        <v>1652</v>
      </c>
      <c r="D74" s="1499" t="s">
        <v>1653</v>
      </c>
      <c r="E74" s="1586">
        <v>0.2</v>
      </c>
      <c r="F74" s="1573">
        <v>30</v>
      </c>
    </row>
    <row r="75" spans="1:6" s="1569" customFormat="1" ht="24">
      <c r="A75" s="1573">
        <v>15</v>
      </c>
      <c r="B75" s="3721"/>
      <c r="C75" s="1499" t="s">
        <v>1654</v>
      </c>
      <c r="D75" s="1499" t="s">
        <v>1655</v>
      </c>
      <c r="E75" s="1586">
        <v>0.2</v>
      </c>
      <c r="F75" s="1573">
        <v>30</v>
      </c>
    </row>
    <row r="76" spans="1:6" s="1569" customFormat="1" ht="24">
      <c r="A76" s="1573">
        <v>16</v>
      </c>
      <c r="B76" s="3721" t="s">
        <v>1656</v>
      </c>
      <c r="C76" s="1499" t="s">
        <v>1657</v>
      </c>
      <c r="D76" s="1499" t="s">
        <v>1658</v>
      </c>
      <c r="E76" s="1586">
        <v>0.5</v>
      </c>
      <c r="F76" s="1573">
        <v>80</v>
      </c>
    </row>
    <row r="77" spans="1:6" s="1569" customFormat="1" ht="24">
      <c r="A77" s="1573">
        <v>17</v>
      </c>
      <c r="B77" s="3721"/>
      <c r="C77" s="1499" t="s">
        <v>1659</v>
      </c>
      <c r="D77" s="1499" t="s">
        <v>1660</v>
      </c>
      <c r="E77" s="1586">
        <v>0.5</v>
      </c>
      <c r="F77" s="1573">
        <v>80</v>
      </c>
    </row>
    <row r="78" spans="1:6" s="1569" customFormat="1" ht="24">
      <c r="A78" s="1573">
        <v>18</v>
      </c>
      <c r="B78" s="3721"/>
      <c r="C78" s="1499" t="s">
        <v>1661</v>
      </c>
      <c r="D78" s="1499" t="s">
        <v>1662</v>
      </c>
      <c r="E78" s="1586">
        <v>0.2</v>
      </c>
      <c r="F78" s="1573">
        <v>30</v>
      </c>
    </row>
    <row r="79" spans="1:6" s="1569" customFormat="1" ht="24">
      <c r="A79" s="1573">
        <v>19</v>
      </c>
      <c r="B79" s="3721"/>
      <c r="C79" s="1499" t="s">
        <v>1663</v>
      </c>
      <c r="D79" s="1499" t="s">
        <v>1664</v>
      </c>
      <c r="E79" s="1586">
        <v>0.5</v>
      </c>
      <c r="F79" s="1573">
        <v>80</v>
      </c>
    </row>
    <row r="80" spans="1:6" s="1569" customFormat="1" ht="36">
      <c r="A80" s="1573">
        <v>20</v>
      </c>
      <c r="B80" s="3721"/>
      <c r="C80" s="1499" t="s">
        <v>1665</v>
      </c>
      <c r="D80" s="1499" t="s">
        <v>1666</v>
      </c>
      <c r="E80" s="1586">
        <v>0.2</v>
      </c>
      <c r="F80" s="1573">
        <v>30</v>
      </c>
    </row>
    <row r="81" spans="1:6" s="1569" customFormat="1" ht="36">
      <c r="A81" s="1573">
        <v>21</v>
      </c>
      <c r="B81" s="3721"/>
      <c r="C81" s="1499" t="s">
        <v>1667</v>
      </c>
      <c r="D81" s="1499" t="s">
        <v>1668</v>
      </c>
      <c r="E81" s="1586">
        <v>0.2</v>
      </c>
      <c r="F81" s="1573">
        <v>30</v>
      </c>
    </row>
    <row r="82" spans="1:6" s="1569" customFormat="1" ht="48">
      <c r="A82" s="1573">
        <v>22</v>
      </c>
      <c r="B82" s="3721"/>
      <c r="C82" s="1499" t="s">
        <v>1669</v>
      </c>
      <c r="D82" s="1499" t="s">
        <v>1670</v>
      </c>
      <c r="E82" s="1586">
        <v>0.2</v>
      </c>
      <c r="F82" s="1573">
        <v>30</v>
      </c>
    </row>
    <row r="83" spans="1:6" s="1569" customFormat="1" ht="48">
      <c r="A83" s="1573">
        <v>23</v>
      </c>
      <c r="B83" s="3721"/>
      <c r="C83" s="1499" t="s">
        <v>1671</v>
      </c>
      <c r="D83" s="1499" t="s">
        <v>1672</v>
      </c>
      <c r="E83" s="1586">
        <v>0.2</v>
      </c>
      <c r="F83" s="1573">
        <v>30</v>
      </c>
    </row>
    <row r="84" spans="1:6" s="1569" customFormat="1" ht="36">
      <c r="A84" s="1573">
        <v>24</v>
      </c>
      <c r="B84" s="3721"/>
      <c r="C84" s="1499" t="s">
        <v>1673</v>
      </c>
      <c r="D84" s="1499" t="s">
        <v>1674</v>
      </c>
      <c r="E84" s="1586">
        <v>0.2</v>
      </c>
      <c r="F84" s="1573">
        <v>30</v>
      </c>
    </row>
    <row r="85" spans="1:6" s="1569" customFormat="1" ht="36">
      <c r="A85" s="1573">
        <v>25</v>
      </c>
      <c r="B85" s="3721"/>
      <c r="C85" s="1499" t="s">
        <v>1675</v>
      </c>
      <c r="D85" s="1499" t="s">
        <v>1676</v>
      </c>
      <c r="E85" s="1586">
        <v>0.5</v>
      </c>
      <c r="F85" s="1573">
        <v>80</v>
      </c>
    </row>
    <row r="86" spans="1:6" s="1569" customFormat="1" ht="36">
      <c r="A86" s="1573">
        <v>26</v>
      </c>
      <c r="B86" s="3721"/>
      <c r="C86" s="1499" t="s">
        <v>1677</v>
      </c>
      <c r="D86" s="1499" t="s">
        <v>1678</v>
      </c>
      <c r="E86" s="1586">
        <v>0.2</v>
      </c>
      <c r="F86" s="1573">
        <v>30</v>
      </c>
    </row>
    <row r="87" spans="1:6" s="1569" customFormat="1" ht="36">
      <c r="A87" s="1573">
        <v>27</v>
      </c>
      <c r="B87" s="3721"/>
      <c r="C87" s="1499" t="s">
        <v>1679</v>
      </c>
      <c r="D87" s="1499" t="s">
        <v>1680</v>
      </c>
      <c r="E87" s="1586">
        <v>0.2</v>
      </c>
      <c r="F87" s="1573">
        <v>30</v>
      </c>
    </row>
    <row r="88" spans="1:6" s="1569" customFormat="1" ht="36">
      <c r="A88" s="1573">
        <v>28</v>
      </c>
      <c r="B88" s="3721"/>
      <c r="C88" s="1499" t="s">
        <v>1681</v>
      </c>
      <c r="D88" s="1499" t="s">
        <v>1682</v>
      </c>
      <c r="E88" s="1586">
        <v>0.2</v>
      </c>
      <c r="F88" s="1573">
        <v>30</v>
      </c>
    </row>
    <row r="89" spans="1:6" s="1569" customFormat="1" ht="24">
      <c r="A89" s="1573">
        <v>29</v>
      </c>
      <c r="B89" s="3721"/>
      <c r="C89" s="1499" t="s">
        <v>1683</v>
      </c>
      <c r="D89" s="1499" t="s">
        <v>1684</v>
      </c>
      <c r="E89" s="1586">
        <v>0.2</v>
      </c>
      <c r="F89" s="1573">
        <v>30</v>
      </c>
    </row>
    <row r="90" spans="1:6" s="1569" customFormat="1" ht="24">
      <c r="A90" s="1573">
        <v>30</v>
      </c>
      <c r="B90" s="3721"/>
      <c r="C90" s="1499" t="s">
        <v>1685</v>
      </c>
      <c r="D90" s="1499" t="s">
        <v>1686</v>
      </c>
      <c r="E90" s="1586">
        <v>0.2</v>
      </c>
      <c r="F90" s="1573">
        <v>30</v>
      </c>
    </row>
    <row r="91" spans="1:6" s="1569" customFormat="1" ht="36">
      <c r="A91" s="1573">
        <v>31</v>
      </c>
      <c r="B91" s="3721"/>
      <c r="C91" s="1499" t="s">
        <v>1687</v>
      </c>
      <c r="D91" s="1499" t="s">
        <v>1688</v>
      </c>
      <c r="E91" s="1586">
        <v>0.2</v>
      </c>
      <c r="F91" s="1573">
        <v>30</v>
      </c>
    </row>
    <row r="92" spans="1:6" s="1569" customFormat="1" ht="24">
      <c r="A92" s="1573">
        <v>32</v>
      </c>
      <c r="B92" s="3721" t="s">
        <v>1689</v>
      </c>
      <c r="C92" s="1573" t="s">
        <v>1690</v>
      </c>
      <c r="D92" s="1499" t="s">
        <v>1691</v>
      </c>
      <c r="E92" s="1586">
        <v>0.2</v>
      </c>
      <c r="F92" s="1573">
        <v>30</v>
      </c>
    </row>
    <row r="93" spans="1:6" s="1569" customFormat="1" ht="36">
      <c r="A93" s="1573">
        <v>33</v>
      </c>
      <c r="B93" s="3721"/>
      <c r="C93" s="1573" t="s">
        <v>1692</v>
      </c>
      <c r="D93" s="1499" t="s">
        <v>1693</v>
      </c>
      <c r="E93" s="1586">
        <v>0.2</v>
      </c>
      <c r="F93" s="1573">
        <v>30</v>
      </c>
    </row>
    <row r="94" spans="1:6" s="1569" customFormat="1" ht="48">
      <c r="A94" s="1573">
        <v>34</v>
      </c>
      <c r="B94" s="3721"/>
      <c r="C94" s="1573" t="s">
        <v>1694</v>
      </c>
      <c r="D94" s="1499" t="s">
        <v>1695</v>
      </c>
      <c r="E94" s="1586">
        <v>0.2</v>
      </c>
      <c r="F94" s="1573">
        <v>30</v>
      </c>
    </row>
    <row r="95" spans="1:6" s="1569" customFormat="1" ht="36">
      <c r="A95" s="1573">
        <v>35</v>
      </c>
      <c r="B95" s="3721"/>
      <c r="C95" s="1573" t="s">
        <v>1696</v>
      </c>
      <c r="D95" s="1499" t="s">
        <v>1697</v>
      </c>
      <c r="E95" s="1586">
        <v>0.2</v>
      </c>
      <c r="F95" s="1573">
        <v>30</v>
      </c>
    </row>
    <row r="96" spans="1:6" s="1569" customFormat="1" ht="48">
      <c r="A96" s="1573">
        <v>36</v>
      </c>
      <c r="B96" s="3721"/>
      <c r="C96" s="1499" t="s">
        <v>1698</v>
      </c>
      <c r="D96" s="1499" t="s">
        <v>1699</v>
      </c>
      <c r="E96" s="1586">
        <v>0.2</v>
      </c>
      <c r="F96" s="1573">
        <v>30</v>
      </c>
    </row>
    <row r="97" spans="1:6" s="1569" customFormat="1" ht="36">
      <c r="A97" s="1573">
        <v>37</v>
      </c>
      <c r="B97" s="3721"/>
      <c r="C97" s="1573" t="s">
        <v>1700</v>
      </c>
      <c r="D97" s="1499" t="s">
        <v>1701</v>
      </c>
      <c r="E97" s="1586">
        <v>0.2</v>
      </c>
      <c r="F97" s="1573">
        <v>30</v>
      </c>
    </row>
    <row r="98" spans="1:6" s="1569" customFormat="1" ht="36">
      <c r="A98" s="1573">
        <v>38</v>
      </c>
      <c r="B98" s="3721"/>
      <c r="C98" s="1573" t="s">
        <v>1702</v>
      </c>
      <c r="D98" s="1499" t="s">
        <v>1703</v>
      </c>
      <c r="E98" s="1586">
        <v>0.2</v>
      </c>
      <c r="F98" s="1573">
        <v>30</v>
      </c>
    </row>
    <row r="99" spans="1:6" s="1569" customFormat="1" ht="36">
      <c r="A99" s="1573">
        <v>39</v>
      </c>
      <c r="B99" s="3721" t="s">
        <v>1704</v>
      </c>
      <c r="C99" s="1573" t="s">
        <v>1705</v>
      </c>
      <c r="D99" s="1499" t="s">
        <v>1706</v>
      </c>
      <c r="E99" s="1586">
        <v>0.3</v>
      </c>
      <c r="F99" s="1573">
        <v>50</v>
      </c>
    </row>
    <row r="100" spans="1:6" s="1569" customFormat="1" ht="24">
      <c r="A100" s="1573">
        <v>40</v>
      </c>
      <c r="B100" s="3721"/>
      <c r="C100" s="1573" t="s">
        <v>1707</v>
      </c>
      <c r="D100" s="1499" t="s">
        <v>1708</v>
      </c>
      <c r="E100" s="1586">
        <v>0.2</v>
      </c>
      <c r="F100" s="1573">
        <v>30</v>
      </c>
    </row>
    <row r="101" spans="1:6" s="1569" customFormat="1" ht="36">
      <c r="A101" s="1573">
        <v>41</v>
      </c>
      <c r="B101" s="3721"/>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21" t="s">
        <v>1719</v>
      </c>
      <c r="C105" s="1573" t="s">
        <v>1720</v>
      </c>
      <c r="D105" s="1499" t="s">
        <v>1721</v>
      </c>
      <c r="E105" s="1586">
        <v>0.2</v>
      </c>
      <c r="F105" s="1573">
        <v>30</v>
      </c>
    </row>
    <row r="106" spans="1:6" s="1569" customFormat="1" ht="36">
      <c r="A106" s="1573">
        <v>46</v>
      </c>
      <c r="B106" s="3721"/>
      <c r="C106" s="1573" t="s">
        <v>1722</v>
      </c>
      <c r="D106" s="1499" t="s">
        <v>1723</v>
      </c>
      <c r="E106" s="1586">
        <v>0.2</v>
      </c>
      <c r="F106" s="1573">
        <v>30</v>
      </c>
    </row>
    <row r="107" spans="1:6" s="1569" customFormat="1" ht="36">
      <c r="A107" s="1573">
        <v>47</v>
      </c>
      <c r="B107" s="3721" t="s">
        <v>1724</v>
      </c>
      <c r="C107" s="1573" t="s">
        <v>1725</v>
      </c>
      <c r="D107" s="1499" t="s">
        <v>1726</v>
      </c>
      <c r="E107" s="1586">
        <v>0.3</v>
      </c>
      <c r="F107" s="1573">
        <v>50</v>
      </c>
    </row>
    <row r="108" spans="1:6" s="1569" customFormat="1" ht="36">
      <c r="A108" s="1573">
        <v>48</v>
      </c>
      <c r="B108" s="3721"/>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21" t="s">
        <v>1735</v>
      </c>
      <c r="C111" s="1573" t="s">
        <v>1736</v>
      </c>
      <c r="D111" s="1499" t="s">
        <v>1737</v>
      </c>
      <c r="E111" s="1586">
        <v>0.2</v>
      </c>
      <c r="F111" s="1573">
        <v>30</v>
      </c>
    </row>
    <row r="112" spans="1:6" s="1569" customFormat="1" ht="24">
      <c r="A112" s="1573">
        <v>52</v>
      </c>
      <c r="B112" s="3721"/>
      <c r="C112" s="1573" t="s">
        <v>1738</v>
      </c>
      <c r="D112" s="1499" t="s">
        <v>1739</v>
      </c>
      <c r="E112" s="1586">
        <v>0.2</v>
      </c>
      <c r="F112" s="1573">
        <v>30</v>
      </c>
    </row>
    <row r="113" spans="1:6" s="1569" customFormat="1" ht="24">
      <c r="A113" s="1573">
        <v>53</v>
      </c>
      <c r="B113" s="3721"/>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21" t="s">
        <v>1748</v>
      </c>
      <c r="C116" s="1573" t="s">
        <v>1749</v>
      </c>
      <c r="D116" s="1499" t="s">
        <v>1750</v>
      </c>
      <c r="E116" s="1586">
        <v>0.2</v>
      </c>
      <c r="F116" s="1573">
        <v>30</v>
      </c>
    </row>
    <row r="117" spans="1:6" ht="36">
      <c r="A117" s="1573">
        <v>57</v>
      </c>
      <c r="B117" s="3721"/>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4" t="s">
        <v>2702</v>
      </c>
      <c r="C1" s="3744"/>
      <c r="D1" s="3744"/>
      <c r="E1" s="3744"/>
      <c r="F1" s="3744"/>
      <c r="G1" s="3740" t="s">
        <v>2703</v>
      </c>
      <c r="H1" s="3740"/>
      <c r="I1" s="3740"/>
      <c r="J1" s="3740"/>
      <c r="K1" s="3740"/>
      <c r="L1" s="3740"/>
      <c r="N1" s="3740" t="s">
        <v>2704</v>
      </c>
      <c r="O1" s="3740"/>
      <c r="P1" s="3740"/>
      <c r="Q1" s="3740"/>
      <c r="R1" s="2900"/>
      <c r="S1" s="3740" t="s">
        <v>2705</v>
      </c>
      <c r="T1" s="3740"/>
      <c r="U1" s="3740"/>
      <c r="V1" s="3740"/>
      <c r="X1" s="3739" t="s">
        <v>2706</v>
      </c>
      <c r="Y1" s="3740"/>
      <c r="Z1" s="3740"/>
      <c r="AA1" s="3740"/>
      <c r="AB1" s="3740"/>
      <c r="AD1" s="3739" t="s">
        <v>2707</v>
      </c>
      <c r="AE1" s="3740"/>
      <c r="AF1" s="3740"/>
      <c r="AG1" s="3740"/>
      <c r="AH1" s="3740"/>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5">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2"/>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2"/>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3"/>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5">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2"/>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2"/>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3"/>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1">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2"/>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2"/>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3"/>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1">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2"/>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2"/>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3"/>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6">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47"/>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47"/>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48"/>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1">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2"/>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2"/>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3"/>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1">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2">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2">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3">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1">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2">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2">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3">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1">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2">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2">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3">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1">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2">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2">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3">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1">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2">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2">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3">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1">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2">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2">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3">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1">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2">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2">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3">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1">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2">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2">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3">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1">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2">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2">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3">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1">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2">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2">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3">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2" t="s">
        <v>2374</v>
      </c>
      <c r="D1" s="3753"/>
      <c r="E1" s="3753"/>
      <c r="F1" s="3753"/>
      <c r="G1" s="3753"/>
      <c r="H1" s="3753"/>
      <c r="I1" s="3753"/>
      <c r="J1" s="3753"/>
      <c r="K1" s="3753"/>
      <c r="L1" s="3753"/>
      <c r="M1" s="3753"/>
      <c r="N1" s="3753"/>
      <c r="O1" s="3753"/>
      <c r="P1" s="3753"/>
      <c r="Q1" s="3753"/>
      <c r="R1" s="3753"/>
      <c r="S1" s="3754"/>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49" t="s">
        <v>166</v>
      </c>
      <c r="D22" s="3750"/>
      <c r="E22" s="3750"/>
      <c r="F22" s="3750"/>
      <c r="G22" s="3750"/>
      <c r="H22" s="3750"/>
      <c r="I22" s="3750"/>
      <c r="J22" s="3750"/>
      <c r="K22" s="3750"/>
      <c r="L22" s="3750"/>
      <c r="M22" s="3750"/>
      <c r="N22" s="3750"/>
      <c r="O22" s="3750"/>
      <c r="P22" s="3750"/>
      <c r="Q22" s="3751"/>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5"/>
      <c r="C2" s="3385"/>
      <c r="D2" s="3385"/>
      <c r="E2" s="3385"/>
    </row>
    <row r="3" spans="1:5" ht="18.75">
      <c r="A3" s="3386" t="str">
        <f>IF(项目基本情况!B9="房地产市场价值","估价结果一览表（市场价值不需“结果表-1”）","估价结果一览表")</f>
        <v>估价结果一览表</v>
      </c>
      <c r="B3" s="3386"/>
      <c r="C3" s="3386"/>
      <c r="D3" s="3386"/>
      <c r="E3" s="3386"/>
    </row>
    <row r="4" spans="1:5" ht="19.5" thickBot="1">
      <c r="A4" s="1976"/>
      <c r="B4" s="3384" t="s">
        <v>2029</v>
      </c>
      <c r="C4" s="3384"/>
      <c r="D4" s="3384"/>
      <c r="E4" s="1976"/>
    </row>
    <row r="5" spans="1:5" ht="16.5" thickTop="1">
      <c r="A5" s="1964"/>
      <c r="B5" s="3382" t="s">
        <v>2025</v>
      </c>
      <c r="C5" s="1966" t="s">
        <v>2030</v>
      </c>
      <c r="D5" s="1967">
        <f ca="1">结果表!H101</f>
        <v>52600</v>
      </c>
      <c r="E5" s="1964"/>
    </row>
    <row r="6" spans="1:5" ht="15.75">
      <c r="A6" s="1964"/>
      <c r="B6" s="3382"/>
      <c r="C6" s="1966" t="s">
        <v>2862</v>
      </c>
      <c r="D6" s="1967" t="str">
        <f ca="1">NUMBERSTRING(INT(D5*10000),2)&amp;"元整"</f>
        <v>伍亿贰仟陆佰万元整</v>
      </c>
      <c r="E6" s="1964"/>
    </row>
    <row r="7" spans="1:5" ht="15.75">
      <c r="A7" s="1964"/>
      <c r="B7" s="3387"/>
      <c r="C7" s="1968" t="s">
        <v>2031</v>
      </c>
      <c r="D7" s="1969">
        <f ca="1">结果表!H102</f>
        <v>13889</v>
      </c>
      <c r="E7" s="1964"/>
    </row>
    <row r="8" spans="1:5" ht="15.75">
      <c r="A8" s="1964"/>
      <c r="B8" s="3388" t="str">
        <f>结果表!E103</f>
        <v>2.估价师知悉的法定优先受偿款</v>
      </c>
      <c r="C8" s="1970" t="s">
        <v>2032</v>
      </c>
      <c r="D8" s="1969">
        <f>结果表!H103</f>
        <v>0</v>
      </c>
      <c r="E8" s="1964"/>
    </row>
    <row r="9" spans="1:5" ht="15.75">
      <c r="A9" s="1964"/>
      <c r="B9" s="3390"/>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1" t="str">
        <f>结果表!E107</f>
        <v>3.房地产抵押价值</v>
      </c>
      <c r="C13" s="1974" t="s">
        <v>2030</v>
      </c>
      <c r="D13" s="1977">
        <f ca="1">结果表!H107</f>
        <v>52600</v>
      </c>
      <c r="E13" s="1964"/>
    </row>
    <row r="14" spans="1:5" ht="15.75">
      <c r="A14" s="1964"/>
      <c r="B14" s="3382"/>
      <c r="C14" s="1966" t="s">
        <v>2862</v>
      </c>
      <c r="D14" s="1967" t="str">
        <f ca="1">NUMBERSTRING(INT(D13*10000),2)&amp;"元整"</f>
        <v>伍亿贰仟陆佰万元整</v>
      </c>
      <c r="E14" s="1964"/>
    </row>
    <row r="15" spans="1:5" ht="15">
      <c r="A15" s="1964"/>
      <c r="B15" s="3387"/>
      <c r="C15" s="1968" t="s">
        <v>2031</v>
      </c>
      <c r="D15" s="2078">
        <f ca="1">结果表!H108</f>
        <v>13889</v>
      </c>
      <c r="E15" s="1964"/>
    </row>
    <row r="16" spans="1:5" ht="14.25">
      <c r="A16" s="1964"/>
      <c r="B16" s="3388" t="str">
        <f>结果表!E109</f>
        <v>——</v>
      </c>
      <c r="C16" s="1974" t="s">
        <v>2030</v>
      </c>
      <c r="D16" s="2079" t="str">
        <f>结果表!H109</f>
        <v>——</v>
      </c>
      <c r="E16" s="1964"/>
    </row>
    <row r="17" spans="1:5" ht="15.75">
      <c r="A17" s="1964"/>
      <c r="B17" s="3389"/>
      <c r="C17" s="1966" t="s">
        <v>2862</v>
      </c>
      <c r="D17" s="1967" t="e">
        <f>NUMBERSTRING(INT(D16*10000),2)&amp;"元整"</f>
        <v>#VALUE!</v>
      </c>
      <c r="E17" s="1964"/>
    </row>
    <row r="18" spans="1:5" ht="15">
      <c r="A18" s="1964"/>
      <c r="B18" s="3390"/>
      <c r="C18" s="1968" t="s">
        <v>2031</v>
      </c>
      <c r="D18" s="2078" t="str">
        <f>结果表!H110</f>
        <v>——</v>
      </c>
      <c r="E18" s="1964"/>
    </row>
    <row r="19" spans="1:5" ht="15.75">
      <c r="A19" s="1964"/>
      <c r="B19" s="3381" t="str">
        <f>结果表!E111</f>
        <v>——</v>
      </c>
      <c r="C19" s="1974" t="s">
        <v>2030</v>
      </c>
      <c r="D19" s="1969" t="str">
        <f>结果表!H111</f>
        <v>——</v>
      </c>
      <c r="E19" s="1964"/>
    </row>
    <row r="20" spans="1:5" ht="15.75">
      <c r="A20" s="1964"/>
      <c r="B20" s="3382"/>
      <c r="C20" s="1966" t="s">
        <v>2862</v>
      </c>
      <c r="D20" s="1967" t="e">
        <f>NUMBERSTRING(INT(D19*10000),2)&amp;"元整"</f>
        <v>#VALUE!</v>
      </c>
      <c r="E20" s="1964"/>
    </row>
    <row r="21" spans="1:5" ht="15.75" thickBot="1">
      <c r="A21" s="1964"/>
      <c r="B21" s="3383"/>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39605</v>
      </c>
      <c r="C2" s="85" t="s">
        <v>862</v>
      </c>
      <c r="D2" s="575"/>
      <c r="E2" s="575"/>
      <c r="F2" s="575"/>
      <c r="G2" s="575"/>
    </row>
    <row r="3" spans="1:7" s="576" customFormat="1" ht="18" customHeight="1" thickBot="1">
      <c r="A3" s="579" t="s">
        <v>814</v>
      </c>
      <c r="B3" s="580">
        <f ca="1">ROUND(B2*10000/'数据-汇总表'!E3,0)</f>
        <v>10458</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427</v>
      </c>
      <c r="D20" s="608"/>
      <c r="E20" s="608"/>
      <c r="F20" s="609">
        <f>'数据-取费表'!B37</f>
        <v>0.02</v>
      </c>
      <c r="G20" s="2620" t="s">
        <v>2510</v>
      </c>
    </row>
    <row r="21" spans="1:7" s="590" customFormat="1" ht="13.5" customHeight="1">
      <c r="A21" s="1803" t="s">
        <v>2501</v>
      </c>
      <c r="B21" s="586" t="s">
        <v>834</v>
      </c>
      <c r="C21" s="611">
        <f>F21</f>
        <v>0.02</v>
      </c>
      <c r="D21" s="612" t="s">
        <v>855</v>
      </c>
      <c r="E21" s="608"/>
      <c r="F21" s="609">
        <f>'数据-取费表'!B38</f>
        <v>0.02</v>
      </c>
      <c r="G21" s="610" t="s">
        <v>835</v>
      </c>
    </row>
    <row r="22" spans="1:7" s="590" customFormat="1" ht="13.5" customHeight="1">
      <c r="A22" s="1803" t="s">
        <v>1913</v>
      </c>
      <c r="B22" s="586" t="s">
        <v>836</v>
      </c>
      <c r="C22" s="2699">
        <f ca="1">ROUND(SUM(C23:C25),0)</f>
        <v>939</v>
      </c>
      <c r="D22" s="611">
        <f ca="1">C26</f>
        <v>4.0000000000000002E-4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9</v>
      </c>
      <c r="D25" s="614"/>
      <c r="E25" s="617"/>
      <c r="F25" s="615"/>
      <c r="G25" s="618" t="s">
        <v>839</v>
      </c>
    </row>
    <row r="26" spans="1:7" s="590" customFormat="1">
      <c r="A26" s="1806" t="s">
        <v>1922</v>
      </c>
      <c r="B26" s="591" t="s">
        <v>2502</v>
      </c>
      <c r="C26" s="614">
        <f ca="1">ROUND(IF('数据-取费表'!B22&lt;=1,F21*F22*'数据-取费表'!B23/2,F21*(POWER((1+F22),'数据-取费表'!B23/2)-1)),4)</f>
        <v>4.0000000000000002E-4</v>
      </c>
      <c r="D26" s="614"/>
      <c r="E26" s="617"/>
      <c r="F26" s="615"/>
      <c r="G26" s="619"/>
    </row>
    <row r="27" spans="1:7" s="590" customFormat="1" ht="24.75">
      <c r="A27" s="1803" t="s">
        <v>1914</v>
      </c>
      <c r="B27" s="620" t="s">
        <v>841</v>
      </c>
      <c r="C27" s="621">
        <f>C28</f>
        <v>4359</v>
      </c>
      <c r="D27" s="611">
        <f>C29</f>
        <v>4.0000000000000001E-3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4359</v>
      </c>
      <c r="D28" s="611"/>
      <c r="E28" s="612"/>
      <c r="F28" s="622"/>
      <c r="G28" s="623"/>
    </row>
    <row r="29" spans="1:7" s="590" customFormat="1" ht="13.5" customHeight="1">
      <c r="A29" s="1806" t="s">
        <v>1919</v>
      </c>
      <c r="B29" s="624" t="s">
        <v>2505</v>
      </c>
      <c r="C29" s="614">
        <f>ROUND(C21*F27*'数据-取费表'!B21/'数据-取费表'!B20,4)</f>
        <v>4.0000000000000001E-3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29375</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9464</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8332</v>
      </c>
      <c r="D34" s="593"/>
      <c r="E34" s="596"/>
      <c r="F34" s="633">
        <f>IF('数据-取费表'!B24=0,1,'数据-取费表'!N16)</f>
        <v>1</v>
      </c>
      <c r="G34" s="595" t="s">
        <v>845</v>
      </c>
    </row>
    <row r="35" spans="1:7" ht="13.5" customHeight="1">
      <c r="A35" s="1806" t="s">
        <v>1923</v>
      </c>
      <c r="B35" s="591" t="s">
        <v>347</v>
      </c>
      <c r="C35" s="596">
        <f>ROUND(C34*F35,0)</f>
        <v>250</v>
      </c>
      <c r="D35" s="596"/>
      <c r="E35" s="596"/>
      <c r="F35" s="635">
        <f>'数据-取费表'!B33</f>
        <v>0.03</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125</v>
      </c>
      <c r="D38" s="596"/>
      <c r="E38" s="596"/>
      <c r="F38" s="635">
        <f>'数据-取费表'!B36</f>
        <v>1.4999999999999999E-2</v>
      </c>
      <c r="G38" s="595" t="s">
        <v>846</v>
      </c>
    </row>
    <row r="39" spans="1:7" s="590" customFormat="1" ht="13.5" customHeight="1">
      <c r="A39" s="1803" t="s">
        <v>1910</v>
      </c>
      <c r="B39" s="586" t="s">
        <v>833</v>
      </c>
      <c r="C39" s="608">
        <f>ROUND(C33*F20,0)</f>
        <v>189</v>
      </c>
      <c r="D39" s="608"/>
      <c r="E39" s="608"/>
      <c r="F39" s="609"/>
      <c r="G39" s="2620" t="s">
        <v>2513</v>
      </c>
    </row>
    <row r="40" spans="1:7" s="590" customFormat="1" ht="13.5" customHeight="1">
      <c r="A40" s="1803" t="s">
        <v>1911</v>
      </c>
      <c r="B40" s="586" t="s">
        <v>834</v>
      </c>
      <c r="C40" s="638">
        <f>F21</f>
        <v>0.02</v>
      </c>
      <c r="D40" s="612" t="s">
        <v>858</v>
      </c>
      <c r="E40" s="608"/>
      <c r="F40" s="609"/>
      <c r="G40" s="610" t="s">
        <v>849</v>
      </c>
    </row>
    <row r="41" spans="1:7" s="590" customFormat="1" ht="13.5" customHeight="1">
      <c r="A41" s="1803" t="s">
        <v>1912</v>
      </c>
      <c r="B41" s="586" t="s">
        <v>836</v>
      </c>
      <c r="C41" s="608">
        <f ca="1">ROUND(SUM(C42:C43),0)</f>
        <v>210</v>
      </c>
      <c r="D41" s="611">
        <f ca="1">C44</f>
        <v>4.0000000000000002E-4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206</v>
      </c>
      <c r="D42" s="614"/>
      <c r="E42" s="614"/>
      <c r="F42" s="615"/>
      <c r="G42" s="3573" t="s">
        <v>850</v>
      </c>
    </row>
    <row r="43" spans="1:7" ht="13.5" customHeight="1">
      <c r="A43" s="1806" t="s">
        <v>1919</v>
      </c>
      <c r="B43" s="591" t="s">
        <v>2506</v>
      </c>
      <c r="C43" s="614">
        <f ca="1">ROUND(IF('数据-取费表'!B22&lt;=1,C39*F22*'数据-取费表'!B21/2,C39*(POWER((1+F22),'数据-取费表'!B21/2)-1)),0)</f>
        <v>4</v>
      </c>
      <c r="D43" s="614"/>
      <c r="E43" s="614"/>
      <c r="F43" s="615"/>
      <c r="G43" s="3574"/>
    </row>
    <row r="44" spans="1:7" ht="13.5" customHeight="1">
      <c r="A44" s="1806" t="s">
        <v>1920</v>
      </c>
      <c r="B44" s="591" t="s">
        <v>2508</v>
      </c>
      <c r="C44" s="614">
        <f ca="1">ROUND(IF('数据-取费表'!B22&lt;=1,C40*F22*'数据-取费表'!B21/2,C40*(POWER((1+F22),'数据-取费表'!B21/2)-1)),4)</f>
        <v>4.0000000000000002E-4</v>
      </c>
      <c r="D44" s="614"/>
      <c r="E44" s="614"/>
      <c r="F44" s="615"/>
      <c r="G44" s="3575"/>
    </row>
    <row r="45" spans="1:7" s="590" customFormat="1" ht="13.5" customHeight="1">
      <c r="A45" s="1803" t="s">
        <v>1913</v>
      </c>
      <c r="B45" s="620" t="s">
        <v>841</v>
      </c>
      <c r="C45" s="621">
        <f>C46</f>
        <v>1931</v>
      </c>
      <c r="D45" s="611">
        <f>C47</f>
        <v>4.0000000000000001E-3</v>
      </c>
      <c r="E45" s="612" t="s">
        <v>858</v>
      </c>
      <c r="F45" s="622"/>
      <c r="G45" s="623" t="s">
        <v>2514</v>
      </c>
    </row>
    <row r="46" spans="1:7" s="590" customFormat="1" ht="13.5" customHeight="1">
      <c r="A46" s="1806" t="s">
        <v>1921</v>
      </c>
      <c r="B46" s="624" t="s">
        <v>2507</v>
      </c>
      <c r="C46" s="625">
        <f>ROUND((C33+C39)*F27,0)</f>
        <v>1931</v>
      </c>
      <c r="D46" s="639"/>
      <c r="E46" s="612"/>
      <c r="F46" s="622"/>
      <c r="G46" s="623"/>
    </row>
    <row r="47" spans="1:7" s="590" customFormat="1" ht="13.5" customHeight="1">
      <c r="A47" s="1806" t="s">
        <v>1919</v>
      </c>
      <c r="B47" s="624" t="s">
        <v>2509</v>
      </c>
      <c r="C47" s="614">
        <f>ROUND(C40*F27,4)</f>
        <v>4.0000000000000001E-3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12788</v>
      </c>
      <c r="D49" s="608"/>
      <c r="E49" s="608"/>
      <c r="F49" s="640"/>
      <c r="G49" s="610" t="s">
        <v>2515</v>
      </c>
    </row>
    <row r="50" spans="1:7" s="634" customFormat="1" ht="24">
      <c r="A50" s="1803" t="s">
        <v>1916</v>
      </c>
      <c r="B50" s="586" t="s">
        <v>853</v>
      </c>
      <c r="C50" s="608"/>
      <c r="D50" s="608"/>
      <c r="E50" s="608"/>
      <c r="F50" s="640">
        <f>IF('数据-取费表'!B24=0,'数据-取费表'!N16,1)</f>
        <v>0.8</v>
      </c>
      <c r="G50" s="623" t="s">
        <v>854</v>
      </c>
    </row>
    <row r="51" spans="1:7" ht="16.5" customHeight="1">
      <c r="A51" s="1803" t="s">
        <v>1917</v>
      </c>
      <c r="B51" s="586" t="s">
        <v>861</v>
      </c>
      <c r="C51" s="608">
        <f ca="1">ROUND(C49*F50,0)</f>
        <v>10230</v>
      </c>
      <c r="D51" s="608"/>
      <c r="E51" s="608"/>
      <c r="F51" s="640"/>
      <c r="G51" s="610" t="s">
        <v>351</v>
      </c>
    </row>
    <row r="52" spans="1:7" s="584" customFormat="1" ht="16.5" thickBot="1">
      <c r="A52" s="641" t="s">
        <v>352</v>
      </c>
      <c r="B52" s="642"/>
      <c r="C52" s="643">
        <f ca="1">C31+C51</f>
        <v>39605</v>
      </c>
      <c r="D52" s="642"/>
      <c r="E52" s="642"/>
      <c r="F52" s="642"/>
      <c r="G52" s="644"/>
    </row>
    <row r="55" spans="1:7" ht="15">
      <c r="B55" s="646" t="s">
        <v>353</v>
      </c>
      <c r="C55" s="647"/>
    </row>
    <row r="56" spans="1:7">
      <c r="B56" s="649" t="s">
        <v>354</v>
      </c>
      <c r="C56" s="650">
        <f ca="1">ROUND(C51/C52,3)</f>
        <v>0.25800000000000001</v>
      </c>
    </row>
    <row r="57" spans="1:7">
      <c r="B57" s="649" t="s">
        <v>355</v>
      </c>
      <c r="C57" s="651">
        <f ca="1">1-C56</f>
        <v>0.74199999999999999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5" t="s">
        <v>1167</v>
      </c>
      <c r="B1" s="3755"/>
      <c r="C1" s="3755"/>
      <c r="D1" s="3755"/>
      <c r="E1" s="3755"/>
      <c r="F1" s="3755"/>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6" t="s">
        <v>1180</v>
      </c>
      <c r="B2" s="3756"/>
      <c r="C2" s="3756"/>
      <c r="D2" s="3756"/>
      <c r="E2" s="3756"/>
      <c r="F2" s="3756"/>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57"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58"/>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5" t="s">
        <v>2125</v>
      </c>
      <c r="B1" s="3755"/>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3171</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11795</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09" t="s">
        <v>55</v>
      </c>
      <c r="S4" s="3610"/>
      <c r="T4" s="3609" t="s">
        <v>56</v>
      </c>
      <c r="U4" s="3610"/>
      <c r="V4" s="3634" t="s">
        <v>57</v>
      </c>
      <c r="W4" s="3634"/>
      <c r="X4" s="3358"/>
      <c r="Y4" s="3609" t="s">
        <v>53</v>
      </c>
      <c r="Z4" s="3610"/>
      <c r="AA4" s="3604" t="s">
        <v>55</v>
      </c>
      <c r="AB4" s="3634" t="s">
        <v>56</v>
      </c>
      <c r="AC4" s="3604" t="s">
        <v>57</v>
      </c>
    </row>
    <row r="5" spans="1:29">
      <c r="A5" s="146"/>
      <c r="B5" s="147"/>
      <c r="C5" s="3615" t="s">
        <v>3071</v>
      </c>
      <c r="D5" s="3616"/>
      <c r="E5" s="3613" t="s">
        <v>3072</v>
      </c>
      <c r="F5" s="3614"/>
      <c r="G5" s="3615" t="s">
        <v>3072</v>
      </c>
      <c r="H5" s="3616"/>
      <c r="I5" s="3615" t="s">
        <v>3103</v>
      </c>
      <c r="J5" s="3616"/>
      <c r="K5" s="187"/>
      <c r="L5" s="2295"/>
      <c r="M5" s="2296"/>
      <c r="N5" s="2296"/>
      <c r="O5" s="2296"/>
      <c r="P5" s="3628"/>
      <c r="Q5" s="3629"/>
      <c r="R5" s="3611"/>
      <c r="S5" s="3612"/>
      <c r="T5" s="3611"/>
      <c r="U5" s="3612"/>
      <c r="V5" s="3634"/>
      <c r="W5" s="3634"/>
      <c r="X5" s="3358"/>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5"/>
      <c r="M6" s="2296"/>
      <c r="N6" s="2296"/>
      <c r="O6" s="2296"/>
      <c r="P6" s="3630"/>
      <c r="Q6" s="3631"/>
      <c r="R6" s="3611"/>
      <c r="S6" s="3612"/>
      <c r="T6" s="3632"/>
      <c r="U6" s="3633"/>
      <c r="V6" s="3634"/>
      <c r="W6" s="3634"/>
      <c r="X6" s="3358"/>
      <c r="Y6" s="3632"/>
      <c r="Z6" s="3633"/>
      <c r="AA6" s="3606"/>
      <c r="AB6" s="3634"/>
      <c r="AC6" s="3606"/>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07" t="s">
        <v>61</v>
      </c>
      <c r="Q7" s="3635"/>
      <c r="R7" s="1342" t="s">
        <v>62</v>
      </c>
      <c r="S7" s="1343">
        <f t="shared" ref="S7:S15" si="0">F7</f>
        <v>100</v>
      </c>
      <c r="T7" s="1342" t="s">
        <v>62</v>
      </c>
      <c r="U7" s="1343">
        <f t="shared" ref="U7:U15" si="1">H7</f>
        <v>100</v>
      </c>
      <c r="V7" s="1342" t="s">
        <v>62</v>
      </c>
      <c r="W7" s="1343">
        <f t="shared" ref="W7:W15" si="2">J7</f>
        <v>100</v>
      </c>
      <c r="X7" s="287"/>
      <c r="Y7" s="3607" t="s">
        <v>61</v>
      </c>
      <c r="Z7" s="3608"/>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07" t="s">
        <v>993</v>
      </c>
      <c r="Q8" s="3608"/>
      <c r="R8" s="1342" t="s">
        <v>62</v>
      </c>
      <c r="S8" s="1343">
        <f t="shared" si="0"/>
        <v>100</v>
      </c>
      <c r="T8" s="1342" t="s">
        <v>62</v>
      </c>
      <c r="U8" s="1343">
        <f t="shared" si="1"/>
        <v>100</v>
      </c>
      <c r="V8" s="1342" t="s">
        <v>62</v>
      </c>
      <c r="W8" s="1343">
        <f t="shared" si="2"/>
        <v>100</v>
      </c>
      <c r="X8" s="287"/>
      <c r="Y8" s="3607" t="s">
        <v>993</v>
      </c>
      <c r="Z8" s="3608"/>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3355" t="str">
        <f t="shared" ref="Q9:Q15" si="6">B9</f>
        <v>用途</v>
      </c>
      <c r="R9" s="1342" t="s">
        <v>62</v>
      </c>
      <c r="S9" s="1343">
        <f t="shared" si="0"/>
        <v>100</v>
      </c>
      <c r="T9" s="1342" t="s">
        <v>62</v>
      </c>
      <c r="U9" s="1343">
        <f t="shared" si="1"/>
        <v>100</v>
      </c>
      <c r="V9" s="1342" t="s">
        <v>62</v>
      </c>
      <c r="W9" s="1343">
        <f t="shared" si="2"/>
        <v>100</v>
      </c>
      <c r="X9" s="287"/>
      <c r="Y9" s="3445"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1"/>
      <c r="Q10" s="3355" t="str">
        <f t="shared" si="6"/>
        <v>土地使用年限（年）</v>
      </c>
      <c r="R10" s="1342" t="s">
        <v>62</v>
      </c>
      <c r="S10" s="1343">
        <f t="shared" si="0"/>
        <v>100</v>
      </c>
      <c r="T10" s="1342" t="s">
        <v>62</v>
      </c>
      <c r="U10" s="1343">
        <f t="shared" si="1"/>
        <v>100</v>
      </c>
      <c r="V10" s="1342" t="s">
        <v>62</v>
      </c>
      <c r="W10" s="1343">
        <f t="shared" si="2"/>
        <v>100</v>
      </c>
      <c r="X10" s="287"/>
      <c r="Y10" s="3445"/>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1"/>
      <c r="Q11" s="3355" t="str">
        <f t="shared" si="6"/>
        <v>容积率</v>
      </c>
      <c r="R11" s="1342" t="s">
        <v>62</v>
      </c>
      <c r="S11" s="1343">
        <f t="shared" si="0"/>
        <v>106</v>
      </c>
      <c r="T11" s="1342" t="s">
        <v>62</v>
      </c>
      <c r="U11" s="1343">
        <f t="shared" si="1"/>
        <v>106</v>
      </c>
      <c r="V11" s="1342" t="s">
        <v>62</v>
      </c>
      <c r="W11" s="1343">
        <f t="shared" si="2"/>
        <v>106</v>
      </c>
      <c r="X11" s="287"/>
      <c r="Y11" s="3445"/>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3355">
        <f t="shared" si="6"/>
        <v>0</v>
      </c>
      <c r="R12" s="1342" t="s">
        <v>62</v>
      </c>
      <c r="S12" s="1343">
        <f t="shared" si="0"/>
        <v>100</v>
      </c>
      <c r="T12" s="1342" t="s">
        <v>62</v>
      </c>
      <c r="U12" s="1343">
        <f t="shared" si="1"/>
        <v>100</v>
      </c>
      <c r="V12" s="1342" t="s">
        <v>62</v>
      </c>
      <c r="W12" s="1343">
        <f t="shared" si="2"/>
        <v>100</v>
      </c>
      <c r="X12" s="287"/>
      <c r="Y12" s="3445"/>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3355">
        <f t="shared" si="6"/>
        <v>0</v>
      </c>
      <c r="R13" s="1342" t="s">
        <v>62</v>
      </c>
      <c r="S13" s="1343">
        <f t="shared" si="0"/>
        <v>100</v>
      </c>
      <c r="T13" s="1342" t="s">
        <v>62</v>
      </c>
      <c r="U13" s="1343">
        <f t="shared" si="1"/>
        <v>100</v>
      </c>
      <c r="V13" s="1342" t="s">
        <v>62</v>
      </c>
      <c r="W13" s="1343">
        <f t="shared" si="2"/>
        <v>100</v>
      </c>
      <c r="X13" s="287"/>
      <c r="Y13" s="3445"/>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3355">
        <f t="shared" si="6"/>
        <v>0</v>
      </c>
      <c r="R14" s="1342" t="s">
        <v>62</v>
      </c>
      <c r="S14" s="1343">
        <f t="shared" si="0"/>
        <v>100</v>
      </c>
      <c r="T14" s="1342" t="s">
        <v>62</v>
      </c>
      <c r="U14" s="1343">
        <f t="shared" si="1"/>
        <v>100</v>
      </c>
      <c r="V14" s="1342" t="s">
        <v>62</v>
      </c>
      <c r="W14" s="1343">
        <f t="shared" si="2"/>
        <v>100</v>
      </c>
      <c r="X14" s="287"/>
      <c r="Y14" s="3445"/>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48" t="s">
        <v>66</v>
      </c>
      <c r="Q15" s="3361" t="str">
        <f t="shared" si="6"/>
        <v>商业繁华度</v>
      </c>
      <c r="R15" s="1352" t="s">
        <v>62</v>
      </c>
      <c r="S15" s="1353">
        <f t="shared" si="0"/>
        <v>100</v>
      </c>
      <c r="T15" s="1352" t="s">
        <v>62</v>
      </c>
      <c r="U15" s="1353">
        <f t="shared" si="1"/>
        <v>100</v>
      </c>
      <c r="V15" s="1352" t="s">
        <v>62</v>
      </c>
      <c r="W15" s="1353">
        <f t="shared" si="2"/>
        <v>100</v>
      </c>
      <c r="X15" s="3358"/>
      <c r="Y15" s="3641"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49"/>
      <c r="Q16" s="3361"/>
      <c r="R16" s="1352"/>
      <c r="S16" s="1353"/>
      <c r="T16" s="1352"/>
      <c r="U16" s="1353"/>
      <c r="V16" s="1352"/>
      <c r="W16" s="1353"/>
      <c r="X16" s="3358"/>
      <c r="Y16" s="3642"/>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49"/>
      <c r="Q17" s="3361" t="str">
        <f>B17</f>
        <v>交通便捷度</v>
      </c>
      <c r="R17" s="1352" t="s">
        <v>62</v>
      </c>
      <c r="S17" s="1353">
        <f>F17</f>
        <v>100</v>
      </c>
      <c r="T17" s="1352" t="s">
        <v>62</v>
      </c>
      <c r="U17" s="1353">
        <f>H17</f>
        <v>100</v>
      </c>
      <c r="V17" s="1352" t="s">
        <v>62</v>
      </c>
      <c r="W17" s="1353">
        <f>J17</f>
        <v>100</v>
      </c>
      <c r="X17" s="3358"/>
      <c r="Y17" s="3642"/>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49"/>
      <c r="Q18" s="3361"/>
      <c r="R18" s="1352"/>
      <c r="S18" s="1353"/>
      <c r="T18" s="1352"/>
      <c r="U18" s="1353"/>
      <c r="V18" s="1352"/>
      <c r="W18" s="1353"/>
      <c r="X18" s="3358"/>
      <c r="Y18" s="3642"/>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49"/>
      <c r="Q19" s="3361" t="str">
        <f>B19</f>
        <v>公共配套设施</v>
      </c>
      <c r="R19" s="1352" t="s">
        <v>62</v>
      </c>
      <c r="S19" s="1353">
        <f>F19</f>
        <v>100</v>
      </c>
      <c r="T19" s="1352" t="s">
        <v>62</v>
      </c>
      <c r="U19" s="1353">
        <f>H19</f>
        <v>100</v>
      </c>
      <c r="V19" s="1352" t="s">
        <v>62</v>
      </c>
      <c r="W19" s="1353">
        <f>J19</f>
        <v>100</v>
      </c>
      <c r="X19" s="3358"/>
      <c r="Y19" s="3642"/>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49"/>
      <c r="Q20" s="3361"/>
      <c r="R20" s="1352"/>
      <c r="S20" s="1353"/>
      <c r="T20" s="1352"/>
      <c r="U20" s="1353"/>
      <c r="V20" s="1352"/>
      <c r="W20" s="1353"/>
      <c r="X20" s="3358"/>
      <c r="Y20" s="3642"/>
      <c r="Z20" s="3359"/>
      <c r="AA20" s="3362">
        <v>1</v>
      </c>
      <c r="AB20" s="3362">
        <v>1</v>
      </c>
      <c r="AC20" s="3362">
        <v>1</v>
      </c>
    </row>
    <row r="21" spans="1:29" ht="27">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49"/>
      <c r="Q21" s="3361" t="str">
        <f>B21</f>
        <v>基础设施水平</v>
      </c>
      <c r="R21" s="1352" t="s">
        <v>62</v>
      </c>
      <c r="S21" s="1353">
        <f>F21</f>
        <v>100</v>
      </c>
      <c r="T21" s="1352" t="s">
        <v>62</v>
      </c>
      <c r="U21" s="1353">
        <f>H21</f>
        <v>100</v>
      </c>
      <c r="V21" s="1352" t="s">
        <v>62</v>
      </c>
      <c r="W21" s="1353">
        <f>J21</f>
        <v>100</v>
      </c>
      <c r="X21" s="3358"/>
      <c r="Y21" s="3642"/>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49"/>
      <c r="Q22" s="3361"/>
      <c r="R22" s="1352"/>
      <c r="S22" s="1353"/>
      <c r="T22" s="1352"/>
      <c r="U22" s="1353"/>
      <c r="V22" s="1352"/>
      <c r="W22" s="1353"/>
      <c r="X22" s="3358"/>
      <c r="Y22" s="3642"/>
      <c r="Z22" s="3359"/>
      <c r="AA22" s="3362">
        <v>1</v>
      </c>
      <c r="AB22" s="3362">
        <v>1</v>
      </c>
      <c r="AC22" s="3362">
        <v>1</v>
      </c>
    </row>
    <row r="23" spans="1:29" ht="54">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49"/>
      <c r="Q23" s="3361" t="str">
        <f>B23</f>
        <v>自然及人文环境</v>
      </c>
      <c r="R23" s="1352" t="s">
        <v>62</v>
      </c>
      <c r="S23" s="1353">
        <f>F23</f>
        <v>100</v>
      </c>
      <c r="T23" s="1352" t="s">
        <v>62</v>
      </c>
      <c r="U23" s="1353">
        <f>H23</f>
        <v>100</v>
      </c>
      <c r="V23" s="1352" t="s">
        <v>62</v>
      </c>
      <c r="W23" s="1353">
        <f>J23</f>
        <v>100</v>
      </c>
      <c r="X23" s="3358"/>
      <c r="Y23" s="3642"/>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49"/>
      <c r="Q24" s="3361"/>
      <c r="R24" s="1352"/>
      <c r="S24" s="1353"/>
      <c r="T24" s="1352"/>
      <c r="U24" s="1353"/>
      <c r="V24" s="1352"/>
      <c r="W24" s="1353"/>
      <c r="X24" s="3358"/>
      <c r="Y24" s="3642"/>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49"/>
      <c r="Q25" s="3361" t="str">
        <f t="shared" ref="Q25:Q46" si="11">B25</f>
        <v>临街状况</v>
      </c>
      <c r="R25" s="1352" t="s">
        <v>62</v>
      </c>
      <c r="S25" s="1353">
        <f>F25</f>
        <v>100</v>
      </c>
      <c r="T25" s="1352" t="s">
        <v>62</v>
      </c>
      <c r="U25" s="1353">
        <f>H25</f>
        <v>100</v>
      </c>
      <c r="V25" s="1352" t="s">
        <v>62</v>
      </c>
      <c r="W25" s="1353">
        <f>J25</f>
        <v>100</v>
      </c>
      <c r="X25" s="3358"/>
      <c r="Y25" s="3642"/>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49"/>
      <c r="Q26" s="3361" t="str">
        <f t="shared" si="11"/>
        <v>平面位置/可视性</v>
      </c>
      <c r="R26" s="1352" t="s">
        <v>62</v>
      </c>
      <c r="S26" s="1353">
        <f>F26</f>
        <v>100</v>
      </c>
      <c r="T26" s="1352" t="s">
        <v>62</v>
      </c>
      <c r="U26" s="1353">
        <f>H26</f>
        <v>100</v>
      </c>
      <c r="V26" s="1352" t="s">
        <v>62</v>
      </c>
      <c r="W26" s="1353">
        <f>J26</f>
        <v>100</v>
      </c>
      <c r="X26" s="3358"/>
      <c r="Y26" s="3642"/>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49"/>
      <c r="Q27" s="3355" t="str">
        <f t="shared" si="11"/>
        <v>人流量</v>
      </c>
      <c r="R27" s="1342" t="s">
        <v>62</v>
      </c>
      <c r="S27" s="1343">
        <f>F27</f>
        <v>100</v>
      </c>
      <c r="T27" s="1342" t="s">
        <v>62</v>
      </c>
      <c r="U27" s="1343">
        <f>H27</f>
        <v>100</v>
      </c>
      <c r="V27" s="1342" t="s">
        <v>62</v>
      </c>
      <c r="W27" s="1343">
        <f>J27</f>
        <v>100</v>
      </c>
      <c r="X27" s="287"/>
      <c r="Y27" s="3642"/>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49"/>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42"/>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9"/>
      <c r="Q29" s="3361">
        <f t="shared" si="11"/>
        <v>111</v>
      </c>
      <c r="R29" s="1352" t="s">
        <v>62</v>
      </c>
      <c r="S29" s="1353">
        <f t="shared" si="12"/>
        <v>100</v>
      </c>
      <c r="T29" s="1352" t="s">
        <v>62</v>
      </c>
      <c r="U29" s="1353">
        <f t="shared" si="13"/>
        <v>100</v>
      </c>
      <c r="V29" s="1352" t="s">
        <v>62</v>
      </c>
      <c r="W29" s="1353">
        <f t="shared" si="14"/>
        <v>100</v>
      </c>
      <c r="X29" s="3358"/>
      <c r="Y29" s="3642"/>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9"/>
      <c r="Q30" s="3361">
        <f t="shared" si="11"/>
        <v>111</v>
      </c>
      <c r="R30" s="1352" t="s">
        <v>62</v>
      </c>
      <c r="S30" s="1353">
        <f t="shared" si="12"/>
        <v>100</v>
      </c>
      <c r="T30" s="1352" t="s">
        <v>62</v>
      </c>
      <c r="U30" s="1353">
        <f t="shared" si="13"/>
        <v>100</v>
      </c>
      <c r="V30" s="1352" t="s">
        <v>62</v>
      </c>
      <c r="W30" s="1353">
        <f t="shared" si="14"/>
        <v>100</v>
      </c>
      <c r="X30" s="3358"/>
      <c r="Y30" s="3642"/>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9"/>
      <c r="Q31" s="3361">
        <f t="shared" si="11"/>
        <v>111</v>
      </c>
      <c r="R31" s="1352" t="s">
        <v>62</v>
      </c>
      <c r="S31" s="1353">
        <f t="shared" si="12"/>
        <v>100</v>
      </c>
      <c r="T31" s="1352" t="s">
        <v>62</v>
      </c>
      <c r="U31" s="1353">
        <f t="shared" si="13"/>
        <v>100</v>
      </c>
      <c r="V31" s="1352" t="s">
        <v>62</v>
      </c>
      <c r="W31" s="1353">
        <f t="shared" si="14"/>
        <v>100</v>
      </c>
      <c r="X31" s="3358"/>
      <c r="Y31" s="3642"/>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3" t="s">
        <v>996</v>
      </c>
      <c r="Q32" s="3361" t="str">
        <f t="shared" si="11"/>
        <v>商业类型</v>
      </c>
      <c r="R32" s="1352" t="s">
        <v>62</v>
      </c>
      <c r="S32" s="1353">
        <f t="shared" si="12"/>
        <v>100</v>
      </c>
      <c r="T32" s="1352" t="s">
        <v>62</v>
      </c>
      <c r="U32" s="1353">
        <f t="shared" si="13"/>
        <v>100</v>
      </c>
      <c r="V32" s="1352" t="s">
        <v>62</v>
      </c>
      <c r="W32" s="1353">
        <f t="shared" si="14"/>
        <v>100</v>
      </c>
      <c r="X32" s="3358"/>
      <c r="Y32" s="3646"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4"/>
      <c r="Q33" s="1359" t="str">
        <f t="shared" si="11"/>
        <v>项目建筑规模</v>
      </c>
      <c r="R33" s="1360" t="s">
        <v>62</v>
      </c>
      <c r="S33" s="1361">
        <f t="shared" si="12"/>
        <v>100</v>
      </c>
      <c r="T33" s="1360" t="s">
        <v>62</v>
      </c>
      <c r="U33" s="1361">
        <f t="shared" si="13"/>
        <v>100</v>
      </c>
      <c r="V33" s="1360" t="s">
        <v>62</v>
      </c>
      <c r="W33" s="1361">
        <f t="shared" si="14"/>
        <v>100</v>
      </c>
      <c r="X33" s="1362"/>
      <c r="Y33" s="3646"/>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4"/>
      <c r="Q34" s="3361" t="str">
        <f t="shared" si="11"/>
        <v>建筑结构</v>
      </c>
      <c r="R34" s="1352" t="s">
        <v>62</v>
      </c>
      <c r="S34" s="1353">
        <f t="shared" si="12"/>
        <v>100</v>
      </c>
      <c r="T34" s="1352" t="s">
        <v>62</v>
      </c>
      <c r="U34" s="1353">
        <f t="shared" si="13"/>
        <v>100</v>
      </c>
      <c r="V34" s="1352" t="s">
        <v>62</v>
      </c>
      <c r="W34" s="1353">
        <f t="shared" si="14"/>
        <v>100</v>
      </c>
      <c r="X34" s="3358"/>
      <c r="Y34" s="3646"/>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4"/>
      <c r="Q35" s="3361" t="str">
        <f t="shared" si="11"/>
        <v>公共部分装修</v>
      </c>
      <c r="R35" s="1352" t="s">
        <v>62</v>
      </c>
      <c r="S35" s="1353">
        <f t="shared" si="12"/>
        <v>100</v>
      </c>
      <c r="T35" s="1352" t="s">
        <v>62</v>
      </c>
      <c r="U35" s="1353">
        <f t="shared" si="13"/>
        <v>100</v>
      </c>
      <c r="V35" s="1352" t="s">
        <v>62</v>
      </c>
      <c r="W35" s="1353">
        <f t="shared" si="14"/>
        <v>100</v>
      </c>
      <c r="X35" s="3358"/>
      <c r="Y35" s="3646"/>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44"/>
      <c r="Q36" s="3361" t="str">
        <f t="shared" si="11"/>
        <v>成新度</v>
      </c>
      <c r="R36" s="1352" t="s">
        <v>62</v>
      </c>
      <c r="S36" s="1353">
        <f t="shared" si="12"/>
        <v>100</v>
      </c>
      <c r="T36" s="1352" t="s">
        <v>62</v>
      </c>
      <c r="U36" s="1353">
        <f t="shared" si="13"/>
        <v>100</v>
      </c>
      <c r="V36" s="1352" t="s">
        <v>62</v>
      </c>
      <c r="W36" s="1353">
        <f t="shared" si="14"/>
        <v>100</v>
      </c>
      <c r="X36" s="3358"/>
      <c r="Y36" s="3646"/>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4"/>
      <c r="Q37" s="3355" t="str">
        <f t="shared" si="11"/>
        <v>市政基础设施</v>
      </c>
      <c r="R37" s="1342" t="s">
        <v>62</v>
      </c>
      <c r="S37" s="1343">
        <f t="shared" si="12"/>
        <v>100</v>
      </c>
      <c r="T37" s="1342" t="s">
        <v>62</v>
      </c>
      <c r="U37" s="1343">
        <f t="shared" si="13"/>
        <v>100</v>
      </c>
      <c r="V37" s="1342" t="s">
        <v>62</v>
      </c>
      <c r="W37" s="1343">
        <f t="shared" si="14"/>
        <v>100</v>
      </c>
      <c r="X37" s="287"/>
      <c r="Y37" s="3646"/>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4" t="s">
        <v>996</v>
      </c>
      <c r="Q38" s="3361" t="str">
        <f t="shared" si="11"/>
        <v>业态</v>
      </c>
      <c r="R38" s="1352" t="s">
        <v>62</v>
      </c>
      <c r="S38" s="1353">
        <f t="shared" si="12"/>
        <v>100</v>
      </c>
      <c r="T38" s="1352" t="s">
        <v>62</v>
      </c>
      <c r="U38" s="1353">
        <f t="shared" si="13"/>
        <v>100</v>
      </c>
      <c r="V38" s="1352" t="s">
        <v>62</v>
      </c>
      <c r="W38" s="1353">
        <f t="shared" si="14"/>
        <v>100</v>
      </c>
      <c r="X38" s="3358"/>
      <c r="Y38" s="3646"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4"/>
      <c r="Q39" s="3361" t="str">
        <f t="shared" si="11"/>
        <v>层高</v>
      </c>
      <c r="R39" s="1352" t="s">
        <v>62</v>
      </c>
      <c r="S39" s="1353">
        <f t="shared" si="12"/>
        <v>100</v>
      </c>
      <c r="T39" s="1352" t="s">
        <v>62</v>
      </c>
      <c r="U39" s="1353">
        <f t="shared" si="13"/>
        <v>100</v>
      </c>
      <c r="V39" s="1352" t="s">
        <v>62</v>
      </c>
      <c r="W39" s="1353">
        <f t="shared" si="14"/>
        <v>100</v>
      </c>
      <c r="X39" s="3358"/>
      <c r="Y39" s="3646"/>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4"/>
      <c r="Q40" s="3361" t="str">
        <f t="shared" si="11"/>
        <v>单套建筑面积</v>
      </c>
      <c r="R40" s="1352" t="s">
        <v>62</v>
      </c>
      <c r="S40" s="1353">
        <f t="shared" si="12"/>
        <v>100</v>
      </c>
      <c r="T40" s="1352" t="s">
        <v>62</v>
      </c>
      <c r="U40" s="1353">
        <f t="shared" si="13"/>
        <v>100</v>
      </c>
      <c r="V40" s="1352" t="s">
        <v>62</v>
      </c>
      <c r="W40" s="1353">
        <f t="shared" si="14"/>
        <v>100</v>
      </c>
      <c r="X40" s="3358"/>
      <c r="Y40" s="3646"/>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4"/>
      <c r="Q41" s="1359" t="str">
        <f t="shared" si="11"/>
        <v>进深比</v>
      </c>
      <c r="R41" s="1360" t="s">
        <v>62</v>
      </c>
      <c r="S41" s="1361">
        <f t="shared" si="12"/>
        <v>100</v>
      </c>
      <c r="T41" s="1360" t="s">
        <v>62</v>
      </c>
      <c r="U41" s="1361">
        <f t="shared" si="13"/>
        <v>100</v>
      </c>
      <c r="V41" s="1360" t="s">
        <v>62</v>
      </c>
      <c r="W41" s="1361">
        <f t="shared" si="14"/>
        <v>100</v>
      </c>
      <c r="X41" s="1362"/>
      <c r="Y41" s="3646"/>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4"/>
      <c r="Q42" s="3361" t="str">
        <f t="shared" si="11"/>
        <v>内部装修</v>
      </c>
      <c r="R42" s="1352" t="s">
        <v>62</v>
      </c>
      <c r="S42" s="1353">
        <f t="shared" si="12"/>
        <v>100</v>
      </c>
      <c r="T42" s="1352" t="s">
        <v>62</v>
      </c>
      <c r="U42" s="1353">
        <f t="shared" si="13"/>
        <v>100</v>
      </c>
      <c r="V42" s="1352" t="s">
        <v>62</v>
      </c>
      <c r="W42" s="1353">
        <f t="shared" si="14"/>
        <v>100</v>
      </c>
      <c r="X42" s="3358"/>
      <c r="Y42" s="3646"/>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4"/>
      <c r="Q43" s="3361" t="str">
        <f t="shared" si="11"/>
        <v>内部装修维护情况</v>
      </c>
      <c r="R43" s="1352" t="s">
        <v>62</v>
      </c>
      <c r="S43" s="1353">
        <f t="shared" si="12"/>
        <v>100</v>
      </c>
      <c r="T43" s="1352" t="s">
        <v>62</v>
      </c>
      <c r="U43" s="1353">
        <f t="shared" si="13"/>
        <v>100</v>
      </c>
      <c r="V43" s="1352" t="s">
        <v>62</v>
      </c>
      <c r="W43" s="1353">
        <f t="shared" si="14"/>
        <v>100</v>
      </c>
      <c r="X43" s="3358"/>
      <c r="Y43" s="3646"/>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4"/>
      <c r="Q44" s="3355">
        <f t="shared" si="11"/>
        <v>111</v>
      </c>
      <c r="R44" s="1342" t="s">
        <v>62</v>
      </c>
      <c r="S44" s="1343">
        <f t="shared" si="12"/>
        <v>100</v>
      </c>
      <c r="T44" s="1342" t="s">
        <v>62</v>
      </c>
      <c r="U44" s="1343">
        <f t="shared" si="13"/>
        <v>100</v>
      </c>
      <c r="V44" s="1342" t="s">
        <v>62</v>
      </c>
      <c r="W44" s="1343">
        <f t="shared" si="14"/>
        <v>100</v>
      </c>
      <c r="X44" s="287"/>
      <c r="Y44" s="3646"/>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4"/>
      <c r="Q45" s="3361">
        <f t="shared" si="11"/>
        <v>111</v>
      </c>
      <c r="R45" s="1352" t="s">
        <v>62</v>
      </c>
      <c r="S45" s="1353">
        <f t="shared" si="12"/>
        <v>100</v>
      </c>
      <c r="T45" s="1352" t="s">
        <v>62</v>
      </c>
      <c r="U45" s="1353">
        <f t="shared" si="13"/>
        <v>100</v>
      </c>
      <c r="V45" s="1352" t="s">
        <v>62</v>
      </c>
      <c r="W45" s="1353">
        <f t="shared" si="14"/>
        <v>100</v>
      </c>
      <c r="X45" s="3358"/>
      <c r="Y45" s="3646"/>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5"/>
      <c r="Q46" s="3361">
        <f t="shared" si="11"/>
        <v>111</v>
      </c>
      <c r="R46" s="1352" t="s">
        <v>62</v>
      </c>
      <c r="S46" s="1353">
        <f t="shared" si="12"/>
        <v>100</v>
      </c>
      <c r="T46" s="1352" t="s">
        <v>62</v>
      </c>
      <c r="U46" s="1353">
        <f t="shared" si="13"/>
        <v>100</v>
      </c>
      <c r="V46" s="1352" t="s">
        <v>62</v>
      </c>
      <c r="W46" s="1353">
        <f t="shared" si="14"/>
        <v>100</v>
      </c>
      <c r="X46" s="3358"/>
      <c r="Y46" s="3647"/>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39" t="str">
        <f>A47</f>
        <v>成交单价（元/平方米）</v>
      </c>
      <c r="Q47" s="3639"/>
      <c r="R47" s="3634">
        <f>E47</f>
        <v>15000</v>
      </c>
      <c r="S47" s="3634"/>
      <c r="T47" s="3634">
        <f>G47</f>
        <v>15000</v>
      </c>
      <c r="U47" s="3634"/>
      <c r="V47" s="3634">
        <f>I47</f>
        <v>15000</v>
      </c>
      <c r="W47" s="3634"/>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39" t="str">
        <f>A48</f>
        <v>比较价值（元/平方米）</v>
      </c>
      <c r="Q48" s="3639"/>
      <c r="R48" s="3640">
        <f>IF(F1="售价",ROUND(PRODUCT(R47,AA7:AA46),0),ROUND(PRODUCT(R47,AA7:AA46),1))</f>
        <v>14150.9</v>
      </c>
      <c r="S48" s="3640"/>
      <c r="T48" s="3640">
        <f>IF(F1="售价",ROUND(PRODUCT(T47,AB7:AB46),0),ROUND(PRODUCT(T47,AB7:AB46),1))</f>
        <v>14150.9</v>
      </c>
      <c r="U48" s="3640"/>
      <c r="V48" s="3640">
        <f>IF(F1="售价",ROUND(PRODUCT(V47,AC7:AC46),0),ROUND(PRODUCT(V47,AC7:AC46),1))</f>
        <v>14150.9</v>
      </c>
      <c r="W48" s="3640"/>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36" t="str">
        <f>A49</f>
        <v>估价对象XX用房的比较价值（楼面单价，元/平方米）</v>
      </c>
      <c r="Q49" s="3637"/>
      <c r="R49" s="3638">
        <f>IF(F1="售价",ROUND(AVERAGE(R48:V48),0),ROUND(AVERAGE(R48:V48),1))</f>
        <v>14150.9</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C38" sqref="C3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3171</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10</v>
      </c>
      <c r="C2" s="3097" t="s">
        <v>528</v>
      </c>
      <c r="D2" s="2724">
        <f ca="1">SUMIF(INDIRECT("'"&amp;F2&amp;"'"&amp;"!A:A"),"承租人权益价值",INDIRECT("'"&amp;F2&amp;"'"&amp;"!c:c"))</f>
        <v>11795</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2.7</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09" t="s">
        <v>55</v>
      </c>
      <c r="S4" s="3610"/>
      <c r="T4" s="3609" t="s">
        <v>56</v>
      </c>
      <c r="U4" s="3610"/>
      <c r="V4" s="3634" t="s">
        <v>57</v>
      </c>
      <c r="W4" s="3634"/>
      <c r="X4" s="3374"/>
      <c r="Y4" s="3609" t="s">
        <v>53</v>
      </c>
      <c r="Z4" s="3610"/>
      <c r="AA4" s="3604" t="s">
        <v>55</v>
      </c>
      <c r="AB4" s="3634" t="s">
        <v>56</v>
      </c>
      <c r="AC4" s="3604" t="s">
        <v>57</v>
      </c>
    </row>
    <row r="5" spans="1:29">
      <c r="A5" s="146"/>
      <c r="B5" s="147"/>
      <c r="C5" s="3615" t="s">
        <v>3071</v>
      </c>
      <c r="D5" s="3616"/>
      <c r="E5" s="3613" t="s">
        <v>3072</v>
      </c>
      <c r="F5" s="3614"/>
      <c r="G5" s="3615" t="s">
        <v>3072</v>
      </c>
      <c r="H5" s="3616"/>
      <c r="I5" s="3615" t="s">
        <v>3175</v>
      </c>
      <c r="J5" s="3616"/>
      <c r="K5" s="187"/>
      <c r="L5" s="2295"/>
      <c r="M5" s="2296"/>
      <c r="N5" s="2296"/>
      <c r="O5" s="2296"/>
      <c r="P5" s="3628"/>
      <c r="Q5" s="3629"/>
      <c r="R5" s="3611"/>
      <c r="S5" s="3612"/>
      <c r="T5" s="3611"/>
      <c r="U5" s="3612"/>
      <c r="V5" s="3634"/>
      <c r="W5" s="3634"/>
      <c r="X5" s="3374"/>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5"/>
      <c r="M6" s="2296"/>
      <c r="N6" s="2296"/>
      <c r="O6" s="2296"/>
      <c r="P6" s="3630"/>
      <c r="Q6" s="3631"/>
      <c r="R6" s="3611"/>
      <c r="S6" s="3612"/>
      <c r="T6" s="3632"/>
      <c r="U6" s="3633"/>
      <c r="V6" s="3634"/>
      <c r="W6" s="3634"/>
      <c r="X6" s="3374"/>
      <c r="Y6" s="3632"/>
      <c r="Z6" s="3633"/>
      <c r="AA6" s="3606"/>
      <c r="AB6" s="3634"/>
      <c r="AC6" s="3606"/>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07" t="s">
        <v>61</v>
      </c>
      <c r="Q7" s="3635"/>
      <c r="R7" s="1342" t="s">
        <v>62</v>
      </c>
      <c r="S7" s="1343">
        <f t="shared" ref="S7:S15" si="0">F7</f>
        <v>98</v>
      </c>
      <c r="T7" s="1342" t="s">
        <v>62</v>
      </c>
      <c r="U7" s="1343">
        <f t="shared" ref="U7:U15" si="1">H7</f>
        <v>99</v>
      </c>
      <c r="V7" s="1342" t="s">
        <v>62</v>
      </c>
      <c r="W7" s="1343">
        <f t="shared" ref="W7:W15" si="2">J7</f>
        <v>97</v>
      </c>
      <c r="X7" s="287"/>
      <c r="Y7" s="3607" t="s">
        <v>61</v>
      </c>
      <c r="Z7" s="3608"/>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07" t="s">
        <v>993</v>
      </c>
      <c r="Q8" s="3608"/>
      <c r="R8" s="1342" t="s">
        <v>62</v>
      </c>
      <c r="S8" s="1343">
        <f t="shared" si="0"/>
        <v>100</v>
      </c>
      <c r="T8" s="1342" t="s">
        <v>62</v>
      </c>
      <c r="U8" s="1343">
        <f t="shared" si="1"/>
        <v>100</v>
      </c>
      <c r="V8" s="1342" t="s">
        <v>62</v>
      </c>
      <c r="W8" s="1343">
        <f t="shared" si="2"/>
        <v>100</v>
      </c>
      <c r="X8" s="287"/>
      <c r="Y8" s="3607" t="s">
        <v>993</v>
      </c>
      <c r="Z8" s="3608"/>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3368" t="str">
        <f t="shared" ref="Q9:Q15" si="6">B9</f>
        <v>用途</v>
      </c>
      <c r="R9" s="1342" t="s">
        <v>62</v>
      </c>
      <c r="S9" s="1343">
        <f t="shared" si="0"/>
        <v>100</v>
      </c>
      <c r="T9" s="1342" t="s">
        <v>62</v>
      </c>
      <c r="U9" s="1343">
        <f t="shared" si="1"/>
        <v>100</v>
      </c>
      <c r="V9" s="1342" t="s">
        <v>62</v>
      </c>
      <c r="W9" s="1343">
        <f t="shared" si="2"/>
        <v>100</v>
      </c>
      <c r="X9" s="287"/>
      <c r="Y9" s="3445" t="s">
        <v>64</v>
      </c>
      <c r="Z9" s="3369" t="str">
        <f t="shared" ref="Z9:Z15" si="7">Q9</f>
        <v>用途</v>
      </c>
      <c r="AA9" s="1344">
        <f t="shared" si="3"/>
        <v>1</v>
      </c>
      <c r="AB9" s="1344">
        <f t="shared" si="4"/>
        <v>1</v>
      </c>
      <c r="AC9" s="1344">
        <f t="shared" si="5"/>
        <v>1</v>
      </c>
    </row>
    <row r="10" spans="1:29" s="92" customFormat="1" ht="27">
      <c r="A10" s="150"/>
      <c r="B10" s="3370"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1"/>
      <c r="Q10" s="3368" t="str">
        <f t="shared" si="6"/>
        <v>土地使用年限（年）</v>
      </c>
      <c r="R10" s="1342" t="s">
        <v>62</v>
      </c>
      <c r="S10" s="1343">
        <f t="shared" si="0"/>
        <v>102</v>
      </c>
      <c r="T10" s="1342" t="s">
        <v>62</v>
      </c>
      <c r="U10" s="1343">
        <f t="shared" si="1"/>
        <v>102</v>
      </c>
      <c r="V10" s="1342" t="s">
        <v>62</v>
      </c>
      <c r="W10" s="1343">
        <f t="shared" si="2"/>
        <v>100</v>
      </c>
      <c r="X10" s="287"/>
      <c r="Y10" s="3445"/>
      <c r="Z10" s="3369" t="str">
        <f t="shared" si="7"/>
        <v>土地使用年限（年）</v>
      </c>
      <c r="AA10" s="1344">
        <f t="shared" si="3"/>
        <v>0.98039215686274506</v>
      </c>
      <c r="AB10" s="1344">
        <f t="shared" si="4"/>
        <v>0.98039215686274506</v>
      </c>
      <c r="AC10" s="1344">
        <f t="shared" si="5"/>
        <v>1</v>
      </c>
    </row>
    <row r="11" spans="1:29" ht="15">
      <c r="A11" s="151"/>
      <c r="B11" s="3370"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1"/>
      <c r="Q11" s="3368" t="str">
        <f t="shared" si="6"/>
        <v>容积率</v>
      </c>
      <c r="R11" s="1342" t="s">
        <v>62</v>
      </c>
      <c r="S11" s="1343">
        <f t="shared" si="0"/>
        <v>100</v>
      </c>
      <c r="T11" s="1342" t="s">
        <v>62</v>
      </c>
      <c r="U11" s="1343">
        <f t="shared" si="1"/>
        <v>100</v>
      </c>
      <c r="V11" s="1342" t="s">
        <v>62</v>
      </c>
      <c r="W11" s="1343">
        <f t="shared" si="2"/>
        <v>100</v>
      </c>
      <c r="X11" s="287"/>
      <c r="Y11" s="3445"/>
      <c r="Z11" s="3369"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3368">
        <f t="shared" si="6"/>
        <v>0</v>
      </c>
      <c r="R12" s="1342" t="s">
        <v>62</v>
      </c>
      <c r="S12" s="1343">
        <f t="shared" si="0"/>
        <v>100</v>
      </c>
      <c r="T12" s="1342" t="s">
        <v>62</v>
      </c>
      <c r="U12" s="1343">
        <f t="shared" si="1"/>
        <v>100</v>
      </c>
      <c r="V12" s="1342" t="s">
        <v>62</v>
      </c>
      <c r="W12" s="1343">
        <f t="shared" si="2"/>
        <v>100</v>
      </c>
      <c r="X12" s="287"/>
      <c r="Y12" s="3445"/>
      <c r="Z12" s="3369">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3368">
        <f t="shared" si="6"/>
        <v>0</v>
      </c>
      <c r="R13" s="1342" t="s">
        <v>62</v>
      </c>
      <c r="S13" s="1343">
        <f t="shared" si="0"/>
        <v>100</v>
      </c>
      <c r="T13" s="1342" t="s">
        <v>62</v>
      </c>
      <c r="U13" s="1343">
        <f t="shared" si="1"/>
        <v>100</v>
      </c>
      <c r="V13" s="1342" t="s">
        <v>62</v>
      </c>
      <c r="W13" s="1343">
        <f t="shared" si="2"/>
        <v>100</v>
      </c>
      <c r="X13" s="287"/>
      <c r="Y13" s="3445"/>
      <c r="Z13" s="3369">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3368">
        <f t="shared" si="6"/>
        <v>0</v>
      </c>
      <c r="R14" s="1342" t="s">
        <v>62</v>
      </c>
      <c r="S14" s="1343">
        <f t="shared" si="0"/>
        <v>100</v>
      </c>
      <c r="T14" s="1342" t="s">
        <v>62</v>
      </c>
      <c r="U14" s="1343">
        <f t="shared" si="1"/>
        <v>100</v>
      </c>
      <c r="V14" s="1342" t="s">
        <v>62</v>
      </c>
      <c r="W14" s="1343">
        <f t="shared" si="2"/>
        <v>100</v>
      </c>
      <c r="X14" s="287"/>
      <c r="Y14" s="3445"/>
      <c r="Z14" s="3369">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48" t="s">
        <v>66</v>
      </c>
      <c r="Q15" s="3372" t="str">
        <f t="shared" si="6"/>
        <v>商业繁华度</v>
      </c>
      <c r="R15" s="1352" t="s">
        <v>62</v>
      </c>
      <c r="S15" s="1353">
        <f t="shared" si="0"/>
        <v>102</v>
      </c>
      <c r="T15" s="1352" t="s">
        <v>62</v>
      </c>
      <c r="U15" s="1353">
        <f t="shared" si="1"/>
        <v>102</v>
      </c>
      <c r="V15" s="1352" t="s">
        <v>62</v>
      </c>
      <c r="W15" s="1353">
        <f t="shared" si="2"/>
        <v>102</v>
      </c>
      <c r="X15" s="3374"/>
      <c r="Y15" s="3641" t="s">
        <v>66</v>
      </c>
      <c r="Z15" s="3375" t="str">
        <f t="shared" si="7"/>
        <v>商业繁华度</v>
      </c>
      <c r="AA15" s="3373">
        <f t="shared" si="3"/>
        <v>0.98039215686274506</v>
      </c>
      <c r="AB15" s="3373">
        <f t="shared" si="4"/>
        <v>0.98039215686274506</v>
      </c>
      <c r="AC15" s="3373">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49"/>
      <c r="Q16" s="3372"/>
      <c r="R16" s="1352"/>
      <c r="S16" s="1353"/>
      <c r="T16" s="1352"/>
      <c r="U16" s="1353"/>
      <c r="V16" s="1352"/>
      <c r="W16" s="1353"/>
      <c r="X16" s="3374"/>
      <c r="Y16" s="3642"/>
      <c r="Z16" s="3375"/>
      <c r="AA16" s="3373">
        <v>1</v>
      </c>
      <c r="AB16" s="3373">
        <v>1</v>
      </c>
      <c r="AC16" s="3373">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49"/>
      <c r="Q17" s="3372" t="str">
        <f>B17</f>
        <v>交通便捷度</v>
      </c>
      <c r="R17" s="1352" t="s">
        <v>62</v>
      </c>
      <c r="S17" s="1353">
        <f>F17</f>
        <v>100</v>
      </c>
      <c r="T17" s="1352" t="s">
        <v>62</v>
      </c>
      <c r="U17" s="1353">
        <f>H17</f>
        <v>100</v>
      </c>
      <c r="V17" s="1352" t="s">
        <v>62</v>
      </c>
      <c r="W17" s="1353">
        <f>J17</f>
        <v>100</v>
      </c>
      <c r="X17" s="3374"/>
      <c r="Y17" s="3642"/>
      <c r="Z17" s="3375" t="str">
        <f>Q17</f>
        <v>交通便捷度</v>
      </c>
      <c r="AA17" s="3373">
        <f t="shared" si="3"/>
        <v>1</v>
      </c>
      <c r="AB17" s="3373">
        <f t="shared" si="4"/>
        <v>1</v>
      </c>
      <c r="AC17" s="3373">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49"/>
      <c r="Q18" s="3372"/>
      <c r="R18" s="1352"/>
      <c r="S18" s="1353"/>
      <c r="T18" s="1352"/>
      <c r="U18" s="1353"/>
      <c r="V18" s="1352"/>
      <c r="W18" s="1353"/>
      <c r="X18" s="3374"/>
      <c r="Y18" s="3642"/>
      <c r="Z18" s="3375"/>
      <c r="AA18" s="3373">
        <v>1</v>
      </c>
      <c r="AB18" s="3373">
        <v>1</v>
      </c>
      <c r="AC18" s="3373">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49"/>
      <c r="Q19" s="3372" t="str">
        <f>B19</f>
        <v>公共配套设施</v>
      </c>
      <c r="R19" s="1352" t="s">
        <v>62</v>
      </c>
      <c r="S19" s="1353">
        <f>F19</f>
        <v>100</v>
      </c>
      <c r="T19" s="1352" t="s">
        <v>62</v>
      </c>
      <c r="U19" s="1353">
        <f>H19</f>
        <v>100</v>
      </c>
      <c r="V19" s="1352" t="s">
        <v>62</v>
      </c>
      <c r="W19" s="1353">
        <f>J19</f>
        <v>100</v>
      </c>
      <c r="X19" s="3374"/>
      <c r="Y19" s="3642"/>
      <c r="Z19" s="3375" t="str">
        <f>Q19</f>
        <v>公共配套设施</v>
      </c>
      <c r="AA19" s="3373">
        <f t="shared" si="3"/>
        <v>1</v>
      </c>
      <c r="AB19" s="3373">
        <f t="shared" si="4"/>
        <v>1</v>
      </c>
      <c r="AC19" s="3373">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49"/>
      <c r="Q20" s="3372"/>
      <c r="R20" s="1352"/>
      <c r="S20" s="1353"/>
      <c r="T20" s="1352"/>
      <c r="U20" s="1353"/>
      <c r="V20" s="1352"/>
      <c r="W20" s="1353"/>
      <c r="X20" s="3374"/>
      <c r="Y20" s="3642"/>
      <c r="Z20" s="3375"/>
      <c r="AA20" s="3373">
        <v>1</v>
      </c>
      <c r="AB20" s="3373">
        <v>1</v>
      </c>
      <c r="AC20" s="3373">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3163</v>
      </c>
      <c r="H21" s="793">
        <f>SUMIF(82:82,G22,83:83)-SUMIF(82:82,C22,83:83)+100</f>
        <v>100</v>
      </c>
      <c r="I21" s="105" t="s">
        <v>3116</v>
      </c>
      <c r="J21" s="793">
        <f>SUMIF(82:82,I22,83:83)-SUMIF(82:82,C22,83:83)+100</f>
        <v>100</v>
      </c>
      <c r="K21" s="957">
        <v>2</v>
      </c>
      <c r="L21" s="2301"/>
      <c r="M21" s="2296"/>
      <c r="N21" s="2296"/>
      <c r="O21" s="2296"/>
      <c r="P21" s="3649"/>
      <c r="Q21" s="3372" t="str">
        <f>B21</f>
        <v>基础设施水平</v>
      </c>
      <c r="R21" s="1352" t="s">
        <v>62</v>
      </c>
      <c r="S21" s="1353">
        <f>F21</f>
        <v>100</v>
      </c>
      <c r="T21" s="1352" t="s">
        <v>62</v>
      </c>
      <c r="U21" s="1353">
        <f>H21</f>
        <v>100</v>
      </c>
      <c r="V21" s="1352" t="s">
        <v>62</v>
      </c>
      <c r="W21" s="1353">
        <f>J21</f>
        <v>100</v>
      </c>
      <c r="X21" s="3374"/>
      <c r="Y21" s="3642"/>
      <c r="Z21" s="3375" t="str">
        <f>Q21</f>
        <v>基础设施水平</v>
      </c>
      <c r="AA21" s="3373">
        <f t="shared" ref="AA21" si="8">D21/F21</f>
        <v>1</v>
      </c>
      <c r="AB21" s="3373">
        <f t="shared" ref="AB21" si="9">D21/H21</f>
        <v>1</v>
      </c>
      <c r="AC21" s="3373">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49"/>
      <c r="Q22" s="3372"/>
      <c r="R22" s="1352"/>
      <c r="S22" s="1353"/>
      <c r="T22" s="1352"/>
      <c r="U22" s="1353"/>
      <c r="V22" s="1352"/>
      <c r="W22" s="1353"/>
      <c r="X22" s="3374"/>
      <c r="Y22" s="3642"/>
      <c r="Z22" s="3375"/>
      <c r="AA22" s="3373">
        <v>1</v>
      </c>
      <c r="AB22" s="3373">
        <v>1</v>
      </c>
      <c r="AC22" s="3373">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49"/>
      <c r="Q23" s="3372" t="str">
        <f>B23</f>
        <v>自然及人文环境</v>
      </c>
      <c r="R23" s="1352" t="s">
        <v>62</v>
      </c>
      <c r="S23" s="1353">
        <f>F23</f>
        <v>100</v>
      </c>
      <c r="T23" s="1352" t="s">
        <v>62</v>
      </c>
      <c r="U23" s="1353">
        <f>H23</f>
        <v>100</v>
      </c>
      <c r="V23" s="1352" t="s">
        <v>62</v>
      </c>
      <c r="W23" s="1353">
        <f>J23</f>
        <v>100</v>
      </c>
      <c r="X23" s="3374"/>
      <c r="Y23" s="3642"/>
      <c r="Z23" s="3375" t="str">
        <f>Q23</f>
        <v>自然及人文环境</v>
      </c>
      <c r="AA23" s="3373">
        <f t="shared" si="3"/>
        <v>1</v>
      </c>
      <c r="AB23" s="3373">
        <f t="shared" si="4"/>
        <v>1</v>
      </c>
      <c r="AC23" s="3373">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49"/>
      <c r="Q24" s="3372"/>
      <c r="R24" s="1352"/>
      <c r="S24" s="1353"/>
      <c r="T24" s="1352"/>
      <c r="U24" s="1353"/>
      <c r="V24" s="1352"/>
      <c r="W24" s="1353"/>
      <c r="X24" s="3374"/>
      <c r="Y24" s="3642"/>
      <c r="Z24" s="3375"/>
      <c r="AA24" s="3373">
        <v>1</v>
      </c>
      <c r="AB24" s="3373">
        <v>1</v>
      </c>
      <c r="AC24" s="3373">
        <v>1</v>
      </c>
    </row>
    <row r="25" spans="1:29" ht="15">
      <c r="A25" s="151"/>
      <c r="B25" s="3370"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49"/>
      <c r="Q25" s="3372" t="str">
        <f t="shared" ref="Q25:Q46" si="11">B25</f>
        <v>临街状况</v>
      </c>
      <c r="R25" s="1352" t="s">
        <v>62</v>
      </c>
      <c r="S25" s="1353">
        <f>F25</f>
        <v>100</v>
      </c>
      <c r="T25" s="1352" t="s">
        <v>62</v>
      </c>
      <c r="U25" s="1353">
        <f>H25</f>
        <v>100</v>
      </c>
      <c r="V25" s="1352" t="s">
        <v>62</v>
      </c>
      <c r="W25" s="1353">
        <f>J25</f>
        <v>102</v>
      </c>
      <c r="X25" s="3374"/>
      <c r="Y25" s="3642"/>
      <c r="Z25" s="3375" t="str">
        <f>Q25</f>
        <v>临街状况</v>
      </c>
      <c r="AA25" s="3373">
        <f t="shared" si="3"/>
        <v>1</v>
      </c>
      <c r="AB25" s="3373">
        <f t="shared" si="4"/>
        <v>1</v>
      </c>
      <c r="AC25" s="3373">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49"/>
      <c r="Q26" s="3372" t="str">
        <f t="shared" si="11"/>
        <v>平面位置/可视性</v>
      </c>
      <c r="R26" s="1352" t="s">
        <v>62</v>
      </c>
      <c r="S26" s="1353">
        <f>F26</f>
        <v>100</v>
      </c>
      <c r="T26" s="1352" t="s">
        <v>62</v>
      </c>
      <c r="U26" s="1353">
        <f>H26</f>
        <v>100</v>
      </c>
      <c r="V26" s="1352" t="s">
        <v>62</v>
      </c>
      <c r="W26" s="1353">
        <f>J26</f>
        <v>100</v>
      </c>
      <c r="X26" s="3374"/>
      <c r="Y26" s="3642"/>
      <c r="Z26" s="3375" t="str">
        <f>Q26</f>
        <v>平面位置/可视性</v>
      </c>
      <c r="AA26" s="3373">
        <f t="shared" si="3"/>
        <v>1</v>
      </c>
      <c r="AB26" s="3373">
        <f t="shared" si="4"/>
        <v>1</v>
      </c>
      <c r="AC26" s="3373">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49"/>
      <c r="Q27" s="3368" t="str">
        <f t="shared" si="11"/>
        <v>人流量</v>
      </c>
      <c r="R27" s="1342" t="s">
        <v>62</v>
      </c>
      <c r="S27" s="1343">
        <f>F27</f>
        <v>102</v>
      </c>
      <c r="T27" s="1342" t="s">
        <v>62</v>
      </c>
      <c r="U27" s="1343">
        <f>H27</f>
        <v>102</v>
      </c>
      <c r="V27" s="1342" t="s">
        <v>62</v>
      </c>
      <c r="W27" s="1343">
        <f>J27</f>
        <v>102</v>
      </c>
      <c r="X27" s="287"/>
      <c r="Y27" s="3642"/>
      <c r="Z27" s="3369" t="str">
        <f>Q27</f>
        <v>人流量</v>
      </c>
      <c r="AA27" s="3373">
        <f>D27/F27</f>
        <v>0.98039215686274506</v>
      </c>
      <c r="AB27" s="3373">
        <f>D27/H27</f>
        <v>0.98039215686274506</v>
      </c>
      <c r="AC27" s="3373">
        <f>D27/J27</f>
        <v>0.98039215686274506</v>
      </c>
    </row>
    <row r="28" spans="1:29" ht="15" thickBot="1">
      <c r="A28" s="151"/>
      <c r="B28" s="3370" t="s">
        <v>129</v>
      </c>
      <c r="C28" s="182">
        <v>3</v>
      </c>
      <c r="D28" s="778">
        <v>100</v>
      </c>
      <c r="E28" s="182">
        <v>1</v>
      </c>
      <c r="F28" s="804">
        <f>SUMIF(92:92,E28,93:93)-SUMIF(92:92,C28,93:93)+100</f>
        <v>125</v>
      </c>
      <c r="G28" s="182">
        <v>2</v>
      </c>
      <c r="H28" s="778">
        <f>SUMIF(92:92,G28,93:93)-SUMIF(92:92,C28,93:93)+100</f>
        <v>110</v>
      </c>
      <c r="I28" s="182">
        <v>1</v>
      </c>
      <c r="J28" s="778">
        <f>SUMIF(92:92,I28,93:93)-SUMIF(92:92,C28,93:93)+100</f>
        <v>125</v>
      </c>
      <c r="K28" s="188"/>
      <c r="L28" s="2301"/>
      <c r="M28" s="2296"/>
      <c r="N28" s="2296"/>
      <c r="O28" s="2296"/>
      <c r="P28" s="3649"/>
      <c r="Q28" s="3372" t="str">
        <f t="shared" si="11"/>
        <v>楼层</v>
      </c>
      <c r="R28" s="1352" t="s">
        <v>62</v>
      </c>
      <c r="S28" s="1353">
        <f t="shared" ref="S28:S46" si="12">F28</f>
        <v>125</v>
      </c>
      <c r="T28" s="1352" t="s">
        <v>62</v>
      </c>
      <c r="U28" s="1353">
        <f t="shared" ref="U28:U46" si="13">H28</f>
        <v>110</v>
      </c>
      <c r="V28" s="1352" t="s">
        <v>62</v>
      </c>
      <c r="W28" s="1353">
        <f t="shared" ref="W28:W46" si="14">J28</f>
        <v>125</v>
      </c>
      <c r="X28" s="3374"/>
      <c r="Y28" s="3642"/>
      <c r="Z28" s="3375" t="str">
        <f t="shared" ref="Z28:Z46" si="15">Q28</f>
        <v>楼层</v>
      </c>
      <c r="AA28" s="3373">
        <f t="shared" si="3"/>
        <v>0.8</v>
      </c>
      <c r="AB28" s="3373">
        <f t="shared" si="4"/>
        <v>0.90909090909090906</v>
      </c>
      <c r="AC28" s="3373">
        <f t="shared" si="5"/>
        <v>0.8</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9"/>
      <c r="Q29" s="3372">
        <f t="shared" si="11"/>
        <v>0</v>
      </c>
      <c r="R29" s="1352" t="s">
        <v>62</v>
      </c>
      <c r="S29" s="1353">
        <f t="shared" si="12"/>
        <v>100</v>
      </c>
      <c r="T29" s="1352" t="s">
        <v>62</v>
      </c>
      <c r="U29" s="1353">
        <f t="shared" si="13"/>
        <v>100</v>
      </c>
      <c r="V29" s="1352" t="s">
        <v>62</v>
      </c>
      <c r="W29" s="1353">
        <f t="shared" si="14"/>
        <v>100</v>
      </c>
      <c r="X29" s="3374"/>
      <c r="Y29" s="3642"/>
      <c r="Z29" s="3375">
        <f t="shared" si="15"/>
        <v>0</v>
      </c>
      <c r="AA29" s="3373">
        <f t="shared" si="3"/>
        <v>1</v>
      </c>
      <c r="AB29" s="3373">
        <f t="shared" si="4"/>
        <v>1</v>
      </c>
      <c r="AC29" s="3373">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9"/>
      <c r="Q30" s="3372">
        <f t="shared" si="11"/>
        <v>0</v>
      </c>
      <c r="R30" s="1352" t="s">
        <v>62</v>
      </c>
      <c r="S30" s="1353">
        <f t="shared" si="12"/>
        <v>100</v>
      </c>
      <c r="T30" s="1352" t="s">
        <v>62</v>
      </c>
      <c r="U30" s="1353">
        <f t="shared" si="13"/>
        <v>100</v>
      </c>
      <c r="V30" s="1352" t="s">
        <v>62</v>
      </c>
      <c r="W30" s="1353">
        <f t="shared" si="14"/>
        <v>100</v>
      </c>
      <c r="X30" s="3374"/>
      <c r="Y30" s="3642"/>
      <c r="Z30" s="3375">
        <f t="shared" si="15"/>
        <v>0</v>
      </c>
      <c r="AA30" s="3373">
        <f t="shared" si="3"/>
        <v>1</v>
      </c>
      <c r="AB30" s="3373">
        <f t="shared" si="4"/>
        <v>1</v>
      </c>
      <c r="AC30" s="3373">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9"/>
      <c r="Q31" s="3372">
        <f t="shared" si="11"/>
        <v>0</v>
      </c>
      <c r="R31" s="1352" t="s">
        <v>62</v>
      </c>
      <c r="S31" s="1353">
        <f t="shared" si="12"/>
        <v>100</v>
      </c>
      <c r="T31" s="1352" t="s">
        <v>62</v>
      </c>
      <c r="U31" s="1353">
        <f t="shared" si="13"/>
        <v>100</v>
      </c>
      <c r="V31" s="1352" t="s">
        <v>62</v>
      </c>
      <c r="W31" s="1353">
        <f t="shared" si="14"/>
        <v>100</v>
      </c>
      <c r="X31" s="3374"/>
      <c r="Y31" s="3642"/>
      <c r="Z31" s="3375">
        <f t="shared" si="15"/>
        <v>0</v>
      </c>
      <c r="AA31" s="3373">
        <f t="shared" si="3"/>
        <v>1</v>
      </c>
      <c r="AB31" s="3373">
        <f t="shared" si="4"/>
        <v>1</v>
      </c>
      <c r="AC31" s="3373">
        <f t="shared" si="5"/>
        <v>1</v>
      </c>
    </row>
    <row r="32" spans="1:29" ht="27">
      <c r="A32" s="155" t="s">
        <v>996</v>
      </c>
      <c r="B32" s="62" t="s">
        <v>1021</v>
      </c>
      <c r="C32" s="110" t="s">
        <v>3056</v>
      </c>
      <c r="D32" s="810">
        <v>100</v>
      </c>
      <c r="E32" s="110" t="s">
        <v>3173</v>
      </c>
      <c r="F32" s="804">
        <f>SUMIF(100:100,E32,101:101)-SUMIF(100:100,C32,101:101)+100</f>
        <v>85</v>
      </c>
      <c r="G32" s="110" t="s">
        <v>3173</v>
      </c>
      <c r="H32" s="778">
        <f>SUMIF(100:100,G32,101:101)-SUMIF(100:100,C32,101:101)+100</f>
        <v>85</v>
      </c>
      <c r="I32" s="110" t="s">
        <v>3166</v>
      </c>
      <c r="J32" s="810">
        <f>SUMIF(100:100,I32,101:101)-SUMIF(100:100,C32,101:101)+100</f>
        <v>90</v>
      </c>
      <c r="K32" s="955">
        <v>5</v>
      </c>
      <c r="L32" s="2301"/>
      <c r="M32" s="2296"/>
      <c r="N32" s="2296"/>
      <c r="O32" s="2296"/>
      <c r="P32" s="3643" t="s">
        <v>996</v>
      </c>
      <c r="Q32" s="3372" t="str">
        <f t="shared" si="11"/>
        <v>商业类型</v>
      </c>
      <c r="R32" s="1352" t="s">
        <v>62</v>
      </c>
      <c r="S32" s="1353">
        <f t="shared" si="12"/>
        <v>85</v>
      </c>
      <c r="T32" s="1352" t="s">
        <v>62</v>
      </c>
      <c r="U32" s="1353">
        <f t="shared" si="13"/>
        <v>85</v>
      </c>
      <c r="V32" s="1352" t="s">
        <v>62</v>
      </c>
      <c r="W32" s="1353">
        <f t="shared" si="14"/>
        <v>90</v>
      </c>
      <c r="X32" s="3374"/>
      <c r="Y32" s="3646" t="s">
        <v>996</v>
      </c>
      <c r="Z32" s="3375" t="str">
        <f t="shared" si="15"/>
        <v>商业类型</v>
      </c>
      <c r="AA32" s="3373">
        <f t="shared" si="3"/>
        <v>1.1764705882352942</v>
      </c>
      <c r="AB32" s="3373">
        <f t="shared" si="4"/>
        <v>1.1764705882352942</v>
      </c>
      <c r="AC32" s="3373">
        <f t="shared" si="5"/>
        <v>1.1111111111111112</v>
      </c>
    </row>
    <row r="33" spans="1:29" s="1039" customFormat="1" ht="14.25">
      <c r="A33" s="1043"/>
      <c r="B33" s="3370"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4"/>
      <c r="Q33" s="1359" t="str">
        <f t="shared" si="11"/>
        <v>项目建筑规模</v>
      </c>
      <c r="R33" s="1360" t="s">
        <v>62</v>
      </c>
      <c r="S33" s="1361">
        <f t="shared" si="12"/>
        <v>100</v>
      </c>
      <c r="T33" s="1360" t="s">
        <v>62</v>
      </c>
      <c r="U33" s="1361">
        <f t="shared" si="13"/>
        <v>100</v>
      </c>
      <c r="V33" s="1360" t="s">
        <v>62</v>
      </c>
      <c r="W33" s="1361">
        <f t="shared" si="14"/>
        <v>100</v>
      </c>
      <c r="X33" s="1362"/>
      <c r="Y33" s="3646"/>
      <c r="Z33" s="1363" t="str">
        <f t="shared" si="15"/>
        <v>项目建筑规模</v>
      </c>
      <c r="AA33" s="3373">
        <f t="shared" si="3"/>
        <v>1</v>
      </c>
      <c r="AB33" s="3373">
        <f t="shared" si="4"/>
        <v>1</v>
      </c>
      <c r="AC33" s="3373">
        <f t="shared" si="5"/>
        <v>1</v>
      </c>
    </row>
    <row r="34" spans="1:29" ht="15">
      <c r="A34" s="161"/>
      <c r="B34" s="3370"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4"/>
      <c r="Q34" s="3372" t="str">
        <f t="shared" si="11"/>
        <v>建筑结构</v>
      </c>
      <c r="R34" s="1352" t="s">
        <v>62</v>
      </c>
      <c r="S34" s="1353">
        <f t="shared" si="12"/>
        <v>100</v>
      </c>
      <c r="T34" s="1352" t="s">
        <v>62</v>
      </c>
      <c r="U34" s="1353">
        <f t="shared" si="13"/>
        <v>100</v>
      </c>
      <c r="V34" s="1352" t="s">
        <v>62</v>
      </c>
      <c r="W34" s="1353">
        <f t="shared" si="14"/>
        <v>100</v>
      </c>
      <c r="X34" s="3374"/>
      <c r="Y34" s="3646"/>
      <c r="Z34" s="3375" t="str">
        <f t="shared" si="15"/>
        <v>建筑结构</v>
      </c>
      <c r="AA34" s="3373">
        <f t="shared" si="3"/>
        <v>1</v>
      </c>
      <c r="AB34" s="3373">
        <f t="shared" si="4"/>
        <v>1</v>
      </c>
      <c r="AC34" s="3373">
        <f t="shared" si="5"/>
        <v>1</v>
      </c>
    </row>
    <row r="35" spans="1:29" ht="15">
      <c r="A35" s="161"/>
      <c r="B35" s="3370"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4"/>
      <c r="Q35" s="3372" t="str">
        <f t="shared" si="11"/>
        <v>公共部分装修</v>
      </c>
      <c r="R35" s="1352" t="s">
        <v>62</v>
      </c>
      <c r="S35" s="1353">
        <f t="shared" si="12"/>
        <v>100</v>
      </c>
      <c r="T35" s="1352" t="s">
        <v>62</v>
      </c>
      <c r="U35" s="1353">
        <f t="shared" si="13"/>
        <v>100</v>
      </c>
      <c r="V35" s="1352" t="s">
        <v>62</v>
      </c>
      <c r="W35" s="1353">
        <f t="shared" si="14"/>
        <v>100</v>
      </c>
      <c r="X35" s="3374"/>
      <c r="Y35" s="3646"/>
      <c r="Z35" s="3375" t="str">
        <f t="shared" si="15"/>
        <v>公共部分装修</v>
      </c>
      <c r="AA35" s="3373">
        <f t="shared" si="3"/>
        <v>1</v>
      </c>
      <c r="AB35" s="3373">
        <f t="shared" si="4"/>
        <v>1</v>
      </c>
      <c r="AC35" s="3373">
        <f t="shared" si="5"/>
        <v>1</v>
      </c>
    </row>
    <row r="36" spans="1:29" ht="15">
      <c r="A36" s="161"/>
      <c r="B36" s="3370" t="s">
        <v>131</v>
      </c>
      <c r="C36" s="3760">
        <f>'数据-取费表'!N6</f>
        <v>0.8</v>
      </c>
      <c r="D36" s="778">
        <v>100</v>
      </c>
      <c r="E36" s="817">
        <f>ROUND(1-(2017-2015)/60,2)</f>
        <v>0.97</v>
      </c>
      <c r="F36" s="804">
        <f>LOOKUP(E36,110:110,111:111)-LOOKUP(C36,110:110,111:111)+100</f>
        <v>102</v>
      </c>
      <c r="G36" s="817">
        <f>E36</f>
        <v>0.97</v>
      </c>
      <c r="H36" s="804">
        <f>LOOKUP(G36,110:110,111:111)-LOOKUP(C36,110:110,111:111)+100</f>
        <v>102</v>
      </c>
      <c r="I36" s="3760">
        <v>0.8</v>
      </c>
      <c r="J36" s="778">
        <f>LOOKUP(I36,110:110,111:111)-LOOKUP(C36,110:110,111:111)+100</f>
        <v>100</v>
      </c>
      <c r="K36" s="955">
        <v>2</v>
      </c>
      <c r="L36" s="2301"/>
      <c r="M36" s="2296"/>
      <c r="N36" s="2296"/>
      <c r="O36" s="2296"/>
      <c r="P36" s="3644"/>
      <c r="Q36" s="3372" t="str">
        <f t="shared" si="11"/>
        <v>成新度</v>
      </c>
      <c r="R36" s="1352" t="s">
        <v>62</v>
      </c>
      <c r="S36" s="1353">
        <f t="shared" si="12"/>
        <v>102</v>
      </c>
      <c r="T36" s="1352" t="s">
        <v>62</v>
      </c>
      <c r="U36" s="1353">
        <f t="shared" si="13"/>
        <v>102</v>
      </c>
      <c r="V36" s="1352" t="s">
        <v>62</v>
      </c>
      <c r="W36" s="1353">
        <f t="shared" si="14"/>
        <v>100</v>
      </c>
      <c r="X36" s="3374"/>
      <c r="Y36" s="3646"/>
      <c r="Z36" s="3375" t="str">
        <f t="shared" si="15"/>
        <v>成新度</v>
      </c>
      <c r="AA36" s="3373">
        <f t="shared" si="3"/>
        <v>0.98039215686274506</v>
      </c>
      <c r="AB36" s="3373">
        <f t="shared" si="4"/>
        <v>0.98039215686274506</v>
      </c>
      <c r="AC36" s="3373">
        <f t="shared" si="5"/>
        <v>1</v>
      </c>
    </row>
    <row r="37" spans="1:29" s="40" customFormat="1" ht="15">
      <c r="A37" s="1041"/>
      <c r="B37" s="3370"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44"/>
      <c r="Q37" s="3368" t="str">
        <f t="shared" si="11"/>
        <v>市政基础设施</v>
      </c>
      <c r="R37" s="1342" t="s">
        <v>62</v>
      </c>
      <c r="S37" s="1343">
        <f t="shared" si="12"/>
        <v>100</v>
      </c>
      <c r="T37" s="1342" t="s">
        <v>62</v>
      </c>
      <c r="U37" s="1343">
        <f t="shared" si="13"/>
        <v>100</v>
      </c>
      <c r="V37" s="1342" t="s">
        <v>62</v>
      </c>
      <c r="W37" s="1343">
        <f t="shared" si="14"/>
        <v>100</v>
      </c>
      <c r="X37" s="287"/>
      <c r="Y37" s="3646"/>
      <c r="Z37" s="3369" t="str">
        <f t="shared" si="15"/>
        <v>市政基础设施</v>
      </c>
      <c r="AA37" s="1344">
        <f t="shared" si="3"/>
        <v>1</v>
      </c>
      <c r="AB37" s="1344">
        <f t="shared" si="4"/>
        <v>1</v>
      </c>
      <c r="AC37" s="1344">
        <f t="shared" si="5"/>
        <v>1</v>
      </c>
    </row>
    <row r="38" spans="1:29" ht="15">
      <c r="A38" s="161"/>
      <c r="B38" s="3370"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4" t="s">
        <v>996</v>
      </c>
      <c r="Q38" s="3372" t="str">
        <f t="shared" si="11"/>
        <v>业态</v>
      </c>
      <c r="R38" s="1352" t="s">
        <v>62</v>
      </c>
      <c r="S38" s="1353">
        <f t="shared" si="12"/>
        <v>100</v>
      </c>
      <c r="T38" s="1352" t="s">
        <v>62</v>
      </c>
      <c r="U38" s="1353">
        <f t="shared" si="13"/>
        <v>100</v>
      </c>
      <c r="V38" s="1352" t="s">
        <v>62</v>
      </c>
      <c r="W38" s="1353">
        <f t="shared" si="14"/>
        <v>100</v>
      </c>
      <c r="X38" s="3374"/>
      <c r="Y38" s="3646" t="s">
        <v>996</v>
      </c>
      <c r="Z38" s="3375" t="str">
        <f t="shared" si="15"/>
        <v>业态</v>
      </c>
      <c r="AA38" s="3373">
        <f t="shared" si="3"/>
        <v>1</v>
      </c>
      <c r="AB38" s="3373">
        <f t="shared" si="4"/>
        <v>1</v>
      </c>
      <c r="AC38" s="3373">
        <f t="shared" si="5"/>
        <v>1</v>
      </c>
    </row>
    <row r="39" spans="1:29" ht="15">
      <c r="A39" s="161"/>
      <c r="B39" s="3370"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4"/>
      <c r="Q39" s="3372" t="str">
        <f t="shared" si="11"/>
        <v>层高</v>
      </c>
      <c r="R39" s="1352" t="s">
        <v>62</v>
      </c>
      <c r="S39" s="1353">
        <f t="shared" si="12"/>
        <v>100</v>
      </c>
      <c r="T39" s="1352" t="s">
        <v>62</v>
      </c>
      <c r="U39" s="1353">
        <f t="shared" si="13"/>
        <v>100</v>
      </c>
      <c r="V39" s="1352" t="s">
        <v>62</v>
      </c>
      <c r="W39" s="1353">
        <f t="shared" si="14"/>
        <v>100</v>
      </c>
      <c r="X39" s="3374"/>
      <c r="Y39" s="3646"/>
      <c r="Z39" s="3375" t="str">
        <f t="shared" si="15"/>
        <v>层高</v>
      </c>
      <c r="AA39" s="3373">
        <f t="shared" si="3"/>
        <v>1</v>
      </c>
      <c r="AB39" s="3373">
        <f t="shared" si="4"/>
        <v>1</v>
      </c>
      <c r="AC39" s="3373">
        <f t="shared" si="5"/>
        <v>1</v>
      </c>
    </row>
    <row r="40" spans="1:29" ht="14.25">
      <c r="A40" s="161"/>
      <c r="B40" s="3370" t="s">
        <v>1027</v>
      </c>
      <c r="C40" s="960" t="s">
        <v>3169</v>
      </c>
      <c r="D40" s="778">
        <v>100</v>
      </c>
      <c r="E40" s="961" t="s">
        <v>3172</v>
      </c>
      <c r="F40" s="804">
        <f>SUMIF(118:118,E40,119:119)-SUMIF(118:118,C40,119:119)+100</f>
        <v>100</v>
      </c>
      <c r="G40" s="961" t="s">
        <v>3172</v>
      </c>
      <c r="H40" s="778">
        <f>SUMIF(118:118,G40,119:119)-SUMIF(118:118,C40,119:119)+100</f>
        <v>100</v>
      </c>
      <c r="I40" s="961" t="s">
        <v>3169</v>
      </c>
      <c r="J40" s="778">
        <f>SUMIF(118:118,I40,119:119)-SUMIF(118:118,C40,119:119)+100</f>
        <v>100</v>
      </c>
      <c r="K40" s="188"/>
      <c r="L40" s="2301"/>
      <c r="M40" s="2296"/>
      <c r="N40" s="2296"/>
      <c r="O40" s="2296"/>
      <c r="P40" s="3644"/>
      <c r="Q40" s="3372" t="str">
        <f t="shared" si="11"/>
        <v>单套建筑面积</v>
      </c>
      <c r="R40" s="1352" t="s">
        <v>62</v>
      </c>
      <c r="S40" s="1353">
        <f t="shared" si="12"/>
        <v>100</v>
      </c>
      <c r="T40" s="1352" t="s">
        <v>62</v>
      </c>
      <c r="U40" s="1353">
        <f t="shared" si="13"/>
        <v>100</v>
      </c>
      <c r="V40" s="1352" t="s">
        <v>62</v>
      </c>
      <c r="W40" s="1353">
        <f t="shared" si="14"/>
        <v>100</v>
      </c>
      <c r="X40" s="3374"/>
      <c r="Y40" s="3646"/>
      <c r="Z40" s="3375" t="str">
        <f t="shared" si="15"/>
        <v>单套建筑面积</v>
      </c>
      <c r="AA40" s="3373">
        <f t="shared" si="3"/>
        <v>1</v>
      </c>
      <c r="AB40" s="3373">
        <f t="shared" si="4"/>
        <v>1</v>
      </c>
      <c r="AC40" s="3373">
        <f t="shared" si="5"/>
        <v>1</v>
      </c>
    </row>
    <row r="41" spans="1:29" s="1039" customFormat="1" ht="15">
      <c r="A41" s="1043"/>
      <c r="B41" s="3371" t="s">
        <v>1028</v>
      </c>
      <c r="C41" s="182" t="s">
        <v>3159</v>
      </c>
      <c r="D41" s="778">
        <v>100</v>
      </c>
      <c r="E41" s="182" t="s">
        <v>3159</v>
      </c>
      <c r="F41" s="804">
        <f>SUMIF(120:120,E41,121:121)-SUMIF(120:120,C41,121:121)+100</f>
        <v>100</v>
      </c>
      <c r="G41" s="182" t="s">
        <v>3159</v>
      </c>
      <c r="H41" s="778">
        <f>SUMIF(120:120,G41,121:121)-SUMIF(120:120,C41,121:121)+100</f>
        <v>100</v>
      </c>
      <c r="I41" s="182" t="s">
        <v>3159</v>
      </c>
      <c r="J41" s="778">
        <f>SUMIF(120:120,I41,121:121)-SUMIF(120:120,C41,121:121)+100</f>
        <v>100</v>
      </c>
      <c r="K41" s="955">
        <v>2</v>
      </c>
      <c r="L41" s="2300"/>
      <c r="M41" s="2302"/>
      <c r="N41" s="2302"/>
      <c r="O41" s="2302"/>
      <c r="P41" s="3644"/>
      <c r="Q41" s="1359" t="str">
        <f t="shared" si="11"/>
        <v>进深比</v>
      </c>
      <c r="R41" s="1360" t="s">
        <v>62</v>
      </c>
      <c r="S41" s="1361">
        <f t="shared" si="12"/>
        <v>100</v>
      </c>
      <c r="T41" s="1360" t="s">
        <v>62</v>
      </c>
      <c r="U41" s="1361">
        <f t="shared" si="13"/>
        <v>100</v>
      </c>
      <c r="V41" s="1360" t="s">
        <v>62</v>
      </c>
      <c r="W41" s="1361">
        <f t="shared" si="14"/>
        <v>100</v>
      </c>
      <c r="X41" s="1362"/>
      <c r="Y41" s="3646"/>
      <c r="Z41" s="1363" t="str">
        <f t="shared" si="15"/>
        <v>进深比</v>
      </c>
      <c r="AA41" s="3373">
        <f t="shared" si="3"/>
        <v>1</v>
      </c>
      <c r="AB41" s="3373">
        <f t="shared" si="4"/>
        <v>1</v>
      </c>
      <c r="AC41" s="3373">
        <f t="shared" si="5"/>
        <v>1</v>
      </c>
    </row>
    <row r="42" spans="1:29" ht="15">
      <c r="A42" s="161"/>
      <c r="B42" s="3370"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44"/>
      <c r="Q42" s="3372" t="str">
        <f t="shared" si="11"/>
        <v>内部装修</v>
      </c>
      <c r="R42" s="1352" t="s">
        <v>62</v>
      </c>
      <c r="S42" s="1353">
        <f t="shared" si="12"/>
        <v>94</v>
      </c>
      <c r="T42" s="1352" t="s">
        <v>62</v>
      </c>
      <c r="U42" s="1353">
        <f t="shared" si="13"/>
        <v>94</v>
      </c>
      <c r="V42" s="1352" t="s">
        <v>62</v>
      </c>
      <c r="W42" s="1353">
        <f t="shared" si="14"/>
        <v>96</v>
      </c>
      <c r="X42" s="3374"/>
      <c r="Y42" s="3646"/>
      <c r="Z42" s="3375" t="str">
        <f t="shared" si="15"/>
        <v>内部装修</v>
      </c>
      <c r="AA42" s="3373">
        <f t="shared" si="3"/>
        <v>1.0638297872340425</v>
      </c>
      <c r="AB42" s="3373">
        <f t="shared" si="4"/>
        <v>1.0638297872340425</v>
      </c>
      <c r="AC42" s="3373">
        <f t="shared" si="5"/>
        <v>1.0416666666666667</v>
      </c>
    </row>
    <row r="43" spans="1:29" ht="27.75" thickBot="1">
      <c r="A43" s="161"/>
      <c r="B43" s="3370"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4"/>
      <c r="Q43" s="3372" t="str">
        <f t="shared" si="11"/>
        <v>内部装修维护情况</v>
      </c>
      <c r="R43" s="1352" t="s">
        <v>62</v>
      </c>
      <c r="S43" s="1353">
        <f t="shared" si="12"/>
        <v>100</v>
      </c>
      <c r="T43" s="1352" t="s">
        <v>62</v>
      </c>
      <c r="U43" s="1353">
        <f t="shared" si="13"/>
        <v>100</v>
      </c>
      <c r="V43" s="1352" t="s">
        <v>62</v>
      </c>
      <c r="W43" s="1353">
        <f t="shared" si="14"/>
        <v>100</v>
      </c>
      <c r="X43" s="3374"/>
      <c r="Y43" s="3646"/>
      <c r="Z43" s="3375" t="str">
        <f t="shared" si="15"/>
        <v>内部装修维护情况</v>
      </c>
      <c r="AA43" s="3373">
        <f t="shared" si="3"/>
        <v>1</v>
      </c>
      <c r="AB43" s="3373">
        <f t="shared" si="4"/>
        <v>1</v>
      </c>
      <c r="AC43" s="3373">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4"/>
      <c r="Q44" s="3368">
        <f t="shared" si="11"/>
        <v>0</v>
      </c>
      <c r="R44" s="1342" t="s">
        <v>62</v>
      </c>
      <c r="S44" s="1343">
        <f t="shared" si="12"/>
        <v>100</v>
      </c>
      <c r="T44" s="1342" t="s">
        <v>62</v>
      </c>
      <c r="U44" s="1343">
        <f t="shared" si="13"/>
        <v>100</v>
      </c>
      <c r="V44" s="1342" t="s">
        <v>62</v>
      </c>
      <c r="W44" s="1343">
        <f t="shared" si="14"/>
        <v>100</v>
      </c>
      <c r="X44" s="287"/>
      <c r="Y44" s="3646"/>
      <c r="Z44" s="3369">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4"/>
      <c r="Q45" s="3372">
        <f t="shared" si="11"/>
        <v>0</v>
      </c>
      <c r="R45" s="1352" t="s">
        <v>62</v>
      </c>
      <c r="S45" s="1353">
        <f t="shared" si="12"/>
        <v>100</v>
      </c>
      <c r="T45" s="1352" t="s">
        <v>62</v>
      </c>
      <c r="U45" s="1353">
        <f t="shared" si="13"/>
        <v>100</v>
      </c>
      <c r="V45" s="1352" t="s">
        <v>62</v>
      </c>
      <c r="W45" s="1353">
        <f t="shared" si="14"/>
        <v>100</v>
      </c>
      <c r="X45" s="3374"/>
      <c r="Y45" s="3646"/>
      <c r="Z45" s="3375">
        <f t="shared" si="15"/>
        <v>0</v>
      </c>
      <c r="AA45" s="3373">
        <f t="shared" si="3"/>
        <v>1</v>
      </c>
      <c r="AB45" s="3373">
        <f t="shared" si="4"/>
        <v>1</v>
      </c>
      <c r="AC45" s="3373">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5"/>
      <c r="Q46" s="3372">
        <f t="shared" si="11"/>
        <v>0</v>
      </c>
      <c r="R46" s="1352" t="s">
        <v>62</v>
      </c>
      <c r="S46" s="1353">
        <f t="shared" si="12"/>
        <v>100</v>
      </c>
      <c r="T46" s="1352" t="s">
        <v>62</v>
      </c>
      <c r="U46" s="1353">
        <f t="shared" si="13"/>
        <v>100</v>
      </c>
      <c r="V46" s="1352" t="s">
        <v>62</v>
      </c>
      <c r="W46" s="1353">
        <f t="shared" si="14"/>
        <v>100</v>
      </c>
      <c r="X46" s="3374"/>
      <c r="Y46" s="3647"/>
      <c r="Z46" s="3375">
        <f t="shared" si="15"/>
        <v>0</v>
      </c>
      <c r="AA46" s="3373">
        <f t="shared" si="3"/>
        <v>1</v>
      </c>
      <c r="AB46" s="3373">
        <f t="shared" si="4"/>
        <v>1</v>
      </c>
      <c r="AC46" s="3373">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39" t="str">
        <f>A47</f>
        <v>成交单价（元/平方米）</v>
      </c>
      <c r="Q47" s="3639"/>
      <c r="R47" s="3634">
        <f>E47</f>
        <v>3</v>
      </c>
      <c r="S47" s="3634"/>
      <c r="T47" s="3634">
        <f>G47</f>
        <v>2.7</v>
      </c>
      <c r="U47" s="3634"/>
      <c r="V47" s="3634">
        <f>I47</f>
        <v>2.8</v>
      </c>
      <c r="W47" s="3634"/>
      <c r="X47" s="1365"/>
      <c r="Y47" s="1366"/>
      <c r="Z47" s="1365"/>
      <c r="AA47" s="1365"/>
      <c r="AB47" s="1365"/>
      <c r="AC47" s="1365"/>
    </row>
    <row r="48" spans="1:29" ht="15.75" thickBot="1">
      <c r="A48" s="165" t="s">
        <v>1031</v>
      </c>
      <c r="B48" s="166"/>
      <c r="C48" s="2839">
        <f>R49</f>
        <v>2.7</v>
      </c>
      <c r="D48" s="2840"/>
      <c r="E48" s="2841">
        <f>R48</f>
        <v>2.8</v>
      </c>
      <c r="F48" s="2841"/>
      <c r="G48" s="2839">
        <f>T48</f>
        <v>2.9</v>
      </c>
      <c r="H48" s="2840"/>
      <c r="I48" s="2841">
        <f>V48</f>
        <v>2.5</v>
      </c>
      <c r="J48" s="2840"/>
      <c r="K48" s="1394"/>
      <c r="L48" s="2303"/>
      <c r="M48" s="2304"/>
      <c r="N48" s="2296"/>
      <c r="O48" s="2304"/>
      <c r="P48" s="3639" t="str">
        <f>A48</f>
        <v>比较价值（元/平方米）</v>
      </c>
      <c r="Q48" s="3639"/>
      <c r="R48" s="3640">
        <f>IF(F1="售价",ROUND(PRODUCT(R47,AA7:AA46),0),ROUND(PRODUCT(R47,AA7:AA46),1))</f>
        <v>2.8</v>
      </c>
      <c r="S48" s="3640"/>
      <c r="T48" s="3640">
        <f>IF(F1="售价",ROUND(PRODUCT(T47,AB7:AB46),0),ROUND(PRODUCT(T47,AB7:AB46),1))</f>
        <v>2.9</v>
      </c>
      <c r="U48" s="3640"/>
      <c r="V48" s="3640">
        <f>IF(F1="售价",ROUND(PRODUCT(V47,AC7:AC46),0),ROUND(PRODUCT(V47,AC7:AC46),1))</f>
        <v>2.5</v>
      </c>
      <c r="W48" s="3640"/>
      <c r="X48" s="1365"/>
      <c r="Y48" s="1365"/>
      <c r="Z48" s="1365"/>
      <c r="AA48" s="1365"/>
      <c r="AB48" s="1365"/>
      <c r="AC48" s="1365"/>
    </row>
    <row r="49" spans="1:29" ht="15.75" thickBot="1">
      <c r="A49" s="115" t="s">
        <v>3004</v>
      </c>
      <c r="B49" s="116"/>
      <c r="C49" s="2843">
        <f>R49</f>
        <v>2.7</v>
      </c>
      <c r="D49" s="2843"/>
      <c r="E49" s="2843"/>
      <c r="F49" s="2843"/>
      <c r="G49" s="2843"/>
      <c r="H49" s="2843"/>
      <c r="I49" s="2843"/>
      <c r="J49" s="2843"/>
      <c r="K49" s="1395"/>
      <c r="L49" s="2303"/>
      <c r="M49" s="2304"/>
      <c r="N49" s="2296"/>
      <c r="O49" s="2304"/>
      <c r="P49" s="3636" t="str">
        <f>A49</f>
        <v>估价对象XX用房的比较价值（楼面单价，元/平方米）</v>
      </c>
      <c r="Q49" s="3637"/>
      <c r="R49" s="3638">
        <f>IF(F1="售价",ROUND(AVERAGE(R48:V48),0),ROUND(AVERAGE(R48:V48),1))</f>
        <v>2.7</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7.1428571428571397E-2</v>
      </c>
      <c r="F52" s="843" t="str">
        <f>IF(OR(E52&gt;=0.3,E52&lt;=-0.3),"超过30%","")</f>
        <v/>
      </c>
      <c r="G52" s="842">
        <f>IF(G47&lt;G48,G48/G47-1,G47/G48-1)</f>
        <v>7.4074074074073959E-2</v>
      </c>
      <c r="H52" s="843" t="str">
        <f>IF(OR(G52&gt;=0.3,G52&lt;=-0.3),"超过30%","")</f>
        <v/>
      </c>
      <c r="I52" s="842">
        <f>IF(I47&lt;I48,I48/I47-1,I47/I48-1)</f>
        <v>0.11999999999999988</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3.5714285714285809E-2</v>
      </c>
      <c r="F53" s="843" t="str">
        <f>IF(OR(E53&gt;=0.2,E53&lt;=-0.2),"超过20%","")</f>
        <v/>
      </c>
      <c r="G53" s="842">
        <f>IF(G48&lt;I48,I48/G48-1,G48/I48-1)</f>
        <v>0.15999999999999992</v>
      </c>
      <c r="H53" s="843" t="str">
        <f>IF(OR(G53&gt;=0.2,G53&lt;=-0.2),"超过20%","")</f>
        <v/>
      </c>
      <c r="I53" s="842">
        <f>IF(I48&lt;E48,E48/I48-1,I48/E48-1)</f>
        <v>0.11999999999999988</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85</v>
      </c>
      <c r="E93" s="879">
        <v>75</v>
      </c>
      <c r="F93" s="879">
        <v>65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3168</v>
      </c>
      <c r="D100" s="122" t="s">
        <v>3165</v>
      </c>
      <c r="E100" s="122" t="s">
        <v>3167</v>
      </c>
      <c r="F100" s="122" t="s">
        <v>3174</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95</v>
      </c>
      <c r="E101" s="887">
        <f t="shared" si="22"/>
        <v>90</v>
      </c>
      <c r="F101" s="887">
        <f t="shared" si="22"/>
        <v>85</v>
      </c>
      <c r="G101" s="887">
        <f t="shared" si="22"/>
        <v>80</v>
      </c>
      <c r="H101" s="887">
        <f t="shared" si="22"/>
        <v>75</v>
      </c>
      <c r="I101" s="887">
        <f t="shared" si="22"/>
        <v>70</v>
      </c>
      <c r="J101" s="887">
        <f t="shared" si="22"/>
        <v>65</v>
      </c>
      <c r="K101" s="887">
        <f t="shared" si="22"/>
        <v>60</v>
      </c>
      <c r="L101" s="887">
        <f t="shared" si="22"/>
        <v>55</v>
      </c>
      <c r="M101" s="888">
        <f t="shared" si="22"/>
        <v>50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1058</v>
      </c>
      <c r="C118" s="970" t="s">
        <v>3155</v>
      </c>
      <c r="D118" s="970" t="s">
        <v>3156</v>
      </c>
      <c r="E118" s="970" t="s">
        <v>3157</v>
      </c>
      <c r="F118" s="970"/>
      <c r="G118" s="970"/>
      <c r="H118" s="898"/>
      <c r="I118" s="898"/>
      <c r="J118" s="898"/>
      <c r="K118" s="898"/>
      <c r="L118" s="899"/>
      <c r="M118" s="900"/>
      <c r="N118" s="1389"/>
      <c r="O118" s="1389"/>
      <c r="P118" s="1379"/>
      <c r="Q118" s="121"/>
    </row>
    <row r="119" spans="1:17" ht="15" thickBot="1">
      <c r="A119" s="173"/>
      <c r="B119" s="1055"/>
      <c r="C119" s="903">
        <v>100</v>
      </c>
      <c r="D119" s="879">
        <v>102</v>
      </c>
      <c r="E119" s="879">
        <v>104</v>
      </c>
      <c r="F119" s="879"/>
      <c r="G119" s="879"/>
      <c r="H119" s="879"/>
      <c r="I119" s="879"/>
      <c r="J119" s="879"/>
      <c r="K119" s="879"/>
      <c r="L119" s="879"/>
      <c r="M119" s="880"/>
      <c r="N119" s="1390"/>
      <c r="O119" s="1390"/>
      <c r="P119" s="1379"/>
      <c r="Q119" s="121"/>
    </row>
    <row r="120" spans="1:17" s="1039" customFormat="1" ht="14.25" thickTop="1">
      <c r="A120" s="1073"/>
      <c r="B120" s="1054" t="s">
        <v>1028</v>
      </c>
      <c r="C120" s="131" t="s">
        <v>3158</v>
      </c>
      <c r="D120" s="131" t="s">
        <v>3160</v>
      </c>
      <c r="E120" s="131" t="s">
        <v>3161</v>
      </c>
      <c r="F120" s="131" t="s">
        <v>3162</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I23" sqref="I23"/>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365">
        <v>0.03</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6">
        <f>D2+D3+D4</f>
        <v>4.43</v>
      </c>
    </row>
    <row r="7" spans="1:8">
      <c r="A7">
        <f>'比较法-商业租金'!C49</f>
        <v>2.7</v>
      </c>
      <c r="B7" s="3366">
        <f>A7</f>
        <v>2.7</v>
      </c>
      <c r="C7">
        <f>B7*(1+G2)</f>
        <v>2.7810000000000001</v>
      </c>
      <c r="D7">
        <f>C7*(1+G2)</f>
        <v>2.86443</v>
      </c>
      <c r="E7">
        <f>D7*(1+G2)</f>
        <v>2.9503629</v>
      </c>
      <c r="F7">
        <f>E7*(1+G2)</f>
        <v>3.038873787</v>
      </c>
      <c r="G7" s="3367">
        <f>F7*(1+G2)</f>
        <v>3.1300400006100002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2863</v>
      </c>
      <c r="B2" s="3392" t="s">
        <v>2033</v>
      </c>
      <c r="C2" s="3392" t="s">
        <v>2034</v>
      </c>
      <c r="D2" s="3392" t="str">
        <f>结果表!D116</f>
        <v>出让国有建设用地使用权价值</v>
      </c>
      <c r="E2" s="3392"/>
      <c r="F2" s="3392" t="str">
        <f>结果表!F116</f>
        <v>建筑物价值</v>
      </c>
      <c r="G2" s="3392"/>
      <c r="H2" s="3392" t="str">
        <f>IF(项目基本情况!B9="房地产市场价值","房地产市场价值","房地产价值")</f>
        <v>房地产价值</v>
      </c>
      <c r="I2" s="3392"/>
    </row>
    <row r="3" spans="1:9" ht="14.25">
      <c r="A3" s="3393"/>
      <c r="B3" s="3393"/>
      <c r="C3" s="3393"/>
      <c r="D3" s="1914" t="s">
        <v>7</v>
      </c>
      <c r="E3" s="1914" t="s">
        <v>2035</v>
      </c>
      <c r="F3" s="1914" t="s">
        <v>7</v>
      </c>
      <c r="G3" s="1914" t="s">
        <v>8</v>
      </c>
      <c r="H3" s="1914" t="s">
        <v>7</v>
      </c>
      <c r="I3" s="1914" t="s">
        <v>8</v>
      </c>
    </row>
    <row r="4" spans="1:9" ht="42.75">
      <c r="A4" s="1984" t="str">
        <f>项目基本情况!S2</f>
        <v>重庆市北部新区金开大道1226号第三层房地产</v>
      </c>
      <c r="B4" s="1978">
        <f>项目基本情况!C17</f>
        <v>37870.639999999999</v>
      </c>
      <c r="C4" s="1978">
        <f>项目基本情况!C18</f>
        <v>7774.02</v>
      </c>
      <c r="D4" s="1978">
        <f ca="1">结果表!D118</f>
        <v>42370</v>
      </c>
      <c r="E4" s="1978">
        <f ca="1">结果表!E118</f>
        <v>11188</v>
      </c>
      <c r="F4" s="1978">
        <f ca="1">结果表!F118</f>
        <v>10230</v>
      </c>
      <c r="G4" s="1978">
        <f ca="1">结果表!G118</f>
        <v>2701</v>
      </c>
      <c r="H4" s="1978">
        <f ca="1">结果表!H118</f>
        <v>52600</v>
      </c>
      <c r="I4" s="1978">
        <f ca="1">结果表!I118</f>
        <v>13889</v>
      </c>
    </row>
    <row r="5" spans="1:9" ht="30" customHeight="1">
      <c r="A5" s="3393" t="s">
        <v>9</v>
      </c>
      <c r="B5" s="3393"/>
      <c r="C5" s="3393"/>
      <c r="D5" s="3394" t="str">
        <f ca="1">结果表!D119</f>
        <v>肆亿贰仟叁佰柒拾万元整</v>
      </c>
      <c r="E5" s="3394"/>
      <c r="F5" s="3394" t="str">
        <f ca="1">结果表!F119</f>
        <v>壹亿零贰佰叁拾万元整</v>
      </c>
      <c r="G5" s="3394"/>
      <c r="H5" s="3394" t="str">
        <f ca="1">结果表!H119</f>
        <v>伍亿贰仟陆佰万元整</v>
      </c>
      <c r="I5" s="3394"/>
    </row>
    <row r="6" spans="1:9" ht="15.75">
      <c r="A6" s="3395" t="str">
        <f>结果表!A120</f>
        <v>估价师知悉的法定优先受偿款</v>
      </c>
      <c r="B6" s="3395"/>
      <c r="C6" s="3395"/>
      <c r="D6" s="3396">
        <f>结果表!D120</f>
        <v>0</v>
      </c>
      <c r="E6" s="3396"/>
      <c r="F6" s="3396"/>
      <c r="G6" s="3396"/>
      <c r="H6" s="3396"/>
      <c r="I6" s="3396"/>
    </row>
    <row r="7" spans="1:9" ht="14.25">
      <c r="A7" s="3393" t="s">
        <v>9</v>
      </c>
      <c r="B7" s="3393"/>
      <c r="C7" s="3393"/>
      <c r="D7" s="3397" t="str">
        <f>结果表!D121</f>
        <v>零元整</v>
      </c>
      <c r="E7" s="3398"/>
      <c r="F7" s="3398"/>
      <c r="G7" s="3398"/>
      <c r="H7" s="3398"/>
      <c r="I7" s="3399"/>
    </row>
    <row r="8" spans="1:9" ht="15.75">
      <c r="A8" s="3395" t="str">
        <f>结果表!A122</f>
        <v>房地产抵押价值</v>
      </c>
      <c r="B8" s="3395"/>
      <c r="C8" s="3395"/>
      <c r="D8" s="3396">
        <f ca="1">结果表!D122</f>
        <v>52600</v>
      </c>
      <c r="E8" s="3396"/>
      <c r="F8" s="3396"/>
      <c r="G8" s="3396"/>
      <c r="H8" s="3396"/>
      <c r="I8" s="3396"/>
    </row>
    <row r="9" spans="1:9" ht="14.25">
      <c r="A9" s="3393" t="s">
        <v>9</v>
      </c>
      <c r="B9" s="3393"/>
      <c r="C9" s="3393"/>
      <c r="D9" s="3394" t="str">
        <f ca="1">结果表!D123</f>
        <v>伍亿贰仟陆佰万元整</v>
      </c>
      <c r="E9" s="3394"/>
      <c r="F9" s="3394"/>
      <c r="G9" s="3394"/>
      <c r="H9" s="3394"/>
      <c r="I9" s="3394"/>
    </row>
    <row r="10" spans="1:9" ht="15.75">
      <c r="A10" s="3395" t="str">
        <f>结果表!A124</f>
        <v/>
      </c>
      <c r="B10" s="3395"/>
      <c r="C10" s="3395"/>
      <c r="D10" s="3396" t="str">
        <f>结果表!D124</f>
        <v>——</v>
      </c>
      <c r="E10" s="3396"/>
      <c r="F10" s="3396"/>
      <c r="G10" s="3396"/>
      <c r="H10" s="3396"/>
      <c r="I10" s="3396"/>
    </row>
    <row r="11" spans="1:9" ht="14.25">
      <c r="A11" s="3393" t="s">
        <v>9</v>
      </c>
      <c r="B11" s="3393"/>
      <c r="C11" s="3393"/>
      <c r="D11" s="3394" t="e">
        <f>结果表!D125</f>
        <v>#VALUE!</v>
      </c>
      <c r="E11" s="3394"/>
      <c r="F11" s="3394"/>
      <c r="G11" s="3394"/>
      <c r="H11" s="3394"/>
      <c r="I11" s="3394"/>
    </row>
    <row r="12" spans="1:9" ht="15.75">
      <c r="A12" s="3395" t="str">
        <f>结果表!A126</f>
        <v/>
      </c>
      <c r="B12" s="3395"/>
      <c r="C12" s="3395"/>
      <c r="D12" s="3396" t="str">
        <f>结果表!D126</f>
        <v>——</v>
      </c>
      <c r="E12" s="3396"/>
      <c r="F12" s="3396"/>
      <c r="G12" s="3396"/>
      <c r="H12" s="3396"/>
      <c r="I12" s="3396"/>
    </row>
    <row r="13" spans="1:9" ht="15" thickBot="1">
      <c r="A13" s="3400" t="s">
        <v>9</v>
      </c>
      <c r="B13" s="3400"/>
      <c r="C13" s="3400"/>
      <c r="D13" s="3401" t="e">
        <f>结果表!D127</f>
        <v>#VALUE!</v>
      </c>
      <c r="E13" s="3401"/>
      <c r="F13" s="3401"/>
      <c r="G13" s="3401"/>
      <c r="H13" s="3401"/>
      <c r="I13" s="3401"/>
    </row>
    <row r="14" spans="1:9" ht="14.25" thickTop="1">
      <c r="A14" s="3402" t="s">
        <v>2036</v>
      </c>
      <c r="B14" s="3402"/>
      <c r="C14" s="3402"/>
      <c r="D14" s="3402"/>
      <c r="E14" s="3402"/>
      <c r="F14" s="3402"/>
      <c r="G14" s="3402"/>
      <c r="H14" s="3402"/>
      <c r="I14" s="3402"/>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03" t="s">
        <v>2841</v>
      </c>
      <c r="B1" s="3403"/>
      <c r="C1" s="3403"/>
      <c r="D1" s="3403"/>
    </row>
    <row r="2" spans="1:4" ht="18.75">
      <c r="A2" s="3404" t="s">
        <v>2103</v>
      </c>
      <c r="B2" s="3404"/>
      <c r="C2" s="3404"/>
      <c r="D2" s="3404"/>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04" t="s">
        <v>2604</v>
      </c>
      <c r="B6" s="3404"/>
      <c r="C6" s="3404"/>
      <c r="D6" s="3404"/>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05" t="s">
        <v>2696</v>
      </c>
      <c r="B11" s="3406"/>
      <c r="C11" s="3406"/>
      <c r="D11" s="3406"/>
    </row>
    <row r="12" spans="1:4" ht="14.25">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spans="1:4" ht="30" customHeight="1">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6" t="str">
        <f>IF(项目基本情况!B8="抵押","4.本次评估估价师所知悉的法定优先受偿款情况说明如下：","——")</f>
        <v>4.本次评估估价师所知悉的法定优先受偿款情况说明如下：</v>
      </c>
      <c r="B14" s="3407"/>
      <c r="C14" s="3407"/>
      <c r="D14" s="3407"/>
    </row>
    <row r="15" spans="1:4" ht="42" customHeight="1">
      <c r="A15" s="3406"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6"/>
      <c r="C15" s="3406"/>
      <c r="D15" s="3406"/>
    </row>
    <row r="16" spans="1:4" ht="30" customHeight="1">
      <c r="A16" s="3409" t="s">
        <v>2115</v>
      </c>
      <c r="B16" s="3409"/>
      <c r="C16" s="3409"/>
      <c r="D16" s="3409"/>
    </row>
    <row r="17" spans="1:4" ht="144" customHeight="1">
      <c r="A17" s="3409" t="s">
        <v>2116</v>
      </c>
      <c r="B17" s="3409"/>
      <c r="C17" s="3409"/>
      <c r="D17" s="3409"/>
    </row>
    <row r="18" spans="1:4" ht="15.75" customHeight="1">
      <c r="A18" s="3406" t="str">
        <f>IF(项目基本情况!B8="抵押",结果表!K120,"——")</f>
        <v>故，本次评估不存在估价师知悉的法定优先受偿款</v>
      </c>
      <c r="B18" s="3406"/>
      <c r="C18" s="3406"/>
      <c r="D18" s="3406"/>
    </row>
    <row r="19" spans="1:4" ht="46.5" customHeight="1">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57.75" customHeight="1">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6"/>
      <c r="C20" s="3406"/>
      <c r="D20" s="3406"/>
    </row>
    <row r="21" spans="1:4" ht="57.75" customHeight="1">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0"/>
      <c r="C21" s="3410"/>
      <c r="D21" s="3410"/>
    </row>
    <row r="22" spans="1:4" ht="18.75" customHeight="1">
      <c r="A22" s="3761" t="s">
        <v>3178</v>
      </c>
      <c r="B22" s="3411"/>
      <c r="C22" s="3411"/>
      <c r="D22" s="3411"/>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08">
        <v>42551</v>
      </c>
      <c r="D31" s="340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17" t="s">
        <v>554</v>
      </c>
      <c r="B15" s="3412" t="s">
        <v>1132</v>
      </c>
      <c r="C15" s="3413"/>
    </row>
    <row r="16" spans="1:7" ht="13.5">
      <c r="A16" s="3418"/>
      <c r="B16" s="3412" t="s">
        <v>527</v>
      </c>
      <c r="C16" s="3413"/>
    </row>
    <row r="17" spans="1:3" ht="13.5">
      <c r="A17" s="3418"/>
      <c r="B17" s="3415" t="s">
        <v>555</v>
      </c>
      <c r="C17" s="1150" t="s">
        <v>554</v>
      </c>
    </row>
    <row r="18" spans="1:3" ht="13.5">
      <c r="A18" s="3418"/>
      <c r="B18" s="3415"/>
      <c r="C18" s="1150" t="s">
        <v>556</v>
      </c>
    </row>
    <row r="19" spans="1:3" ht="13.5">
      <c r="A19" s="3418"/>
      <c r="B19" s="3415"/>
      <c r="C19" s="1150" t="s">
        <v>557</v>
      </c>
    </row>
    <row r="20" spans="1:3" ht="13.5">
      <c r="A20" s="3419"/>
      <c r="B20" s="3414" t="s">
        <v>558</v>
      </c>
      <c r="C20" s="3413"/>
    </row>
    <row r="21" spans="1:3" ht="13.5">
      <c r="A21" s="1151" t="s">
        <v>559</v>
      </c>
      <c r="B21" s="1152"/>
      <c r="C21" s="1153"/>
    </row>
    <row r="22" spans="1:3" ht="13.5">
      <c r="A22" s="3416" t="s">
        <v>560</v>
      </c>
      <c r="B22" s="3414" t="s">
        <v>561</v>
      </c>
      <c r="C22" s="3413"/>
    </row>
    <row r="23" spans="1:3" ht="13.5">
      <c r="A23" s="3416"/>
      <c r="B23" s="3414" t="s">
        <v>562</v>
      </c>
      <c r="C23" s="3413"/>
    </row>
    <row r="24" spans="1:3" ht="13.5">
      <c r="A24" s="3416"/>
      <c r="B24" s="3414" t="s">
        <v>563</v>
      </c>
      <c r="C24" s="3413"/>
    </row>
    <row r="25" spans="1:3" ht="13.5">
      <c r="A25" s="3416"/>
      <c r="B25" s="3415" t="s">
        <v>564</v>
      </c>
      <c r="C25" s="1150" t="s">
        <v>565</v>
      </c>
    </row>
    <row r="26" spans="1:3" ht="13.5">
      <c r="A26" s="3416"/>
      <c r="B26" s="3415"/>
      <c r="C26" s="1150" t="s">
        <v>566</v>
      </c>
    </row>
    <row r="27" spans="1:3" ht="13.5">
      <c r="A27" s="3416"/>
      <c r="B27" s="3415"/>
      <c r="C27" s="1150" t="s">
        <v>567</v>
      </c>
    </row>
    <row r="28" spans="1:3" ht="13.5">
      <c r="A28" s="3416"/>
      <c r="B28" s="3415"/>
      <c r="C28" s="1150" t="s">
        <v>568</v>
      </c>
    </row>
    <row r="29" spans="1:3" ht="13.5">
      <c r="A29" s="3416"/>
      <c r="B29" s="3415"/>
      <c r="C29" s="1150" t="s">
        <v>569</v>
      </c>
    </row>
    <row r="30" spans="1:3" ht="13.5">
      <c r="A30" s="3416"/>
      <c r="B30" s="3415"/>
      <c r="C30" s="1150" t="s">
        <v>570</v>
      </c>
    </row>
    <row r="31" spans="1:3" ht="13.5">
      <c r="A31" s="3416"/>
      <c r="B31" s="3415"/>
      <c r="C31" s="1150" t="s">
        <v>571</v>
      </c>
    </row>
    <row r="32" spans="1:3" ht="13.5">
      <c r="A32" s="3416"/>
      <c r="B32" s="3415"/>
      <c r="C32" s="1150" t="s">
        <v>572</v>
      </c>
    </row>
    <row r="33" spans="1:3" ht="13.5">
      <c r="A33" s="3416"/>
      <c r="B33" s="3415"/>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43029</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0" t="s">
        <v>1987</v>
      </c>
      <c r="B25" s="3420"/>
      <c r="C25" s="3420"/>
      <c r="D25" s="3420"/>
      <c r="E25" s="3420"/>
      <c r="F25" s="3420"/>
      <c r="G25" s="3420"/>
    </row>
    <row r="26" spans="1:7" s="1901" customFormat="1" ht="24" customHeight="1">
      <c r="A26" s="3421" t="s">
        <v>1988</v>
      </c>
      <c r="B26" s="3421"/>
      <c r="C26" s="3421"/>
      <c r="D26" s="1900"/>
      <c r="E26" s="3421" t="s">
        <v>1989</v>
      </c>
      <c r="F26" s="3421"/>
      <c r="G26" s="3421"/>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2017-10-21T08:40:32Z</dcterms:modified>
</cp:coreProperties>
</file>