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天承环路8号院-尚峯壹号603门总询价-报11000\"/>
    </mc:Choice>
  </mc:AlternateContent>
  <xr:revisionPtr revIDLastSave="0" documentId="13_ncr:1_{2AA302CE-2DF8-474E-A2DB-2035F1766DA0}" xr6:coauthVersionLast="47" xr6:coauthVersionMax="47" xr10:uidLastSave="{00000000-0000-0000-0000-000000000000}"/>
  <bookViews>
    <workbookView xWindow="-110" yWindow="-110" windowWidth="25820" windowHeight="14020" tabRatio="899" firstSheet="11"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售价案例" sheetId="81" r:id="rId24"/>
    <sheet name="租金案例" sheetId="82" r:id="rId25"/>
    <sheet name="建成年代" sheetId="83" r:id="rId26"/>
    <sheet name="Sheet1" sheetId="80"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5" i="34" l="1"/>
  <c r="C34" i="34"/>
  <c r="J49" i="67"/>
  <c r="N19" i="1"/>
  <c r="N6" i="1" s="1"/>
  <c r="D33" i="43"/>
  <c r="B59" i="1"/>
  <c r="B21" i="1"/>
  <c r="F19" i="6"/>
  <c r="E27" i="45"/>
  <c r="Y6" i="1" l="1"/>
  <c r="C37" i="34"/>
  <c r="G14" i="73"/>
  <c r="F14" i="73"/>
  <c r="E14" i="73"/>
  <c r="I37" i="34" l="1"/>
  <c r="E37" i="34"/>
  <c r="G37" i="34"/>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4" i="79"/>
  <c r="AD37" i="79"/>
  <c r="AD35" i="79"/>
  <c r="AD38" i="79"/>
  <c r="AD36" i="79"/>
  <c r="Z3" i="79"/>
  <c r="S34" i="79"/>
  <c r="AG34" i="79" s="1"/>
  <c r="S33" i="79"/>
  <c r="AG33" i="79" s="1"/>
  <c r="S35" i="79"/>
  <c r="AG35" i="79" s="1"/>
  <c r="AA31" i="79"/>
  <c r="AD31" i="79" s="1"/>
  <c r="T40" i="79"/>
  <c r="U46" i="79"/>
  <c r="AI46" i="79" s="1"/>
  <c r="AD47" i="79"/>
  <c r="S48" i="79"/>
  <c r="AG48" i="79" s="1"/>
  <c r="S20" i="79"/>
  <c r="AG20" i="79" s="1"/>
  <c r="T22" i="79"/>
  <c r="AR19" i="79"/>
  <c r="AR20" i="79" s="1"/>
  <c r="AR21" i="79" s="1"/>
  <c r="AR22" i="79" s="1"/>
  <c r="AR23" i="79" s="1"/>
  <c r="AR24" i="79" s="1"/>
  <c r="T35" i="79"/>
  <c r="T33"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AB27" i="71"/>
  <c r="N66" i="7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U29" i="39"/>
  <c r="W29" i="39"/>
  <c r="W18" i="36"/>
  <c r="S21" i="37"/>
  <c r="S21" i="33"/>
  <c r="AC18" i="35"/>
  <c r="W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F40" i="37" s="1"/>
  <c r="AA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c r="J16" i="36"/>
  <c r="W16" i="36" s="1"/>
  <c r="D62" i="36"/>
  <c r="E62" i="36" s="1"/>
  <c r="F62" i="36"/>
  <c r="G62" i="36" s="1"/>
  <c r="B59" i="36"/>
  <c r="B57" i="36"/>
  <c r="J12" i="36" s="1"/>
  <c r="B55" i="36"/>
  <c r="J11" i="36" s="1"/>
  <c r="AC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s="1"/>
  <c r="D96" i="35"/>
  <c r="E96" i="35"/>
  <c r="F96" i="35"/>
  <c r="G96" i="35" s="1"/>
  <c r="D94" i="35"/>
  <c r="E94" i="35"/>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U30" i="37"/>
  <c r="W31" i="37"/>
  <c r="F39" i="37"/>
  <c r="S39" i="37" s="1"/>
  <c r="F29" i="36"/>
  <c r="AA29" i="36" s="1"/>
  <c r="F16" i="36"/>
  <c r="AA16" i="36" s="1"/>
  <c r="W28" i="36"/>
  <c r="U31" i="36"/>
  <c r="J33" i="36"/>
  <c r="AC33" i="36" s="1"/>
  <c r="H22" i="35"/>
  <c r="AB22" i="35" s="1"/>
  <c r="AC27" i="35"/>
  <c r="W28" i="35"/>
  <c r="U31" i="35"/>
  <c r="W22" i="35"/>
  <c r="S31" i="35"/>
  <c r="U34" i="35"/>
  <c r="F36" i="34"/>
  <c r="S36" i="34" s="1"/>
  <c r="J35" i="34"/>
  <c r="W35" i="34" s="1"/>
  <c r="H39" i="33"/>
  <c r="AB39" i="33" s="1"/>
  <c r="F26" i="33"/>
  <c r="AA26" i="33"/>
  <c r="U35" i="33"/>
  <c r="S40" i="33"/>
  <c r="W33" i="33"/>
  <c r="W39" i="33"/>
  <c r="H39" i="37"/>
  <c r="AB39" i="37"/>
  <c r="S27" i="35"/>
  <c r="F11" i="40"/>
  <c r="AA11" i="40" s="1"/>
  <c r="H11" i="40"/>
  <c r="AB11" i="40"/>
  <c r="W8" i="40"/>
  <c r="AB39" i="40"/>
  <c r="AA9" i="40"/>
  <c r="U9" i="40"/>
  <c r="S34" i="40"/>
  <c r="W31" i="40"/>
  <c r="S38" i="40"/>
  <c r="F42" i="39"/>
  <c r="AA42" i="39" s="1"/>
  <c r="F41" i="39"/>
  <c r="S41" i="39" s="1"/>
  <c r="H40" i="39"/>
  <c r="AB40" i="39" s="1"/>
  <c r="H39" i="39"/>
  <c r="U39" i="39" s="1"/>
  <c r="S38" i="39"/>
  <c r="S34" i="39"/>
  <c r="H34" i="39"/>
  <c r="U34" i="39" s="1"/>
  <c r="E108" i="39"/>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12" i="35"/>
  <c r="AB12" i="36"/>
  <c r="W32" i="40"/>
  <c r="S44" i="39"/>
  <c r="U30" i="36"/>
  <c r="J30" i="35"/>
  <c r="W30" i="35" s="1"/>
  <c r="H30" i="35"/>
  <c r="AB30" i="35" s="1"/>
  <c r="F22" i="35"/>
  <c r="AA22" i="35"/>
  <c r="H10" i="35"/>
  <c r="U10" i="35" s="1"/>
  <c r="F33" i="36"/>
  <c r="AA33" i="36" s="1"/>
  <c r="H16" i="36"/>
  <c r="AB16" i="36" s="1"/>
  <c r="E85" i="36"/>
  <c r="F85" i="36"/>
  <c r="G85" i="36" s="1"/>
  <c r="H85" i="36" s="1"/>
  <c r="I85" i="36" s="1"/>
  <c r="J85" i="36"/>
  <c r="K85" i="36" s="1"/>
  <c r="L85" i="36" s="1"/>
  <c r="M85" i="36" s="1"/>
  <c r="J29" i="36"/>
  <c r="AC29" i="36" s="1"/>
  <c r="F12" i="36"/>
  <c r="F24" i="36"/>
  <c r="AA24" i="36"/>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AA19" i="34" s="1"/>
  <c r="H17" i="34"/>
  <c r="F15" i="34"/>
  <c r="AA15" i="34" s="1"/>
  <c r="J15" i="34"/>
  <c r="H15" i="34"/>
  <c r="AB15" i="34" s="1"/>
  <c r="J28" i="34"/>
  <c r="W28" i="34" s="1"/>
  <c r="F41" i="33"/>
  <c r="AA41" i="33" s="1"/>
  <c r="S38" i="33"/>
  <c r="E113" i="33"/>
  <c r="F32" i="33"/>
  <c r="AA32" i="33" s="1"/>
  <c r="J19" i="33"/>
  <c r="AC19" i="33"/>
  <c r="J15" i="33"/>
  <c r="AC15" i="33" s="1"/>
  <c r="F11" i="33"/>
  <c r="AA11" i="33" s="1"/>
  <c r="S26"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F13" i="33"/>
  <c r="AA13" i="33" s="1"/>
  <c r="S13" i="33"/>
  <c r="J29" i="33"/>
  <c r="H29" i="33"/>
  <c r="U29" i="33"/>
  <c r="F29" i="33"/>
  <c r="S29" i="33" s="1"/>
  <c r="J31" i="33"/>
  <c r="W31" i="33" s="1"/>
  <c r="H31" i="33"/>
  <c r="F31" i="33"/>
  <c r="H45" i="33"/>
  <c r="J45" i="33"/>
  <c r="W45" i="33" s="1"/>
  <c r="F45" i="33"/>
  <c r="AA45" i="33"/>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c r="J13" i="37"/>
  <c r="W13" i="37" s="1"/>
  <c r="J28" i="37"/>
  <c r="AC28" i="37"/>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c r="H33" i="40"/>
  <c r="U33" i="40" s="1"/>
  <c r="J35" i="40"/>
  <c r="AC35" i="40"/>
  <c r="J37" i="40"/>
  <c r="AC37" i="40" s="1"/>
  <c r="H13" i="40"/>
  <c r="U13" i="40"/>
  <c r="J13" i="40"/>
  <c r="W13" i="40" s="1"/>
  <c r="F13" i="40"/>
  <c r="AA13" i="40" s="1"/>
  <c r="F14" i="37"/>
  <c r="S14" i="37" s="1"/>
  <c r="F27" i="37"/>
  <c r="AA27" i="37"/>
  <c r="F13" i="39"/>
  <c r="J13" i="39"/>
  <c r="W13" i="39" s="1"/>
  <c r="H13" i="39"/>
  <c r="H14" i="40"/>
  <c r="AB14" i="40" s="1"/>
  <c r="F14" i="40"/>
  <c r="AA14" i="40"/>
  <c r="J14" i="37"/>
  <c r="J27" i="37"/>
  <c r="AC27" i="37"/>
  <c r="U46" i="33"/>
  <c r="AA14" i="33"/>
  <c r="J36" i="37"/>
  <c r="AC36" i="37"/>
  <c r="J10" i="36"/>
  <c r="AC10" i="36" s="1"/>
  <c r="AA14" i="37"/>
  <c r="W31" i="34"/>
  <c r="AB46" i="34"/>
  <c r="AA14" i="34"/>
  <c r="S45" i="33"/>
  <c r="AC28" i="21"/>
  <c r="F17" i="21"/>
  <c r="AA17" i="21" s="1"/>
  <c r="H17" i="21"/>
  <c r="AB17" i="21" s="1"/>
  <c r="F15" i="21"/>
  <c r="S15" i="21" s="1"/>
  <c r="J41" i="39"/>
  <c r="W41" i="39" s="1"/>
  <c r="W44" i="39"/>
  <c r="U36" i="39"/>
  <c r="S35" i="39"/>
  <c r="G544" i="3"/>
  <c r="G540" i="3"/>
  <c r="G536" i="3"/>
  <c r="G535" i="3"/>
  <c r="G531" i="3"/>
  <c r="G528" i="3"/>
  <c r="G527" i="3"/>
  <c r="G523" i="3"/>
  <c r="G518" i="3"/>
  <c r="G514" i="3"/>
  <c r="G510" i="3"/>
  <c r="G508" i="3"/>
  <c r="G504" i="3"/>
  <c r="G500" i="3"/>
  <c r="G496" i="3"/>
  <c r="G584" i="3"/>
  <c r="G580" i="3"/>
  <c r="G576" i="3"/>
  <c r="G572" i="3"/>
  <c r="G564" i="3"/>
  <c r="G560" i="3"/>
  <c r="G554" i="3"/>
  <c r="BL584" i="3"/>
  <c r="AZ584" i="3" s="1"/>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BA556" i="3"/>
  <c r="BA554" i="3"/>
  <c r="BA552" i="3"/>
  <c r="AZ552" i="3"/>
  <c r="BA548" i="3"/>
  <c r="BA544" i="3"/>
  <c r="AZ544" i="3"/>
  <c r="BA542" i="3"/>
  <c r="AZ542" i="3" s="1"/>
  <c r="BA540" i="3"/>
  <c r="BA538" i="3"/>
  <c r="AZ538" i="3"/>
  <c r="BA534" i="3"/>
  <c r="BA530" i="3"/>
  <c r="BA528" i="3"/>
  <c r="BA524" i="3"/>
  <c r="BA522" i="3"/>
  <c r="BA520" i="3"/>
  <c r="AZ520" i="3" s="1"/>
  <c r="BA516" i="3"/>
  <c r="BA514" i="3"/>
  <c r="BA512" i="3"/>
  <c r="AZ512" i="3" s="1"/>
  <c r="BA510" i="3"/>
  <c r="AZ510" i="3" s="1"/>
  <c r="BA508" i="3"/>
  <c r="BA504" i="3"/>
  <c r="AZ504" i="3"/>
  <c r="BA502" i="3"/>
  <c r="BA498" i="3"/>
  <c r="BA496" i="3"/>
  <c r="BA583" i="3"/>
  <c r="BA579" i="3"/>
  <c r="BA577" i="3"/>
  <c r="BA575" i="3"/>
  <c r="BA571" i="3"/>
  <c r="AZ571" i="3" s="1"/>
  <c r="BA569" i="3"/>
  <c r="BA567" i="3"/>
  <c r="BA563" i="3"/>
  <c r="BA561" i="3"/>
  <c r="BA559" i="3"/>
  <c r="AZ559" i="3" s="1"/>
  <c r="BA553" i="3"/>
  <c r="BA549" i="3"/>
  <c r="BA547" i="3"/>
  <c r="BA543" i="3"/>
  <c r="AZ543" i="3" s="1"/>
  <c r="BA541" i="3"/>
  <c r="BA539"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BQ571" i="3"/>
  <c r="BL571" i="3"/>
  <c r="BQ569" i="3"/>
  <c r="BL569" i="3" s="1"/>
  <c r="BQ567" i="3"/>
  <c r="BL567" i="3" s="1"/>
  <c r="BQ565" i="3"/>
  <c r="BL565" i="3" s="1"/>
  <c r="BQ563" i="3"/>
  <c r="BL563" i="3" s="1"/>
  <c r="AZ563" i="3" s="1"/>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AB31" i="40" s="1"/>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B33" i="40"/>
  <c r="W23" i="39"/>
  <c r="AC43" i="39"/>
  <c r="W43" i="39"/>
  <c r="U45" i="39"/>
  <c r="AB45" i="39"/>
  <c r="AB44" i="39"/>
  <c r="U44" i="39"/>
  <c r="G100" i="39"/>
  <c r="H37" i="39"/>
  <c r="U37" i="39" s="1"/>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AZ180" i="3" s="1"/>
  <c r="G181" i="3"/>
  <c r="BA183" i="3"/>
  <c r="BL184" i="3"/>
  <c r="G185" i="3"/>
  <c r="BA187" i="3"/>
  <c r="BL188" i="3"/>
  <c r="AZ188" i="3" s="1"/>
  <c r="G189" i="3"/>
  <c r="BA191" i="3"/>
  <c r="BL192" i="3"/>
  <c r="G193" i="3"/>
  <c r="BA195" i="3"/>
  <c r="AZ195" i="3"/>
  <c r="BL196" i="3"/>
  <c r="G197" i="3"/>
  <c r="BA199" i="3"/>
  <c r="BL200" i="3"/>
  <c r="G201" i="3"/>
  <c r="BA203" i="3"/>
  <c r="AZ203" i="3" s="1"/>
  <c r="BL204" i="3"/>
  <c r="AZ204" i="3" s="1"/>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BL392" i="3"/>
  <c r="AZ392" i="3" s="1"/>
  <c r="G393" i="3"/>
  <c r="BO5" i="3"/>
  <c r="BM5" i="3"/>
  <c r="BJ5" i="3"/>
  <c r="BH5" i="3"/>
  <c r="BF5" i="3"/>
  <c r="BD5" i="3"/>
  <c r="AZ341" i="3"/>
  <c r="AC5" i="3"/>
  <c r="G548" i="3"/>
  <c r="G538" i="3"/>
  <c r="G520" i="3"/>
  <c r="G502" i="3"/>
  <c r="BS5" i="3"/>
  <c r="BP5" i="3"/>
  <c r="G29" i="6" s="1"/>
  <c r="BN5" i="3"/>
  <c r="BK5" i="3"/>
  <c r="BI5" i="3"/>
  <c r="BG5" i="3"/>
  <c r="BE5" i="3"/>
  <c r="BC5" i="3"/>
  <c r="G17" i="3"/>
  <c r="BA17" i="3"/>
  <c r="AZ17" i="3" s="1"/>
  <c r="BT5" i="3"/>
  <c r="AZ350" i="3"/>
  <c r="BA15" i="3"/>
  <c r="BB5" i="3"/>
  <c r="BR5" i="3"/>
  <c r="AZ380" i="3"/>
  <c r="AZ509" i="3"/>
  <c r="G509" i="3"/>
  <c r="BL493" i="3"/>
  <c r="AZ493" i="3"/>
  <c r="U36" i="40"/>
  <c r="F83" i="43"/>
  <c r="H85" i="43" s="1"/>
  <c r="F50" i="43"/>
  <c r="H54" i="43" s="1"/>
  <c r="F72" i="43"/>
  <c r="H75" i="43" s="1"/>
  <c r="U17" i="39"/>
  <c r="S14" i="35"/>
  <c r="U43" i="21"/>
  <c r="U35" i="21"/>
  <c r="AC35" i="21"/>
  <c r="AZ501" i="3"/>
  <c r="W37" i="37"/>
  <c r="U13" i="37"/>
  <c r="AA12" i="40"/>
  <c r="J37" i="33"/>
  <c r="AC37" i="33" s="1"/>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130" i="3"/>
  <c r="AZ74" i="3"/>
  <c r="AZ86" i="3"/>
  <c r="AZ110" i="3"/>
  <c r="F23" i="39"/>
  <c r="AA23" i="39"/>
  <c r="H27" i="36"/>
  <c r="U27" i="36" s="1"/>
  <c r="F27" i="36"/>
  <c r="AA27" i="36" s="1"/>
  <c r="H33" i="34"/>
  <c r="U33" i="34" s="1"/>
  <c r="F32" i="37"/>
  <c r="S32" i="37" s="1"/>
  <c r="AA32" i="37"/>
  <c r="F20" i="36"/>
  <c r="AA20" i="36" s="1"/>
  <c r="J33" i="34"/>
  <c r="AC33" i="34" s="1"/>
  <c r="H23" i="39"/>
  <c r="U23" i="39" s="1"/>
  <c r="D48" i="9"/>
  <c r="M52" i="9" s="1"/>
  <c r="K9" i="1"/>
  <c r="M9" i="1" s="1"/>
  <c r="D93" i="9"/>
  <c r="K6" i="1"/>
  <c r="AP6" i="1" s="1"/>
  <c r="AC26" i="33"/>
  <c r="W26" i="33"/>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0" i="3"/>
  <c r="AZ286"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9" i="39"/>
  <c r="U14" i="39"/>
  <c r="AC13" i="39"/>
  <c r="S23" i="36"/>
  <c r="U13" i="36"/>
  <c r="U26" i="36"/>
  <c r="S33" i="36"/>
  <c r="AA26" i="36"/>
  <c r="AC26" i="36"/>
  <c r="AA22" i="36"/>
  <c r="W14" i="36"/>
  <c r="AB14" i="36"/>
  <c r="U22" i="36"/>
  <c r="S16" i="36"/>
  <c r="AA25" i="36"/>
  <c r="S24" i="36"/>
  <c r="U24" i="36"/>
  <c r="U23" i="36"/>
  <c r="AB20" i="36"/>
  <c r="U16" i="36"/>
  <c r="AA25" i="35"/>
  <c r="S23" i="35"/>
  <c r="W24" i="35"/>
  <c r="U29" i="35"/>
  <c r="U28" i="35"/>
  <c r="AB27" i="35"/>
  <c r="U36" i="35"/>
  <c r="U32" i="35"/>
  <c r="AA33" i="35"/>
  <c r="AC30" i="35"/>
  <c r="S32"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J17" i="37"/>
  <c r="W17" i="37"/>
  <c r="G73" i="37"/>
  <c r="F17" i="37"/>
  <c r="AA17" i="37" s="1"/>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C42" i="34"/>
  <c r="AA45" i="34"/>
  <c r="AA25" i="34"/>
  <c r="AA29"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W19" i="40"/>
  <c r="W27" i="40"/>
  <c r="S36"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S46" i="34"/>
  <c r="AA46" i="34"/>
  <c r="U32" i="34"/>
  <c r="AB32" i="34"/>
  <c r="U14" i="34"/>
  <c r="AB14" i="34"/>
  <c r="W23" i="34"/>
  <c r="AC23" i="34"/>
  <c r="AB28"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28" i="15"/>
  <c r="AA39" i="40"/>
  <c r="S39" i="40"/>
  <c r="AA12" i="33"/>
  <c r="D68" i="9"/>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H19" i="33"/>
  <c r="AB19" i="33" s="1"/>
  <c r="G81" i="33"/>
  <c r="H17" i="33"/>
  <c r="U17" i="33" s="1"/>
  <c r="F17" i="33"/>
  <c r="S17" i="33" s="1"/>
  <c r="S37" i="21"/>
  <c r="AB15" i="21"/>
  <c r="J23" i="21"/>
  <c r="AC23" i="21" s="1"/>
  <c r="F85" i="21"/>
  <c r="G85" i="21" s="1"/>
  <c r="H23" i="21"/>
  <c r="S13" i="21"/>
  <c r="AP7" i="1"/>
  <c r="AA32" i="21"/>
  <c r="W9" i="21"/>
  <c r="AC9" i="21"/>
  <c r="AB32" i="21"/>
  <c r="U32" i="39"/>
  <c r="AC32" i="39"/>
  <c r="J11" i="37"/>
  <c r="AC11" i="37" s="1"/>
  <c r="J11" i="34"/>
  <c r="W11" i="34" s="1"/>
  <c r="W25" i="33"/>
  <c r="U19" i="33"/>
  <c r="AA17" i="33"/>
  <c r="U23" i="21"/>
  <c r="AB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F36" i="67"/>
  <c r="M23" i="67"/>
  <c r="M8" i="67"/>
  <c r="M26" i="67"/>
  <c r="M28" i="67"/>
  <c r="E13" i="76"/>
  <c r="F13" i="67"/>
  <c r="M9" i="67"/>
  <c r="L47" i="67"/>
  <c r="E2" i="68"/>
  <c r="E12" i="76"/>
  <c r="M6" i="67"/>
  <c r="B8" i="76"/>
  <c r="E9" i="76"/>
  <c r="F4" i="73"/>
  <c r="F42" i="67"/>
  <c r="J15" i="67"/>
  <c r="F40" i="67"/>
  <c r="M26" i="15"/>
  <c r="B10" i="76"/>
  <c r="F36" i="15"/>
  <c r="F13" i="15"/>
  <c r="F6" i="67"/>
  <c r="E7" i="76"/>
  <c r="D6" i="73"/>
  <c r="AO13" i="1"/>
  <c r="L48" i="67"/>
  <c r="F26" i="67"/>
  <c r="B12" i="76"/>
  <c r="F5" i="73"/>
  <c r="M6" i="15"/>
  <c r="F43" i="67"/>
  <c r="F7" i="73"/>
  <c r="F7" i="67"/>
  <c r="F6" i="73"/>
  <c r="B13" i="76"/>
  <c r="E8" i="76"/>
  <c r="F8" i="67"/>
  <c r="B9" i="76"/>
  <c r="L48" i="15"/>
  <c r="B7" i="76"/>
  <c r="B11" i="76"/>
  <c r="F37" i="67"/>
  <c r="E2" i="69"/>
  <c r="F9" i="67"/>
  <c r="F7" i="15"/>
  <c r="F3" i="73"/>
  <c r="J15" i="15"/>
  <c r="E10" i="76"/>
  <c r="C76" i="67"/>
  <c r="M29" i="67"/>
  <c r="F38" i="15"/>
  <c r="F20" i="31"/>
  <c r="F16" i="67"/>
  <c r="AC28" i="34" l="1"/>
  <c r="S28" i="34"/>
  <c r="U28" i="34"/>
  <c r="H27" i="34"/>
  <c r="AB27" i="34" s="1"/>
  <c r="AC43" i="34"/>
  <c r="S44" i="34"/>
  <c r="AB41" i="34"/>
  <c r="AC36" i="34"/>
  <c r="AA36" i="34"/>
  <c r="AB36" i="34"/>
  <c r="AA33" i="34"/>
  <c r="S19" i="34"/>
  <c r="AC35" i="34"/>
  <c r="W40" i="34"/>
  <c r="W41" i="34"/>
  <c r="U43" i="34"/>
  <c r="AC44" i="34"/>
  <c r="S43" i="34"/>
  <c r="U39" i="34"/>
  <c r="S35" i="34"/>
  <c r="AB33" i="34"/>
  <c r="AB23" i="34"/>
  <c r="U21" i="34"/>
  <c r="S21" i="34"/>
  <c r="W19" i="34"/>
  <c r="AC17" i="34"/>
  <c r="S17" i="34"/>
  <c r="A15" i="62"/>
  <c r="B61" i="72" s="1"/>
  <c r="I7" i="34"/>
  <c r="G7" i="34"/>
  <c r="E7" i="34"/>
  <c r="S37" i="34"/>
  <c r="S8" i="34"/>
  <c r="AB8" i="34"/>
  <c r="AC27" i="34"/>
  <c r="U34" i="34"/>
  <c r="F32" i="67"/>
  <c r="F60" i="67" s="1"/>
  <c r="F30" i="69"/>
  <c r="F48" i="69" s="1"/>
  <c r="C21" i="68"/>
  <c r="H109" i="9"/>
  <c r="AZ515" i="3"/>
  <c r="AZ533" i="3"/>
  <c r="AZ569" i="3"/>
  <c r="AZ558" i="3"/>
  <c r="AA44" i="33"/>
  <c r="S29" i="35"/>
  <c r="AA29" i="35"/>
  <c r="BL587" i="3"/>
  <c r="AZ587" i="3" s="1"/>
  <c r="BA585" i="3"/>
  <c r="J45" i="21"/>
  <c r="F45" i="21"/>
  <c r="B101" i="43"/>
  <c r="B79" i="43"/>
  <c r="F9" i="34"/>
  <c r="AA9" i="34" s="1"/>
  <c r="J9" i="34"/>
  <c r="H9" i="34"/>
  <c r="H34" i="36"/>
  <c r="F34" i="36"/>
  <c r="J34" i="36"/>
  <c r="W34" i="36" s="1"/>
  <c r="AB38" i="40"/>
  <c r="U38" i="40"/>
  <c r="BA555" i="3"/>
  <c r="BL554" i="3"/>
  <c r="BA546" i="3"/>
  <c r="AZ546" i="3" s="1"/>
  <c r="BA545" i="3"/>
  <c r="BA537" i="3"/>
  <c r="AZ537" i="3" s="1"/>
  <c r="BL536" i="3"/>
  <c r="BA536" i="3"/>
  <c r="BL534" i="3"/>
  <c r="AZ534" i="3" s="1"/>
  <c r="BA532" i="3"/>
  <c r="AZ532" i="3" s="1"/>
  <c r="BL528" i="3"/>
  <c r="BA526" i="3"/>
  <c r="AZ526" i="3" s="1"/>
  <c r="BA518" i="3"/>
  <c r="AZ518" i="3" s="1"/>
  <c r="BL516" i="3"/>
  <c r="BL514" i="3"/>
  <c r="AZ514" i="3" s="1"/>
  <c r="BA506" i="3"/>
  <c r="AZ506" i="3" s="1"/>
  <c r="BA500" i="3"/>
  <c r="AZ500" i="3" s="1"/>
  <c r="BL498" i="3"/>
  <c r="AZ498" i="3" s="1"/>
  <c r="BL496" i="3"/>
  <c r="AZ496" i="3" s="1"/>
  <c r="BA494" i="3"/>
  <c r="AZ494" i="3" s="1"/>
  <c r="AC27" i="33"/>
  <c r="AC23" i="37"/>
  <c r="U9" i="21"/>
  <c r="S36" i="33"/>
  <c r="U23" i="33"/>
  <c r="AB25" i="33"/>
  <c r="S39" i="33"/>
  <c r="U27" i="34"/>
  <c r="AC39" i="34"/>
  <c r="AB17" i="37"/>
  <c r="AA36" i="35"/>
  <c r="U12" i="39"/>
  <c r="AA12" i="39"/>
  <c r="AA27" i="40"/>
  <c r="AB27" i="40"/>
  <c r="AA34" i="33"/>
  <c r="AZ387" i="3"/>
  <c r="AZ338" i="3"/>
  <c r="AZ371" i="3"/>
  <c r="AZ305" i="3"/>
  <c r="AZ360" i="3"/>
  <c r="AZ505" i="3"/>
  <c r="AZ525" i="3"/>
  <c r="AZ529" i="3"/>
  <c r="AZ575" i="3"/>
  <c r="AZ524" i="3"/>
  <c r="AZ554" i="3"/>
  <c r="AZ582" i="3"/>
  <c r="S41" i="33"/>
  <c r="U17" i="34"/>
  <c r="AB17" i="34"/>
  <c r="J9" i="33"/>
  <c r="H9" i="33"/>
  <c r="F9" i="33"/>
  <c r="AA9" i="33" s="1"/>
  <c r="AC8" i="34"/>
  <c r="W8" i="34"/>
  <c r="H25" i="37"/>
  <c r="J25" i="37"/>
  <c r="F25" i="37"/>
  <c r="U8" i="39"/>
  <c r="AB8" i="39"/>
  <c r="AC40" i="39"/>
  <c r="W40" i="39"/>
  <c r="BA581" i="3"/>
  <c r="BA580" i="3"/>
  <c r="AZ580" i="3" s="1"/>
  <c r="BL574" i="3"/>
  <c r="BA573" i="3"/>
  <c r="BL572" i="3"/>
  <c r="BA572" i="3"/>
  <c r="AZ572" i="3" s="1"/>
  <c r="BA565" i="3"/>
  <c r="AZ565" i="3" s="1"/>
  <c r="BA564" i="3"/>
  <c r="AZ564" i="3" s="1"/>
  <c r="BL556" i="3"/>
  <c r="AZ556" i="3" s="1"/>
  <c r="AC17" i="33"/>
  <c r="W33" i="34"/>
  <c r="AA40" i="34"/>
  <c r="S30" i="40"/>
  <c r="S15" i="37"/>
  <c r="AZ345" i="3"/>
  <c r="AZ372" i="3"/>
  <c r="AZ337" i="3"/>
  <c r="AZ376" i="3"/>
  <c r="AZ309" i="3"/>
  <c r="AC12" i="37"/>
  <c r="AA19" i="37"/>
  <c r="M18" i="15"/>
  <c r="M18" i="67"/>
  <c r="F30" i="11"/>
  <c r="C48" i="11" s="1"/>
  <c r="W17" i="21"/>
  <c r="AB34" i="33"/>
  <c r="D120" i="9"/>
  <c r="AB36" i="33"/>
  <c r="AB45" i="21"/>
  <c r="AA19" i="33"/>
  <c r="F54" i="9"/>
  <c r="F32" i="15"/>
  <c r="F60" i="15" s="1"/>
  <c r="F52" i="9"/>
  <c r="F30" i="68"/>
  <c r="F48" i="68" s="1"/>
  <c r="U19" i="34"/>
  <c r="AC20" i="36"/>
  <c r="S20" i="36"/>
  <c r="AA39" i="39"/>
  <c r="W37" i="40"/>
  <c r="S13" i="34"/>
  <c r="AB35" i="34"/>
  <c r="AC15" i="37"/>
  <c r="AB13" i="35"/>
  <c r="S14" i="36"/>
  <c r="S15" i="39"/>
  <c r="AC34" i="33"/>
  <c r="U12" i="40"/>
  <c r="AC11" i="39"/>
  <c r="F29" i="6"/>
  <c r="AZ391" i="3"/>
  <c r="AZ318" i="3"/>
  <c r="AZ364" i="3"/>
  <c r="AZ329" i="3"/>
  <c r="AZ304" i="3"/>
  <c r="AZ306" i="3"/>
  <c r="AC13" i="40"/>
  <c r="U32" i="33"/>
  <c r="AZ535" i="3"/>
  <c r="AZ557" i="3"/>
  <c r="AZ513" i="3"/>
  <c r="AZ516" i="3"/>
  <c r="AZ528" i="3"/>
  <c r="AZ574" i="3"/>
  <c r="AZ502" i="3"/>
  <c r="AB30" i="21"/>
  <c r="AA11" i="36"/>
  <c r="S11" i="36"/>
  <c r="U40" i="33"/>
  <c r="U34" i="40"/>
  <c r="J12" i="34"/>
  <c r="H12" i="34"/>
  <c r="F12" i="34"/>
  <c r="S12" i="34" s="1"/>
  <c r="W31" i="35"/>
  <c r="AC31" i="35"/>
  <c r="AC30" i="36"/>
  <c r="W30" i="36"/>
  <c r="AZ573" i="3"/>
  <c r="AZ579" i="3"/>
  <c r="U45" i="33"/>
  <c r="AB45" i="33"/>
  <c r="AB33" i="33"/>
  <c r="U33" i="33"/>
  <c r="H31" i="39"/>
  <c r="J31" i="39"/>
  <c r="F31" i="39"/>
  <c r="J37" i="39"/>
  <c r="F37" i="39"/>
  <c r="G587" i="3"/>
  <c r="G551" i="3"/>
  <c r="BL550" i="3"/>
  <c r="G542" i="3"/>
  <c r="AZ407" i="3"/>
  <c r="BL585" i="3"/>
  <c r="B75" i="43"/>
  <c r="BA551" i="3"/>
  <c r="AZ551" i="3" s="1"/>
  <c r="BA550" i="3"/>
  <c r="AZ550" i="3" s="1"/>
  <c r="BL548" i="3"/>
  <c r="AZ548" i="3" s="1"/>
  <c r="AZ402" i="3"/>
  <c r="AZ406" i="3"/>
  <c r="BL460" i="3"/>
  <c r="BL461" i="3"/>
  <c r="BA463" i="3"/>
  <c r="BA466" i="3"/>
  <c r="G470" i="3"/>
  <c r="G471" i="3"/>
  <c r="BL471" i="3"/>
  <c r="AZ471" i="3" s="1"/>
  <c r="BA476" i="3"/>
  <c r="BL15" i="3"/>
  <c r="AZ15" i="3" s="1"/>
  <c r="BA398" i="3"/>
  <c r="AZ398" i="3" s="1"/>
  <c r="BA399" i="3"/>
  <c r="AZ399" i="3" s="1"/>
  <c r="BL411" i="3"/>
  <c r="BL414" i="3"/>
  <c r="BL415" i="3"/>
  <c r="BL421" i="3"/>
  <c r="BL422" i="3"/>
  <c r="BA428" i="3"/>
  <c r="AZ428" i="3" s="1"/>
  <c r="BA429" i="3"/>
  <c r="AZ429" i="3" s="1"/>
  <c r="BA430" i="3"/>
  <c r="AZ430" i="3" s="1"/>
  <c r="BA434" i="3"/>
  <c r="BA439" i="3"/>
  <c r="BL457" i="3"/>
  <c r="AZ469" i="3"/>
  <c r="AZ480" i="3"/>
  <c r="G574" i="3"/>
  <c r="BA401" i="3"/>
  <c r="BA403" i="3"/>
  <c r="AZ403" i="3" s="1"/>
  <c r="BA404" i="3"/>
  <c r="BA405" i="3"/>
  <c r="BL408" i="3"/>
  <c r="BA411" i="3"/>
  <c r="AZ411" i="3" s="1"/>
  <c r="BL416" i="3"/>
  <c r="BA419" i="3"/>
  <c r="AZ419" i="3" s="1"/>
  <c r="BL423" i="3"/>
  <c r="G424" i="3"/>
  <c r="BL424" i="3"/>
  <c r="G431" i="3"/>
  <c r="G443" i="3"/>
  <c r="G445" i="3"/>
  <c r="BA448" i="3"/>
  <c r="BA450" i="3"/>
  <c r="G452" i="3"/>
  <c r="G453" i="3"/>
  <c r="BL453" i="3"/>
  <c r="AZ453" i="3" s="1"/>
  <c r="BL454" i="3"/>
  <c r="BL463" i="3"/>
  <c r="G467" i="3"/>
  <c r="G398" i="3"/>
  <c r="BL400" i="3"/>
  <c r="AZ400" i="3" s="1"/>
  <c r="BA408" i="3"/>
  <c r="AZ408" i="3" s="1"/>
  <c r="BL412" i="3"/>
  <c r="BL417" i="3"/>
  <c r="AZ417" i="3" s="1"/>
  <c r="BL418" i="3"/>
  <c r="BL425" i="3"/>
  <c r="BL426" i="3"/>
  <c r="BA432" i="3"/>
  <c r="AZ432" i="3" s="1"/>
  <c r="G435" i="3"/>
  <c r="BL435" i="3"/>
  <c r="BL436" i="3"/>
  <c r="BA445" i="3"/>
  <c r="BA447" i="3"/>
  <c r="AZ447" i="3" s="1"/>
  <c r="BA451" i="3"/>
  <c r="AZ451" i="3" s="1"/>
  <c r="BL458" i="3"/>
  <c r="AZ458" i="3" s="1"/>
  <c r="BL459" i="3"/>
  <c r="BA467" i="3"/>
  <c r="BA468" i="3"/>
  <c r="BL484" i="3"/>
  <c r="AZ217" i="3"/>
  <c r="BL401" i="3"/>
  <c r="BL404" i="3"/>
  <c r="BL405" i="3"/>
  <c r="BL407" i="3"/>
  <c r="BA412" i="3"/>
  <c r="AZ412" i="3" s="1"/>
  <c r="BA414" i="3"/>
  <c r="AZ414" i="3" s="1"/>
  <c r="BA415" i="3"/>
  <c r="AZ415" i="3" s="1"/>
  <c r="BA416" i="3"/>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BA457" i="3"/>
  <c r="AZ457" i="3" s="1"/>
  <c r="BA459" i="3"/>
  <c r="AZ459" i="3" s="1"/>
  <c r="BA460" i="3"/>
  <c r="AZ460" i="3" s="1"/>
  <c r="BA461" i="3"/>
  <c r="BL464" i="3"/>
  <c r="BL466" i="3"/>
  <c r="G468" i="3"/>
  <c r="G469" i="3"/>
  <c r="BL476" i="3"/>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A117" i="3"/>
  <c r="BA124" i="3"/>
  <c r="AZ124" i="3" s="1"/>
  <c r="BL127" i="3"/>
  <c r="AZ127" i="3" s="1"/>
  <c r="BL137" i="3"/>
  <c r="BA146" i="3"/>
  <c r="AZ146" i="3" s="1"/>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AZ238" i="3" s="1"/>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A301" i="3"/>
  <c r="AZ301" i="3" s="1"/>
  <c r="BA302" i="3"/>
  <c r="AZ302" i="3" s="1"/>
  <c r="G115" i="3"/>
  <c r="BA116" i="3"/>
  <c r="AZ116" i="3" s="1"/>
  <c r="BA121" i="3"/>
  <c r="BL121" i="3"/>
  <c r="BL123" i="3"/>
  <c r="AZ123" i="3" s="1"/>
  <c r="G127" i="3"/>
  <c r="BA129" i="3"/>
  <c r="BL133" i="3"/>
  <c r="AZ133" i="3" s="1"/>
  <c r="BL134" i="3"/>
  <c r="BL161" i="3"/>
  <c r="G162" i="3"/>
  <c r="BL162" i="3"/>
  <c r="AZ162" i="3" s="1"/>
  <c r="BL165" i="3"/>
  <c r="G166" i="3"/>
  <c r="BL191" i="3"/>
  <c r="AZ191" i="3" s="1"/>
  <c r="BL475" i="3"/>
  <c r="BA477" i="3"/>
  <c r="BA478" i="3"/>
  <c r="BA481" i="3"/>
  <c r="G484" i="3"/>
  <c r="BA488" i="3"/>
  <c r="AZ488" i="3" s="1"/>
  <c r="BA491" i="3"/>
  <c r="AZ491" i="3" s="1"/>
  <c r="BL324" i="3"/>
  <c r="AZ324" i="3" s="1"/>
  <c r="BL328" i="3"/>
  <c r="AZ328" i="3" s="1"/>
  <c r="G329"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G126" i="3"/>
  <c r="BA128" i="3"/>
  <c r="AZ128" i="3" s="1"/>
  <c r="G136" i="3"/>
  <c r="BA137" i="3"/>
  <c r="AZ137" i="3" s="1"/>
  <c r="BL138" i="3"/>
  <c r="BA140" i="3"/>
  <c r="AZ140" i="3" s="1"/>
  <c r="BA142" i="3"/>
  <c r="BL149" i="3"/>
  <c r="AZ149" i="3" s="1"/>
  <c r="BL150" i="3"/>
  <c r="AZ150" i="3" s="1"/>
  <c r="BA152" i="3"/>
  <c r="AZ152" i="3" s="1"/>
  <c r="BA154" i="3"/>
  <c r="AZ154" i="3" s="1"/>
  <c r="BL167" i="3"/>
  <c r="AZ167" i="3" s="1"/>
  <c r="BA173" i="3"/>
  <c r="AZ173" i="3" s="1"/>
  <c r="BA174" i="3"/>
  <c r="BL179" i="3"/>
  <c r="AZ179" i="3" s="1"/>
  <c r="BA181" i="3"/>
  <c r="AZ181" i="3" s="1"/>
  <c r="BA182" i="3"/>
  <c r="AZ182" i="3" s="1"/>
  <c r="BL185" i="3"/>
  <c r="AZ48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AZ125" i="3"/>
  <c r="G154" i="3"/>
  <c r="G156" i="3"/>
  <c r="BL157" i="3"/>
  <c r="AZ157" i="3" s="1"/>
  <c r="BL159" i="3"/>
  <c r="AZ159" i="3" s="1"/>
  <c r="G160" i="3"/>
  <c r="BL169" i="3"/>
  <c r="BL170" i="3"/>
  <c r="G171" i="3"/>
  <c r="BL177" i="3"/>
  <c r="AZ177" i="3" s="1"/>
  <c r="G179" i="3"/>
  <c r="BL183" i="3"/>
  <c r="AZ183" i="3" s="1"/>
  <c r="BA186" i="3"/>
  <c r="AZ186" i="3" s="1"/>
  <c r="G190"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A55" i="3"/>
  <c r="BL64" i="3"/>
  <c r="G65" i="3"/>
  <c r="BL65" i="3"/>
  <c r="F40" i="69"/>
  <c r="C40" i="69"/>
  <c r="P65" i="71"/>
  <c r="P66" i="71"/>
  <c r="C47" i="71"/>
  <c r="D47" i="71" s="1"/>
  <c r="D46" i="71"/>
  <c r="C67" i="71"/>
  <c r="T68" i="71"/>
  <c r="O68" i="71"/>
  <c r="T76" i="71"/>
  <c r="D76" i="71"/>
  <c r="C75" i="71"/>
  <c r="Y27" i="71"/>
  <c r="Z27" i="71" s="1"/>
  <c r="Y26" i="71"/>
  <c r="Z26" i="71" s="1"/>
  <c r="AA3" i="71"/>
  <c r="BL193" i="3"/>
  <c r="G194" i="3"/>
  <c r="BL194" i="3"/>
  <c r="AZ194" i="3" s="1"/>
  <c r="BA198" i="3"/>
  <c r="AZ198" i="3" s="1"/>
  <c r="G204" i="3"/>
  <c r="BL206" i="3"/>
  <c r="BA19" i="3"/>
  <c r="AZ19" i="3" s="1"/>
  <c r="BA27" i="3"/>
  <c r="BL30" i="3"/>
  <c r="BL31" i="3"/>
  <c r="BL40" i="3"/>
  <c r="BL41" i="3"/>
  <c r="BL45" i="3"/>
  <c r="BA48" i="3"/>
  <c r="BA49" i="3"/>
  <c r="BL52" i="3"/>
  <c r="AZ52" i="3" s="1"/>
  <c r="BL53" i="3"/>
  <c r="AZ65" i="3"/>
  <c r="BL76" i="3"/>
  <c r="AZ108" i="3"/>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18" i="3"/>
  <c r="G21" i="3"/>
  <c r="BL21" i="3"/>
  <c r="AZ21" i="3" s="1"/>
  <c r="G23" i="3"/>
  <c r="G29" i="3"/>
  <c r="BL29" i="3"/>
  <c r="AZ29" i="3" s="1"/>
  <c r="G33" i="3"/>
  <c r="G34" i="3"/>
  <c r="BA37" i="3"/>
  <c r="G39" i="3"/>
  <c r="BL39" i="3"/>
  <c r="AZ39" i="3" s="1"/>
  <c r="G43" i="3"/>
  <c r="G44" i="3"/>
  <c r="BA45" i="3"/>
  <c r="AZ45" i="3" s="1"/>
  <c r="BA46" i="3"/>
  <c r="BL49" i="3"/>
  <c r="BL50" i="3"/>
  <c r="AZ50" i="3" s="1"/>
  <c r="BL51" i="3"/>
  <c r="BA53" i="3"/>
  <c r="AZ53" i="3" s="1"/>
  <c r="BA54" i="3"/>
  <c r="BL55" i="3"/>
  <c r="G58" i="3"/>
  <c r="BA59" i="3"/>
  <c r="AZ59" i="3" s="1"/>
  <c r="BL61" i="3"/>
  <c r="G64" i="3"/>
  <c r="BA64" i="3"/>
  <c r="BL69" i="3"/>
  <c r="AZ69" i="3" s="1"/>
  <c r="W21" i="21"/>
  <c r="AB21" i="37"/>
  <c r="U21" i="37"/>
  <c r="C32" i="71"/>
  <c r="C86" i="71"/>
  <c r="D86" i="71" s="1"/>
  <c r="D87" i="71"/>
  <c r="Y25" i="71"/>
  <c r="Z25" i="71" s="1"/>
  <c r="C36" i="71"/>
  <c r="D35" i="71"/>
  <c r="AB32" i="71"/>
  <c r="Y35" i="71"/>
  <c r="Z35" i="71" s="1"/>
  <c r="S80" i="71"/>
  <c r="B79" i="71"/>
  <c r="B78" i="71" s="1"/>
  <c r="BA193" i="3"/>
  <c r="BA196" i="3"/>
  <c r="AZ196" i="3" s="1"/>
  <c r="G203" i="3"/>
  <c r="AZ25" i="3"/>
  <c r="AZ38" i="3"/>
  <c r="AC25" i="40"/>
  <c r="U21" i="33"/>
  <c r="AB21" i="33"/>
  <c r="D43" i="71"/>
  <c r="AA28" i="71"/>
  <c r="C51" i="71"/>
  <c r="E39" i="71"/>
  <c r="E40" i="71" s="1"/>
  <c r="U40" i="71" s="1"/>
  <c r="Y37" i="71"/>
  <c r="Z37" i="71" s="1"/>
  <c r="F66" i="71"/>
  <c r="Q67" i="71"/>
  <c r="X25" i="71"/>
  <c r="V24" i="71"/>
  <c r="E23" i="71"/>
  <c r="E22" i="71" s="1"/>
  <c r="E21" i="71" s="1"/>
  <c r="E20" i="71" s="1"/>
  <c r="E19" i="71" s="1"/>
  <c r="E18" i="71" s="1"/>
  <c r="E17" i="71" s="1"/>
  <c r="E16" i="71" s="1"/>
  <c r="BA51" i="3"/>
  <c r="AZ51" i="3" s="1"/>
  <c r="G54" i="3"/>
  <c r="G55" i="3"/>
  <c r="BL56" i="3"/>
  <c r="BA58" i="3"/>
  <c r="BL59" i="3"/>
  <c r="BL60" i="3"/>
  <c r="BA61" i="3"/>
  <c r="AZ61" i="3" s="1"/>
  <c r="BA68" i="3"/>
  <c r="BA73" i="3"/>
  <c r="BA80" i="3"/>
  <c r="BL84" i="3"/>
  <c r="BA89" i="3"/>
  <c r="G103" i="3"/>
  <c r="BA103" i="3"/>
  <c r="AZ103" i="3" s="1"/>
  <c r="BA104" i="3"/>
  <c r="BA106" i="3"/>
  <c r="BL108" i="3"/>
  <c r="G110" i="3"/>
  <c r="BL111" i="3"/>
  <c r="AA27" i="71"/>
  <c r="S28" i="71"/>
  <c r="C83" i="71"/>
  <c r="C79" i="71"/>
  <c r="C71" i="71"/>
  <c r="C39" i="71"/>
  <c r="Y28" i="71"/>
  <c r="Z28" i="71" s="1"/>
  <c r="Y30" i="71"/>
  <c r="Z30" i="71" s="1"/>
  <c r="X28" i="71"/>
  <c r="X32" i="71"/>
  <c r="AB38" i="71"/>
  <c r="F75" i="71"/>
  <c r="F74" i="71" s="1"/>
  <c r="BA56" i="3"/>
  <c r="BA57" i="3"/>
  <c r="AZ57" i="3" s="1"/>
  <c r="BL58" i="3"/>
  <c r="BA60" i="3"/>
  <c r="BA63" i="3"/>
  <c r="AZ63" i="3" s="1"/>
  <c r="BA66" i="3"/>
  <c r="BA71" i="3"/>
  <c r="BL77" i="3"/>
  <c r="AZ77" i="3" s="1"/>
  <c r="BA79" i="3"/>
  <c r="AZ79" i="3" s="1"/>
  <c r="BA84" i="3"/>
  <c r="BL88" i="3"/>
  <c r="AZ88" i="3" s="1"/>
  <c r="BL90" i="3"/>
  <c r="BL92" i="3"/>
  <c r="G101" i="3"/>
  <c r="BA101" i="3"/>
  <c r="AZ101" i="3" s="1"/>
  <c r="BL112" i="3"/>
  <c r="F35" i="71"/>
  <c r="F36" i="71" s="1"/>
  <c r="V36" i="71" s="1"/>
  <c r="AA34" i="7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66" i="15"/>
  <c r="Q71" i="67"/>
  <c r="F64" i="15"/>
  <c r="C27" i="67"/>
  <c r="F71" i="67"/>
  <c r="N59" i="67"/>
  <c r="L59" i="67"/>
  <c r="L58" i="67"/>
  <c r="M59" i="67"/>
  <c r="B13" i="70"/>
  <c r="M7" i="67"/>
  <c r="J6" i="67" s="1"/>
  <c r="F50" i="67"/>
  <c r="F68" i="67"/>
  <c r="F64" i="67"/>
  <c r="C36" i="68"/>
  <c r="D9" i="68"/>
  <c r="F37" i="15"/>
  <c r="F42" i="15"/>
  <c r="D4" i="73"/>
  <c r="F26" i="15"/>
  <c r="D7" i="73"/>
  <c r="M29" i="15"/>
  <c r="M24" i="15"/>
  <c r="D9" i="69"/>
  <c r="C36" i="69"/>
  <c r="F40" i="15"/>
  <c r="D5" i="73"/>
  <c r="M9" i="15"/>
  <c r="F43" i="15"/>
  <c r="D3" i="73"/>
  <c r="F16" i="15"/>
  <c r="M8" i="15"/>
  <c r="M22" i="67"/>
  <c r="F9" i="15"/>
  <c r="C76" i="15"/>
  <c r="M23" i="15"/>
  <c r="C16" i="67"/>
  <c r="F38" i="67"/>
  <c r="F8" i="15"/>
  <c r="M24" i="67"/>
  <c r="M22" i="15"/>
  <c r="L47" i="15"/>
  <c r="M28" i="15"/>
  <c r="F6" i="15"/>
  <c r="F26" i="43" l="1"/>
  <c r="E26" i="43"/>
  <c r="H26" i="43"/>
  <c r="G26" i="43"/>
  <c r="H16" i="1"/>
  <c r="K16" i="1"/>
  <c r="Q16" i="1"/>
  <c r="P6" i="1"/>
  <c r="C13" i="12" s="1"/>
  <c r="D17" i="53"/>
  <c r="B36" i="72" s="1"/>
  <c r="F66" i="67"/>
  <c r="C27" i="15"/>
  <c r="F31" i="15"/>
  <c r="C6" i="15"/>
  <c r="F71" i="15"/>
  <c r="Q71" i="15"/>
  <c r="F51" i="15"/>
  <c r="F59" i="15" s="1"/>
  <c r="F68" i="15"/>
  <c r="L59" i="15"/>
  <c r="Q74" i="15" s="1"/>
  <c r="N59" i="15"/>
  <c r="L58" i="15"/>
  <c r="Q73" i="15" s="1"/>
  <c r="M59" i="15"/>
  <c r="F65" i="15"/>
  <c r="C70" i="71"/>
  <c r="D70" i="71" s="1"/>
  <c r="D71" i="71"/>
  <c r="AZ58" i="3"/>
  <c r="C52" i="71"/>
  <c r="D51" i="71"/>
  <c r="C26" i="71"/>
  <c r="D26" i="71" s="1"/>
  <c r="D27" i="71"/>
  <c r="D67" i="71"/>
  <c r="C66" i="71"/>
  <c r="O67" i="71"/>
  <c r="AZ294" i="3"/>
  <c r="AZ405" i="3"/>
  <c r="AA31" i="39"/>
  <c r="S31" i="39"/>
  <c r="AC9" i="33"/>
  <c r="W9" i="33"/>
  <c r="AC9" i="34"/>
  <c r="W9" i="34"/>
  <c r="AA45" i="21"/>
  <c r="S45" i="21"/>
  <c r="J6" i="15"/>
  <c r="J18" i="15" s="1"/>
  <c r="D79" i="71"/>
  <c r="C78" i="71"/>
  <c r="D78" i="71" s="1"/>
  <c r="B19" i="71"/>
  <c r="B18" i="71" s="1"/>
  <c r="B17" i="71" s="1"/>
  <c r="B16" i="71" s="1"/>
  <c r="S20" i="71"/>
  <c r="AZ49" i="3"/>
  <c r="AZ27" i="3"/>
  <c r="AZ118" i="3"/>
  <c r="AZ368" i="3"/>
  <c r="AZ353" i="3"/>
  <c r="AZ277" i="3"/>
  <c r="AZ256" i="3"/>
  <c r="AZ121" i="3"/>
  <c r="AZ332" i="3"/>
  <c r="AZ448" i="3"/>
  <c r="AZ404" i="3"/>
  <c r="W31" i="39"/>
  <c r="AC31" i="39"/>
  <c r="AA25" i="37"/>
  <c r="S25" i="37"/>
  <c r="S34" i="36"/>
  <c r="AA34" i="36"/>
  <c r="W45" i="21"/>
  <c r="AC45" i="21"/>
  <c r="AZ71" i="3"/>
  <c r="D83" i="71"/>
  <c r="C82" i="71"/>
  <c r="D82" i="71" s="1"/>
  <c r="T32" i="71"/>
  <c r="D32" i="71"/>
  <c r="D23" i="71"/>
  <c r="C22" i="71"/>
  <c r="AZ55" i="3"/>
  <c r="AZ244" i="3"/>
  <c r="AZ239" i="3"/>
  <c r="AZ251" i="3"/>
  <c r="AZ247" i="3"/>
  <c r="AZ418" i="3"/>
  <c r="AA37" i="39"/>
  <c r="S37" i="39"/>
  <c r="AB31" i="39"/>
  <c r="U31" i="39"/>
  <c r="U12" i="34"/>
  <c r="AB12" i="34"/>
  <c r="D121" i="9"/>
  <c r="D7" i="52" s="1"/>
  <c r="D6" i="52"/>
  <c r="AC25" i="37"/>
  <c r="W25" i="37"/>
  <c r="AB34" i="36"/>
  <c r="U34" i="36"/>
  <c r="AZ585" i="3"/>
  <c r="G5" i="3"/>
  <c r="B3" i="3" s="1"/>
  <c r="E539" i="3" s="1"/>
  <c r="AZ84" i="3"/>
  <c r="AZ66" i="3"/>
  <c r="C40" i="71"/>
  <c r="D39" i="71"/>
  <c r="AZ64" i="3"/>
  <c r="C56" i="71"/>
  <c r="D55" i="71"/>
  <c r="D75" i="71"/>
  <c r="C74" i="71"/>
  <c r="D74" i="71" s="1"/>
  <c r="AZ41" i="3"/>
  <c r="AZ31" i="3"/>
  <c r="AZ282" i="3"/>
  <c r="AZ229" i="3"/>
  <c r="AZ218" i="3"/>
  <c r="AZ273" i="3"/>
  <c r="AZ461" i="3"/>
  <c r="AZ454" i="3"/>
  <c r="AZ416" i="3"/>
  <c r="AZ401" i="3"/>
  <c r="AZ476" i="3"/>
  <c r="AZ466" i="3"/>
  <c r="AC37" i="39"/>
  <c r="W37" i="39"/>
  <c r="W12" i="34"/>
  <c r="AC12" i="34"/>
  <c r="U25" i="37"/>
  <c r="AB25" i="37"/>
  <c r="AB9" i="33"/>
  <c r="U9" i="33"/>
  <c r="AZ536" i="3"/>
  <c r="U9" i="34"/>
  <c r="AB9" i="34"/>
  <c r="G16" i="1"/>
  <c r="F10" i="39" s="1"/>
  <c r="J7" i="37"/>
  <c r="K1" i="73"/>
  <c r="E510" i="3"/>
  <c r="E199" i="3"/>
  <c r="E575" i="3"/>
  <c r="R6" i="3"/>
  <c r="E541" i="3"/>
  <c r="E449" i="3"/>
  <c r="I3" i="6"/>
  <c r="E435" i="3"/>
  <c r="E491" i="3"/>
  <c r="E417" i="3"/>
  <c r="E37" i="3"/>
  <c r="E95" i="3"/>
  <c r="E192" i="3"/>
  <c r="E241" i="3"/>
  <c r="E363" i="3"/>
  <c r="E349" i="3"/>
  <c r="E76" i="3"/>
  <c r="E59" i="3"/>
  <c r="E409" i="3"/>
  <c r="E467" i="3"/>
  <c r="E64" i="3"/>
  <c r="E103" i="3"/>
  <c r="E267" i="3"/>
  <c r="E249" i="3"/>
  <c r="E300" i="3"/>
  <c r="E310" i="3"/>
  <c r="E492" i="3"/>
  <c r="E23" i="3"/>
  <c r="E67" i="3"/>
  <c r="E33" i="3"/>
  <c r="E144" i="3"/>
  <c r="E233" i="3"/>
  <c r="E355" i="3"/>
  <c r="E381" i="3"/>
  <c r="E63" i="3"/>
  <c r="E81" i="3"/>
  <c r="E264" i="3"/>
  <c r="E309" i="3"/>
  <c r="E513" i="3"/>
  <c r="E21" i="3"/>
  <c r="E198" i="3"/>
  <c r="E281" i="3"/>
  <c r="E332" i="3"/>
  <c r="AL6" i="3"/>
  <c r="E42" i="3"/>
  <c r="E75" i="3"/>
  <c r="E18" i="3"/>
  <c r="E96" i="3"/>
  <c r="E129" i="3"/>
  <c r="E235" i="3"/>
  <c r="E383" i="3"/>
  <c r="E522" i="3"/>
  <c r="E34" i="3"/>
  <c r="E206" i="3"/>
  <c r="E251" i="3"/>
  <c r="E102" i="3"/>
  <c r="E113" i="3"/>
  <c r="E287" i="3"/>
  <c r="E22" i="3"/>
  <c r="E205" i="3"/>
  <c r="E140" i="3"/>
  <c r="E173" i="3"/>
  <c r="E525" i="3"/>
  <c r="E534" i="3"/>
  <c r="E405" i="3"/>
  <c r="E456" i="3"/>
  <c r="E469"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F1" i="15"/>
  <c r="Q52" i="15"/>
  <c r="J18" i="67"/>
  <c r="C32" i="15"/>
  <c r="F1" i="67"/>
  <c r="Q52" i="67"/>
  <c r="Q61" i="67"/>
  <c r="Q74" i="67"/>
  <c r="Q61" i="15"/>
  <c r="AE11" i="1"/>
  <c r="AE9" i="1"/>
  <c r="F27" i="68"/>
  <c r="AE7" i="1"/>
  <c r="AE8" i="1"/>
  <c r="AE12" i="1"/>
  <c r="AE10" i="1"/>
  <c r="G1" i="73"/>
  <c r="AE6" i="1"/>
  <c r="C16" i="15"/>
  <c r="F41" i="67"/>
  <c r="F27" i="69"/>
  <c r="U7" i="36" l="1"/>
  <c r="F45" i="69"/>
  <c r="C29" i="69"/>
  <c r="D27" i="69" s="1"/>
  <c r="C47" i="69"/>
  <c r="D45" i="69" s="1"/>
  <c r="E512" i="3"/>
  <c r="T6" i="3"/>
  <c r="E197" i="3"/>
  <c r="E308" i="3"/>
  <c r="AF6" i="3"/>
  <c r="E86" i="3"/>
  <c r="E174" i="3"/>
  <c r="E482" i="3"/>
  <c r="E391" i="3"/>
  <c r="E494" i="3"/>
  <c r="E283" i="3"/>
  <c r="E68" i="3"/>
  <c r="E184" i="3"/>
  <c r="E84" i="3"/>
  <c r="E371" i="3"/>
  <c r="E160" i="3"/>
  <c r="E425" i="3"/>
  <c r="E389" i="3"/>
  <c r="E258" i="3"/>
  <c r="E56" i="3"/>
  <c r="E554" i="3"/>
  <c r="E442" i="3"/>
  <c r="E536" i="3"/>
  <c r="J5" i="15"/>
  <c r="J24" i="15" s="1"/>
  <c r="C49" i="15"/>
  <c r="Q60" i="15"/>
  <c r="E46" i="3"/>
  <c r="E484" i="3"/>
  <c r="E544" i="3"/>
  <c r="E292" i="3"/>
  <c r="E152" i="3"/>
  <c r="E479" i="3"/>
  <c r="E517" i="3"/>
  <c r="E255" i="3"/>
  <c r="E466" i="3"/>
  <c r="E499" i="3"/>
  <c r="E212" i="3"/>
  <c r="T40" i="71"/>
  <c r="D40" i="71"/>
  <c r="D56" i="71"/>
  <c r="T56" i="71"/>
  <c r="O65" i="71"/>
  <c r="D66" i="71"/>
  <c r="O66" i="71"/>
  <c r="AP6" i="3"/>
  <c r="E430" i="3"/>
  <c r="E502" i="3"/>
  <c r="E286" i="3"/>
  <c r="T52" i="71"/>
  <c r="D52" i="71"/>
  <c r="R36" i="36"/>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15"/>
  <c r="M27" i="67"/>
  <c r="F41" i="15"/>
  <c r="B14" i="74" l="1"/>
  <c r="B1" i="74" s="1"/>
  <c r="R50" i="34"/>
  <c r="G54" i="34"/>
  <c r="H54" i="34" s="1"/>
  <c r="C48" i="15"/>
  <c r="C66" i="15" s="1"/>
  <c r="D116" i="43"/>
  <c r="AC6" i="3"/>
  <c r="E6" i="3" s="1"/>
  <c r="F25" i="12"/>
  <c r="C26" i="12" s="1"/>
  <c r="D25" i="12" s="1"/>
  <c r="D21" i="71"/>
  <c r="C20" i="71"/>
  <c r="F22" i="68"/>
  <c r="F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34" i="69"/>
  <c r="C14" i="67"/>
  <c r="D10" i="69"/>
  <c r="C17" i="15"/>
  <c r="C17" i="67"/>
  <c r="E53" i="34" l="1"/>
  <c r="F53" i="34" s="1"/>
  <c r="E54" i="34"/>
  <c r="F54" i="34" s="1"/>
  <c r="C44" i="11"/>
  <c r="D41" i="11" s="1"/>
  <c r="C26" i="11"/>
  <c r="D22" i="11" s="1"/>
  <c r="C23" i="68"/>
  <c r="C44" i="68"/>
  <c r="D41" i="68" s="1"/>
  <c r="C26" i="68"/>
  <c r="D22" i="68"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D19" i="9"/>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C19" i="9"/>
  <c r="AO12" i="1"/>
  <c r="AO11" i="1"/>
  <c r="D20" i="9"/>
  <c r="AO8" i="1"/>
  <c r="AO6" i="1"/>
  <c r="AO9" i="1"/>
  <c r="AO7"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F4" i="52" s="1"/>
  <c r="B51" i="72" s="1"/>
  <c r="I118" i="9"/>
  <c r="H118" i="9" s="1"/>
  <c r="G4" i="52" l="1"/>
  <c r="B52" i="72" s="1"/>
  <c r="H102" i="9"/>
  <c r="E14" i="74"/>
  <c r="D7" i="53"/>
  <c r="B21" i="72" s="1"/>
  <c r="C105" i="9"/>
  <c r="D14" i="74"/>
  <c r="G14" i="74" s="1"/>
  <c r="B6" i="74" s="1"/>
  <c r="D6" i="74" s="1"/>
  <c r="I4" i="52"/>
  <c r="E118" i="9"/>
  <c r="F119" i="9"/>
  <c r="F5" i="52" s="1"/>
  <c r="B53" i="72" s="1"/>
  <c r="B5" i="74" l="1"/>
  <c r="F14" i="74"/>
  <c r="H119" i="9"/>
  <c r="H5" i="52" s="1"/>
  <c r="H4" i="52"/>
  <c r="C104" i="9"/>
  <c r="H101" i="9"/>
  <c r="E4" i="52"/>
  <c r="B48" i="72" s="1"/>
  <c r="D118" i="9"/>
  <c r="D5" i="74" l="1"/>
  <c r="C5" i="74"/>
  <c r="D119" i="9"/>
  <c r="D5" i="52" s="1"/>
  <c r="B49" i="72" s="1"/>
  <c r="D4" i="52"/>
  <c r="B47" i="72" s="1"/>
  <c r="H107" i="9"/>
  <c r="M48" i="9"/>
  <c r="D45" i="9"/>
  <c r="D5" i="53"/>
  <c r="M49" i="9" l="1"/>
  <c r="D13" i="53"/>
  <c r="H108" i="9"/>
  <c r="D122" i="9"/>
  <c r="D6" i="53"/>
  <c r="B22" i="72" s="1"/>
  <c r="B20" i="72"/>
  <c r="C93" i="9"/>
  <c r="C86" i="9" s="1"/>
  <c r="C64" i="9"/>
  <c r="C63" i="9" s="1"/>
  <c r="C67" i="9" s="1"/>
  <c r="D53" i="9"/>
  <c r="C78" i="9"/>
  <c r="C73" i="9" s="1"/>
  <c r="C85" i="9"/>
  <c r="C72" i="9"/>
  <c r="D55" i="9"/>
  <c r="M53" i="9" s="1"/>
  <c r="D52" i="9"/>
  <c r="C79" i="9" l="1"/>
  <c r="C68" i="9"/>
  <c r="D54" i="9" s="1"/>
  <c r="D59" i="9"/>
  <c r="M55" i="9" s="1"/>
  <c r="D8" i="52"/>
  <c r="D123" i="9"/>
  <c r="D9" i="52" s="1"/>
  <c r="C80" i="9"/>
  <c r="E80" i="9" s="1"/>
  <c r="E81" i="9" s="1"/>
  <c r="C6" i="74"/>
  <c r="D15" i="53"/>
  <c r="B31" i="72" s="1"/>
  <c r="C95" i="9"/>
  <c r="D14" i="53"/>
  <c r="B32" i="72" s="1"/>
  <c r="B30" i="72"/>
  <c r="L67" i="9"/>
  <c r="M67" i="9" s="1"/>
  <c r="L65" i="9"/>
  <c r="M65" i="9" s="1"/>
  <c r="L63" i="9"/>
  <c r="M63" i="9" s="1"/>
  <c r="L66" i="9"/>
  <c r="M66" i="9" s="1"/>
  <c r="L68" i="9"/>
  <c r="M68" i="9" s="1"/>
  <c r="L64" i="9"/>
  <c r="M64" i="9" s="1"/>
  <c r="M69" i="9" l="1"/>
  <c r="N69" i="9" s="1"/>
  <c r="C81" i="9"/>
  <c r="C96" i="9"/>
  <c r="E96" i="9" s="1"/>
  <c r="E97" i="9" s="1"/>
  <c r="C97" i="9" l="1"/>
  <c r="D58" i="9" s="1"/>
  <c r="D56" i="9" s="1"/>
  <c r="M54" i="9" s="1"/>
  <c r="N57" i="9" s="1"/>
  <c r="P57" i="9" s="1"/>
  <c r="N59" i="9" l="1"/>
  <c r="N60" i="9" s="1"/>
  <c r="N58"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<sst xmlns="http://schemas.openxmlformats.org/spreadsheetml/2006/main" count="7998" uniqueCount="3485">
  <si>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</si>
  <si>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</si>
  <si>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</si>
  <si>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</si>
  <si>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</si>
  <si>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</si>
  <si>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</si>
  <si>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</si>
  <si>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</si>
  <si>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</si>
  <si>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</si>
  <si>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</si>
  <si>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</si>
  <si>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</si>
  <si>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</si>
  <si>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</si>
  <si>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</si>
  <si>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</si>
  <si>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</si>
  <si>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</si>
  <si>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</si>
  <si>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</si>
  <si>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</si>
  <si>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</si>
  <si>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</si>
  <si>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</si>
  <si>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</si>
  <si>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</si>
  <si>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</si>
  <si>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</si>
  <si>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</si>
  <si>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</si>
  <si>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</si>
  <si>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</si>
  <si>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</si>
  <si>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</si>
  <si>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</si>
  <si>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</si>
  <si>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</si>
  <si>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</si>
  <si>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</si>
  <si>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</si>
  <si>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</si>
  <si>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</si>
  <si>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</si>
  <si>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</si>
  <si>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</si>
  <si>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</si>
  <si>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</si>
  <si>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</si>
  <si>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</si>
  <si>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</si>
  <si>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</si>
  <si>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</si>
  <si>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</si>
  <si>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</si>
  <si>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</si>
  <si>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</si>
  <si>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</si>
  <si>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</si>
  <si>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</si>
  <si>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</si>
  <si>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</si>
  <si>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</si>
  <si>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</si>
  <si>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</si>
  <si>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</si>
  <si>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</si>
  <si>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</si>
  <si>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</si>
  <si>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</si>
  <si>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</si>
  <si>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</si>
  <si>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</si>
  <si>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</si>
  <si>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</si>
  <si>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</si>
  <si>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</si>
  <si>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</si>
  <si>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</si>
  <si>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</si>
  <si>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</si>
  <si>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</si>
  <si>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</si>
  <si>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</si>
  <si>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</si>
  <si>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</si>
  <si>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</si>
  <si>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</si>
  <si>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</si>
  <si>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</si>
  <si>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</si>
  <si>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</si>
  <si>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</si>
  <si>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</si>
  <si>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</si>
  <si>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</si>
  <si>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</si>
  <si>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</si>
  <si>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</si>
  <si>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</si>
  <si>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</si>
  <si>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</si>
  <si>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</si>
  <si>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</si>
  <si>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</si>
  <si>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</si>
  <si>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</si>
  <si>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</si>
  <si>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</si>
  <si>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</si>
  <si>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</si>
  <si>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</si>
  <si>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</si>
  <si>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</si>
  <si>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</si>
  <si>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</si>
  <si>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</si>
  <si>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</si>
  <si>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</si>
  <si>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</si>
  <si>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</si>
  <si>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</si>
  <si>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</si>
  <si>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</si>
  <si>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</si>
  <si>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</si>
  <si>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</si>
  <si>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</si>
  <si>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</si>
  <si>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</si>
  <si>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</si>
  <si>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</si>
  <si>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</si>
  <si>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</si>
  <si>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</si>
  <si>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</si>
  <si>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</si>
  <si>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</si>
  <si>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</si>
  <si>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</si>
  <si>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</si>
  <si>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</si>
  <si>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</si>
  <si>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</si>
  <si>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</si>
  <si>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</si>
  <si>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</si>
  <si>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</si>
  <si>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</si>
  <si>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</si>
  <si>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</si>
  <si>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</si>
  <si>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</si>
  <si>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</si>
  <si>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</si>
  <si>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</si>
  <si>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</si>
  <si>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</si>
  <si>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</si>
  <si>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</si>
  <si>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</si>
  <si>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</si>
  <si>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</si>
  <si>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</si>
  <si>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</si>
  <si>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</si>
  <si>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</si>
  <si>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</si>
  <si>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</si>
  <si>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</si>
  <si>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</si>
  <si>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</si>
  <si>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</si>
  <si>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</si>
  <si>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</si>
  <si>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</si>
  <si>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</si>
  <si>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</si>
  <si>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</si>
  <si>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</si>
  <si>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</si>
  <si>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</si>
  <si>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</si>
  <si>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</si>
  <si>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</si>
  <si>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</si>
  <si>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</si>
  <si>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</si>
  <si>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</si>
  <si>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</si>
  <si>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</si>
  <si>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</si>
  <si>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</si>
  <si>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</si>
  <si>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</si>
  <si>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</si>
  <si>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</si>
  <si>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</si>
  <si>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</si>
  <si>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</si>
  <si>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</si>
  <si>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</si>
  <si>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</si>
  <si>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</si>
  <si>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</si>
  <si>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</si>
  <si>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</si>
  <si>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</si>
  <si>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</si>
  <si>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</si>
  <si>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</si>
  <si>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</si>
  <si>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</si>
  <si>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</si>
  <si>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</si>
  <si>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</si>
  <si>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</si>
  <si>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</si>
  <si>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</si>
  <si>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</si>
  <si>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</si>
  <si>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</si>
  <si>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</si>
  <si>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</si>
  <si>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</si>
  <si>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</si>
  <si>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</si>
  <si>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</si>
  <si>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</si>
  <si>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</si>
  <si>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</si>
  <si>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</si>
  <si>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</si>
  <si>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</si>
  <si>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</si>
  <si>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</si>
  <si>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</si>
  <si>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</si>
  <si>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</si>
  <si>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</si>
  <si>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</si>
  <si>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</si>
  <si>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</si>
  <si>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</si>
  <si>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</si>
  <si>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</si>
  <si>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</si>
  <si>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</si>
  <si>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</si>
  <si>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</si>
  <si>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</si>
  <si>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</si>
  <si>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</si>
  <si>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</si>
  <si>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</si>
  <si>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</si>
  <si>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</si>
  <si>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</si>
  <si>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</si>
  <si>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</si>
  <si>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</si>
  <si>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</si>
  <si>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</si>
  <si>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</si>
  <si>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</si>
  <si>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</si>
  <si>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</si>
  <si>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</si>
  <si>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</si>
  <si>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</si>
  <si>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</si>
  <si>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</si>
  <si>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</si>
  <si>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</si>
  <si>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</si>
  <si>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</si>
  <si>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</si>
  <si>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</si>
  <si>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</si>
  <si>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</si>
  <si>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</si>
  <si>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</si>
  <si>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</si>
  <si>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</si>
  <si>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</si>
  <si>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</si>
  <si>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</si>
  <si>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</si>
  <si>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</si>
  <si>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</si>
  <si>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</si>
  <si>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</si>
  <si>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</si>
  <si>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</si>
  <si>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</si>
  <si>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</si>
  <si>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</si>
  <si>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</si>
  <si>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</si>
  <si>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</si>
  <si>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</si>
  <si>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</si>
  <si>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</si>
  <si>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</si>
  <si>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</si>
  <si>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</si>
  <si>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</si>
  <si>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</si>
  <si>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</si>
  <si>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</si>
  <si>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</si>
  <si>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</si>
  <si>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</si>
  <si>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</si>
  <si>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</si>
  <si>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</si>
  <si>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</si>
  <si>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</si>
  <si>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</si>
  <si>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</si>
  <si>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</si>
  <si>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</si>
  <si>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</si>
  <si>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</si>
  <si>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</si>
  <si>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</si>
  <si>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</si>
  <si>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</si>
  <si>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</si>
  <si>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</si>
  <si>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</si>
  <si>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</si>
  <si>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</si>
  <si>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</si>
  <si>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</si>
  <si>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</si>
  <si>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</si>
  <si>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</si>
  <si>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</si>
  <si>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</si>
  <si>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</si>
  <si>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</si>
  <si>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</si>
  <si>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</si>
  <si>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</si>
  <si>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</si>
  <si>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</si>
  <si>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</si>
  <si>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</si>
  <si>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</si>
  <si>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</si>
  <si>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</si>
  <si>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</si>
  <si>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</si>
  <si>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</si>
  <si>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</si>
  <si>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</si>
  <si>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</si>
  <si>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</si>
  <si>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</si>
  <si>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</si>
  <si>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</si>
  <si>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</si>
  <si>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</si>
  <si>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</si>
  <si>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</si>
  <si>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</si>
  <si>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</si>
  <si>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</si>
  <si>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</si>
  <si>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</si>
  <si>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</si>
  <si>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</si>
  <si>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</si>
  <si>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</si>
  <si>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</si>
  <si>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</si>
  <si>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</si>
  <si>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</si>
  <si>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</si>
  <si>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</si>
  <si>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</si>
  <si>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</si>
  <si>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</si>
  <si>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</si>
  <si>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</si>
  <si>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</si>
  <si>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</si>
  <si>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</si>
  <si>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</si>
  <si>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</si>
  <si>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</si>
  <si>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</si>
  <si>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</si>
  <si>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</si>
  <si>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</si>
  <si>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</si>
  <si>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</si>
  <si>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</si>
  <si>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</si>
  <si>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</si>
  <si>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</si>
  <si>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</si>
  <si>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</si>
  <si>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</si>
  <si>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</si>
  <si>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</si>
  <si>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</si>
  <si>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</si>
  <si>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</si>
  <si>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</si>
  <si>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</si>
  <si>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</si>
  <si>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</si>
  <si>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</si>
  <si>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</si>
  <si>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</si>
  <si>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</si>
  <si>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</si>
  <si>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</si>
  <si>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</si>
  <si>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</si>
  <si>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</si>
  <si>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</si>
  <si>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</si>
  <si>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</si>
  <si>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</si>
  <si>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</si>
  <si>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</si>
  <si>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</si>
  <si>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</si>
  <si>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</si>
  <si>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</si>
  <si>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</si>
  <si>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</si>
  <si>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</si>
  <si>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</si>
  <si>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</si>
  <si>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</si>
  <si>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</si>
  <si>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</si>
  <si>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</si>
  <si>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</si>
  <si>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</si>
  <si>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</si>
  <si>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</si>
  <si>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</si>
  <si>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</si>
  <si>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</si>
  <si>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</si>
  <si>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</si>
  <si>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</si>
  <si>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</si>
  <si>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</si>
  <si>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</si>
  <si>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</si>
  <si>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</si>
  <si>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</si>
  <si>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</si>
  <si>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</si>
  <si>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</si>
  <si>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</si>
  <si>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</si>
  <si>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</si>
  <si>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</si>
  <si>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</si>
  <si>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</si>
  <si>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</si>
  <si>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</si>
  <si>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</si>
  <si>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</si>
  <si>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</si>
  <si>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</si>
  <si>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</si>
  <si>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</si>
  <si>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</si>
  <si>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</si>
  <si>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</si>
  <si>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</si>
  <si>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</si>
  <si>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</si>
  <si>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</si>
  <si>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</si>
  <si>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</si>
  <si>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</si>
  <si>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</si>
  <si>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</si>
  <si>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</si>
  <si>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</si>
  <si>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</si>
  <si>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</si>
  <si>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</si>
  <si>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</si>
  <si>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</si>
  <si>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</si>
  <si>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</si>
  <si>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</si>
  <si>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</si>
  <si>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</si>
  <si>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</si>
  <si>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</si>
  <si>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</si>
  <si>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</si>
  <si>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</si>
  <si>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</si>
  <si>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</si>
  <si>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</si>
  <si>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</si>
  <si>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</si>
  <si>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</si>
  <si>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</si>
  <si>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</si>
  <si>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</si>
  <si>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</si>
  <si>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</si>
  <si>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</si>
  <si>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</si>
  <si>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</si>
  <si>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</si>
  <si>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</si>
  <si>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</si>
  <si>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</si>
  <si>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</si>
  <si>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</si>
  <si>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</si>
  <si>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</si>
  <si>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</si>
  <si>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</si>
  <si>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</si>
  <si>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</si>
  <si>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</si>
  <si>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</si>
  <si>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</si>
  <si>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</si>
  <si>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</si>
  <si>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</si>
  <si>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</si>
  <si>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</si>
  <si>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</si>
  <si>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</si>
  <si>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</si>
  <si>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</si>
  <si>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</si>
  <si>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</si>
  <si>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</si>
  <si>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</si>
  <si>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</si>
  <si>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</si>
  <si>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</si>
  <si>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</si>
  <si>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</si>
  <si>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</si>
  <si>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</si>
  <si>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</si>
  <si>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</si>
  <si>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</si>
  <si>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</si>
  <si>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</si>
  <si>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</si>
  <si>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</si>
  <si>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</si>
  <si>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</si>
  <si>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</si>
  <si>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</si>
  <si>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</si>
  <si>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</si>
  <si>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</si>
  <si>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</si>
  <si>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</si>
  <si>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</si>
  <si>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</si>
  <si>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</si>
  <si>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</si>
  <si>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</si>
  <si>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</si>
  <si>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</si>
  <si>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</si>
  <si>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</si>
  <si>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</si>
  <si>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</si>
  <si>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</si>
  <si>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</si>
  <si>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</si>
  <si>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</si>
  <si>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</si>
  <si>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</si>
  <si>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</si>
  <si>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</si>
  <si>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</si>
  <si>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</si>
  <si>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</si>
  <si>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</si>
  <si>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</si>
  <si>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</si>
  <si>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</si>
  <si>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</si>
  <si>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</si>
  <si>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</si>
  <si>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</si>
  <si>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</si>
  <si>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</si>
  <si>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</si>
  <si>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</si>
  <si>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</si>
  <si>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</si>
  <si>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</si>
  <si>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</si>
  <si>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</si>
  <si>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</si>
  <si>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</si>
  <si>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</si>
  <si>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</si>
  <si>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</si>
  <si>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</si>
  <si>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</si>
  <si>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</si>
  <si>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</si>
  <si>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</si>
  <si>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</si>
  <si>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</si>
  <si>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</si>
  <si>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</si>
  <si>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</si>
  <si>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</si>
  <si>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</si>
  <si>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</si>
  <si>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</si>
  <si>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</si>
  <si>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</si>
  <si>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</si>
  <si>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</si>
  <si>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</si>
  <si>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</si>
  <si>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</si>
  <si>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</si>
  <si>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</si>
  <si>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</si>
  <si>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</si>
  <si>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</si>
  <si>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</si>
  <si>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</si>
  <si>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</si>
  <si>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</si>
  <si>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</si>
  <si>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</si>
  <si>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</si>
  <si>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</si>
  <si>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</si>
  <si>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</si>
  <si>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</si>
  <si>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</si>
  <si>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</si>
  <si>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</si>
  <si>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</si>
  <si>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</si>
  <si>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</si>
  <si>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</si>
  <si>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</si>
  <si>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</si>
  <si>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</si>
  <si>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</si>
  <si>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</si>
  <si>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</si>
  <si>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</si>
  <si>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</si>
  <si>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</si>
  <si>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</si>
  <si>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</si>
  <si>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</si>
  <si>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</si>
  <si>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</si>
  <si>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</si>
  <si>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</si>
  <si>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</si>
  <si>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</si>
  <si>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</si>
  <si>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</si>
  <si>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</si>
  <si>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</si>
  <si>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</si>
  <si>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</si>
  <si>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</si>
  <si>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</si>
  <si>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</si>
  <si>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</si>
  <si>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</si>
  <si>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</si>
  <si>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</si>
  <si>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</si>
  <si>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</si>
  <si>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</si>
  <si>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</si>
  <si>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</si>
  <si>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</si>
  <si>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</si>
  <si>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</si>
  <si>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</si>
  <si>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</si>
  <si>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</si>
  <si>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</si>
  <si>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</si>
  <si>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</si>
  <si>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</si>
  <si>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</si>
  <si>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</si>
  <si>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</si>
  <si>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</si>
  <si>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</si>
  <si>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</si>
  <si>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</si>
  <si>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</si>
  <si>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</si>
  <si>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</si>
  <si>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</si>
  <si>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</si>
  <si>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</si>
  <si>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</si>
  <si>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</si>
  <si>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</si>
  <si>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</si>
  <si>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</si>
  <si>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</si>
  <si>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</si>
  <si>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</si>
  <si>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</si>
  <si>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</si>
  <si>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</si>
  <si>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</si>
  <si>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</si>
  <si>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</si>
  <si>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</si>
  <si>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</si>
  <si>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</si>
  <si>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</si>
  <si>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</si>
  <si>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</si>
  <si>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</si>
  <si>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</si>
  <si>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</si>
  <si>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</si>
  <si>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</si>
  <si>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</si>
  <si>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</si>
  <si>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</si>
  <si>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</si>
  <si>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</si>
  <si>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</si>
  <si>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</si>
  <si>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</si>
  <si>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</si>
  <si>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</si>
  <si>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</si>
  <si>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</si>
  <si>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</si>
  <si>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</si>
  <si>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</si>
  <si>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</si>
  <si>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</si>
  <si>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</si>
  <si>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</si>
  <si>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</si>
  <si>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</si>
  <si>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</si>
  <si>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</si>
  <si>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</si>
  <si>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</si>
  <si>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</si>
  <si>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</si>
  <si>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</si>
  <si>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</si>
  <si>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</si>
  <si>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</si>
  <si>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</si>
  <si>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</si>
  <si>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</si>
  <si>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</si>
  <si>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</si>
  <si>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</si>
  <si>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</si>
  <si>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</si>
  <si>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</si>
  <si>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</si>
  <si>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</si>
  <si>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</si>
  <si>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</si>
  <si>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</si>
  <si>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</si>
  <si>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</si>
  <si>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</si>
  <si>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</si>
  <si>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</si>
  <si>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</si>
  <si>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</si>
  <si>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</si>
  <si>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</si>
  <si>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</si>
  <si>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</si>
  <si>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</si>
  <si>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</si>
  <si>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</si>
  <si>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</si>
  <si>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</si>
  <si>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</si>
  <si>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</si>
  <si>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</si>
  <si>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</si>
  <si>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</si>
  <si>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</si>
  <si>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</si>
  <si>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</si>
  <si>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</si>
  <si>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</si>
  <si>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</si>
  <si>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</si>
  <si>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</si>
  <si>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</si>
  <si>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</si>
  <si>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</si>
  <si>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</si>
  <si>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</si>
  <si>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</si>
  <si>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</si>
  <si>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</si>
  <si>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</si>
  <si>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</si>
  <si>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</si>
  <si>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</si>
  <si>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</si>
  <si>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</si>
  <si>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</si>
  <si>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</si>
  <si>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</si>
  <si>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</si>
  <si>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</si>
  <si>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</si>
  <si>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</si>
  <si>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</si>
  <si>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</si>
  <si>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</si>
  <si>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</si>
  <si>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</si>
  <si>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</si>
  <si>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</si>
  <si>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</si>
  <si>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</si>
  <si>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</si>
  <si>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</si>
  <si>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</si>
  <si>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</si>
  <si>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</si>
  <si>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</si>
  <si>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</si>
  <si>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</si>
  <si>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</si>
  <si>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</si>
  <si>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</si>
  <si>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</si>
  <si>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</si>
  <si>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</si>
  <si>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</si>
  <si>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</si>
  <si>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</si>
  <si>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</si>
  <si>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</si>
  <si>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</si>
  <si>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</si>
  <si>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</si>
  <si>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</si>
  <si>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</si>
  <si>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</si>
  <si>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</si>
  <si>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</si>
  <si>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</si>
  <si>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</si>
  <si>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</si>
  <si>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</si>
  <si>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</si>
  <si>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</si>
  <si>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</si>
  <si>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</si>
  <si>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</si>
  <si>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</si>
  <si>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</si>
  <si>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</si>
  <si>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</si>
  <si>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</si>
  <si>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</si>
  <si>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</si>
  <si>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</si>
  <si>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</si>
  <si>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</si>
  <si>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</si>
  <si>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</si>
  <si>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</si>
  <si>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</si>
  <si>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</si>
  <si>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</si>
  <si>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</si>
  <si>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</si>
  <si>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</si>
  <si>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</si>
  <si>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</si>
  <si>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</si>
  <si>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</si>
  <si>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</si>
  <si>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</si>
  <si>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</si>
  <si>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</si>
  <si>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</si>
  <si>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</si>
  <si>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</si>
  <si>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</si>
  <si>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</si>
  <si>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</si>
  <si>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</si>
  <si>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</si>
  <si>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</si>
  <si>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</si>
  <si>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</si>
  <si>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</si>
  <si>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</si>
  <si>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</si>
  <si>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</si>
  <si>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</si>
  <si>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</si>
  <si>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</si>
  <si>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</si>
  <si>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</si>
  <si>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</si>
  <si>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</si>
  <si>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</si>
  <si>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</si>
  <si>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</si>
  <si>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</si>
  <si>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</si>
  <si>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</si>
  <si>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</si>
  <si>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</si>
  <si>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</si>
  <si>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</si>
  <si>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</si>
  <si>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</si>
  <si>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</si>
  <si>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</si>
  <si>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</si>
  <si>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</si>
  <si>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</si>
  <si>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</si>
  <si>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</si>
  <si>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</si>
  <si>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</si>
  <si>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</si>
  <si>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</si>
  <si>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</si>
  <si>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</si>
  <si>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</si>
  <si>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</si>
  <si>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</si>
  <si>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</si>
  <si>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</si>
  <si>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</si>
  <si>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</si>
  <si>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</si>
  <si>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</si>
  <si>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</si>
  <si>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</si>
  <si>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</si>
  <si>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</si>
  <si>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</si>
  <si>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</si>
  <si>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</si>
  <si>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</si>
  <si>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</si>
  <si>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</si>
  <si>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</si>
  <si>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</si>
  <si>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</si>
  <si>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</si>
  <si>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</si>
  <si>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</si>
  <si>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</si>
  <si>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</si>
  <si>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</si>
  <si>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</si>
  <si>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</si>
  <si>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</si>
  <si>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</si>
  <si>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</si>
  <si>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</si>
  <si>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</si>
  <si>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</si>
  <si>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</si>
  <si>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</si>
  <si>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</si>
  <si>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</si>
  <si>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</si>
  <si>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</si>
  <si>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</si>
  <si>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</si>
  <si>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</si>
  <si>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</si>
  <si>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</si>
  <si>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</si>
  <si>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</si>
  <si>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</si>
  <si>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</si>
  <si>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</si>
  <si>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</si>
  <si>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</si>
  <si>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</si>
  <si>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</si>
  <si>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</si>
  <si>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</si>
  <si>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</si>
  <si>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</si>
  <si>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</si>
  <si>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</si>
  <si>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</si>
  <si>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</si>
  <si>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</si>
  <si>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</si>
  <si>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</si>
  <si>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</si>
  <si>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</si>
  <si>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</si>
  <si>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</si>
  <si>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</si>
  <si>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</si>
  <si>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</si>
  <si>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</si>
  <si>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</si>
  <si>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</si>
  <si>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</si>
  <si>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</si>
  <si>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</si>
  <si>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</si>
  <si>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</si>
  <si>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</si>
  <si>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</si>
  <si>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</si>
  <si>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</si>
  <si>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</si>
  <si>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</si>
  <si>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</si>
  <si>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</si>
  <si>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</si>
  <si>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</si>
  <si>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</si>
  <si>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</si>
  <si>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</si>
  <si>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</si>
  <si>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</si>
  <si>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</si>
  <si>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</si>
  <si>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</si>
  <si>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</si>
  <si>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</si>
  <si>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</si>
  <si>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</si>
  <si>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</si>
  <si>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</si>
  <si>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</si>
  <si>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</si>
  <si>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</si>
  <si>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</si>
  <si>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</si>
  <si>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</si>
  <si>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</si>
  <si>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</si>
  <si>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</si>
  <si>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</si>
  <si>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</si>
  <si>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</si>
  <si>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</si>
  <si>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</si>
  <si>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</si>
  <si>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</si>
  <si>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</si>
  <si>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</si>
  <si>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</si>
  <si>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</si>
  <si>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</si>
  <si>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</si>
  <si>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</si>
  <si>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</si>
  <si>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</si>
  <si>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</si>
  <si>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</si>
  <si>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</si>
  <si>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</si>
  <si>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</si>
  <si>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</si>
  <si>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</si>
  <si>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</si>
  <si>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</si>
  <si>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</si>
  <si>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</si>
  <si>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</si>
  <si>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</si>
  <si>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</si>
  <si>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</si>
  <si>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</si>
  <si>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</si>
  <si>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</si>
  <si>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</si>
  <si>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</si>
  <si>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</si>
  <si>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</si>
  <si>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</si>
  <si>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</si>
  <si>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</si>
  <si>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</si>
  <si>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</si>
  <si>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</si>
  <si>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</si>
  <si>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</si>
  <si>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</si>
  <si>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</si>
  <si>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</si>
  <si>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</si>
  <si>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</si>
  <si>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</si>
  <si>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</si>
  <si>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</si>
  <si>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</si>
  <si>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</si>
  <si>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</si>
  <si>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</si>
  <si>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</si>
  <si>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</si>
  <si>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</si>
  <si>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</si>
  <si>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</si>
  <si>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</si>
  <si>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</si>
  <si>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</si>
  <si>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</si>
  <si>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</si>
  <si>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</si>
  <si>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</si>
  <si>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</si>
  <si>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</si>
  <si>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</si>
  <si>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</si>
  <si>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</si>
  <si>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</si>
  <si>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</si>
  <si>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</si>
  <si>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</si>
  <si>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</si>
  <si>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</si>
  <si>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</si>
  <si>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</si>
  <si>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</si>
  <si>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</si>
  <si>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</si>
  <si>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</si>
  <si>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</si>
  <si>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</si>
  <si>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</si>
  <si>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</si>
  <si>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</si>
  <si>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</si>
  <si>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</si>
  <si>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</si>
  <si>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</si>
  <si>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</si>
  <si>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</si>
  <si>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</si>
  <si>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</si>
  <si>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</si>
  <si>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</si>
  <si>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</si>
  <si>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</si>
  <si>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</si>
  <si>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</si>
  <si>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</si>
  <si>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</si>
  <si>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</si>
  <si>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</si>
  <si>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</si>
  <si>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</si>
  <si>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</si>
  <si>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</si>
  <si>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</si>
  <si>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</si>
  <si>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</si>
  <si>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</si>
  <si>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</si>
  <si>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</si>
  <si>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</si>
  <si>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</si>
  <si>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</si>
  <si>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</si>
  <si>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</si>
  <si>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</si>
  <si>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</si>
  <si>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</si>
  <si>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</si>
  <si>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</si>
  <si>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</si>
  <si>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</si>
  <si>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</si>
  <si>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</si>
  <si>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</si>
  <si>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</si>
  <si>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</si>
  <si>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</si>
  <si>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</si>
  <si>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</si>
  <si>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</si>
  <si>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</si>
  <si>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</si>
  <si>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</si>
  <si>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</si>
  <si>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</si>
  <si>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</si>
  <si>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</si>
  <si>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</si>
  <si>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</si>
  <si>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</si>
  <si>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</si>
  <si>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</si>
  <si>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</si>
  <si>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</si>
  <si>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</si>
  <si>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</si>
  <si>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</si>
  <si>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</si>
  <si>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</si>
  <si>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</si>
  <si>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</si>
  <si>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</si>
  <si>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</si>
  <si>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</si>
  <si>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</si>
  <si>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</si>
  <si>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</si>
  <si>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</si>
  <si>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</si>
  <si>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</si>
  <si>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</si>
  <si>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</si>
  <si>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</si>
  <si>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</si>
  <si>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</si>
  <si>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</si>
  <si>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</si>
  <si>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</si>
  <si>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</si>
  <si>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</si>
  <si>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</si>
  <si>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</si>
  <si>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</si>
  <si>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</si>
  <si>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</si>
  <si>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</si>
  <si>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</si>
  <si>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</si>
  <si>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</si>
  <si>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</si>
  <si>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</si>
  <si>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</si>
  <si>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</si>
  <si>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</si>
  <si>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</si>
  <si>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</si>
  <si>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</si>
  <si>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</si>
  <si>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</si>
  <si>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</si>
  <si>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</si>
  <si>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</si>
  <si>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</si>
  <si>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</si>
  <si>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</si>
  <si>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</si>
  <si>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</si>
  <si>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</si>
  <si>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</si>
  <si>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</si>
  <si>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</si>
  <si>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</si>
  <si>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</si>
  <si>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</si>
  <si>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</si>
  <si>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</si>
  <si>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</si>
  <si>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</si>
  <si>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</si>
  <si>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</si>
  <si>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</si>
  <si>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</si>
  <si>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</si>
  <si>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</si>
  <si>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</si>
  <si>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</si>
  <si>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</si>
  <si>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</si>
  <si>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</si>
  <si>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</si>
  <si>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</si>
  <si>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</si>
  <si>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</si>
  <si>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</si>
  <si>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</si>
  <si>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</si>
  <si>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</si>
  <si>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</si>
  <si>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</si>
  <si>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</si>
  <si>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</si>
  <si>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</si>
  <si>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</si>
  <si>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</si>
  <si>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</si>
  <si>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</si>
  <si>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</si>
  <si>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</si>
  <si>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</si>
  <si>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</si>
  <si>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</si>
  <si>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</si>
  <si>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</si>
  <si>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</si>
  <si>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</si>
  <si>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</si>
  <si>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</si>
  <si>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</si>
  <si>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</si>
  <si>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</si>
  <si>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</si>
  <si>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</si>
  <si>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</si>
  <si>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</si>
  <si>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</si>
  <si>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</si>
  <si>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</si>
  <si>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</si>
  <si>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</si>
  <si>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</si>
  <si>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</si>
  <si>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</si>
  <si>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</si>
  <si>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</si>
  <si>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</si>
  <si>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</si>
  <si>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</si>
  <si>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</si>
  <si>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</si>
  <si>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</si>
  <si>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</si>
  <si>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</si>
  <si>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</si>
  <si>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</si>
  <si>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</si>
  <si>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</si>
  <si>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</si>
  <si>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</si>
  <si>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</si>
  <si>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</si>
  <si>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</si>
  <si>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</si>
  <si>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</si>
  <si>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</si>
  <si>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</si>
  <si>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</si>
  <si>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</si>
  <si>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</si>
  <si>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</si>
  <si>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</si>
  <si>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</si>
  <si>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</si>
  <si>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</si>
  <si>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</si>
  <si>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</si>
  <si>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</si>
  <si>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</si>
  <si>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</si>
  <si>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</si>
  <si>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</si>
  <si>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</si>
  <si>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</si>
  <si>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</si>
  <si>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</si>
  <si>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</si>
  <si>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</si>
  <si>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</si>
  <si>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</si>
  <si>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</si>
  <si>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</si>
  <si>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</si>
  <si>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</si>
  <si>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</si>
  <si>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</si>
  <si>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</si>
  <si>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</si>
  <si>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</si>
  <si>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</si>
  <si>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</si>
  <si>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</si>
  <si>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</si>
  <si>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</si>
  <si>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</si>
  <si>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</si>
  <si>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</si>
  <si>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</si>
  <si>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</si>
  <si>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</si>
  <si>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</si>
  <si>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</si>
  <si>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</si>
  <si>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</si>
  <si>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</si>
  <si>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</si>
  <si>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</si>
  <si>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</si>
  <si>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</si>
  <si>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</si>
  <si>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</si>
  <si>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</si>
  <si>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</si>
  <si>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</si>
  <si>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</si>
  <si>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</si>
  <si>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</si>
  <si>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</si>
  <si>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</si>
  <si>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</si>
  <si>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</si>
  <si>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</si>
  <si>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</si>
  <si>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</si>
  <si>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</si>
  <si>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</si>
  <si>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</si>
  <si>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</si>
  <si>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</si>
  <si>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</si>
  <si>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</si>
  <si>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</si>
  <si>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</si>
  <si>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</si>
  <si>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</si>
  <si>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</si>
  <si>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</si>
  <si>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</si>
  <si>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</si>
  <si>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</si>
  <si>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</si>
  <si>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</si>
  <si>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</si>
  <si>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</si>
  <si>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</si>
  <si>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</si>
  <si>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</si>
  <si>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</si>
  <si>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</si>
  <si>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</si>
  <si>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</si>
  <si>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</si>
  <si>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</si>
  <si>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</si>
  <si>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</si>
  <si>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</si>
  <si>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</si>
  <si>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</si>
  <si>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</si>
  <si>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</si>
  <si>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</si>
  <si>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</si>
  <si>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</si>
  <si>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</si>
  <si>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</si>
  <si>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</si>
  <si>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</si>
  <si>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</si>
  <si>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</si>
  <si>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</si>
  <si>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</si>
  <si>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</si>
  <si>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</si>
  <si>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</si>
  <si>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</si>
  <si>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</si>
  <si>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</si>
  <si>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</si>
  <si>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</si>
  <si>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</si>
  <si>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</si>
  <si>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</si>
  <si>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</si>
  <si>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</si>
  <si>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</si>
  <si>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</si>
  <si>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</si>
  <si>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</si>
  <si>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</si>
  <si>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</si>
  <si>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</si>
  <si>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</si>
  <si>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</si>
  <si>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</si>
  <si>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</si>
  <si>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</si>
  <si>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</si>
  <si>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</si>
  <si>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</si>
  <si>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</si>
  <si>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</si>
  <si>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</si>
  <si>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</si>
  <si>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</si>
  <si>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</si>
  <si>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</si>
  <si>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</si>
  <si>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</si>
  <si>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</si>
  <si>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</si>
  <si>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</si>
  <si>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</si>
  <si>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</si>
  <si>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</si>
  <si>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</si>
  <si>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</si>
  <si>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</si>
  <si>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</si>
  <si>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</si>
  <si>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</si>
  <si>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</si>
  <si>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</si>
  <si>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</si>
  <si>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</si>
  <si>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</si>
  <si>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</si>
  <si>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</si>
  <si>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</si>
  <si>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</si>
  <si>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</si>
  <si>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</si>
  <si>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</si>
  <si>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</si>
  <si>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</si>
  <si>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</si>
  <si>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</si>
  <si>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</si>
  <si>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</si>
  <si>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</si>
  <si>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</si>
  <si>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</si>
  <si>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</si>
  <si>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</si>
  <si>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</si>
  <si>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</si>
  <si>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</si>
  <si>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</si>
  <si>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</si>
  <si>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</si>
  <si>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</si>
  <si>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</si>
  <si>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</si>
  <si>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</si>
  <si>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</si>
  <si>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</si>
  <si>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</si>
  <si>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</si>
  <si>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</si>
  <si>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</si>
  <si>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</si>
  <si>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</si>
  <si>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</si>
  <si>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</si>
  <si>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</si>
  <si>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</si>
  <si>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</si>
  <si>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</si>
  <si>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</si>
  <si>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</si>
  <si>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</si>
  <si>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</si>
  <si>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</si>
  <si>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</si>
  <si>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</si>
  <si>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</si>
  <si>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</si>
  <si>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</si>
  <si>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</si>
  <si>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</si>
  <si>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</si>
  <si>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</si>
  <si>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</si>
  <si>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</si>
  <si>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</si>
  <si>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</si>
  <si>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</si>
  <si>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</si>
  <si>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</si>
  <si>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</si>
  <si>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</si>
  <si>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</si>
  <si>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</si>
  <si>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</si>
  <si>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</si>
  <si>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</si>
  <si>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</si>
  <si>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</si>
  <si>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</si>
  <si>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</si>
  <si>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</si>
  <si>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</si>
  <si>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</si>
  <si>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</si>
  <si>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</si>
  <si>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</si>
  <si>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</si>
  <si>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</si>
  <si>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</si>
  <si>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</si>
  <si>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</si>
  <si>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</si>
  <si>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</si>
  <si>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</si>
  <si>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</si>
  <si>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</si>
  <si>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</si>
  <si>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</si>
  <si>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</si>
  <si>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</si>
  <si>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</si>
  <si>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</si>
  <si>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</si>
  <si>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</si>
  <si>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</si>
  <si>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</si>
  <si>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</si>
  <si>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</si>
  <si>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</si>
  <si>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</si>
  <si>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</si>
  <si>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</si>
  <si>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</si>
  <si>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</si>
  <si>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</si>
  <si>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</si>
  <si>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</si>
  <si>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</si>
  <si>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</si>
  <si>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</si>
  <si>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</si>
  <si>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</si>
  <si>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</si>
  <si>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</si>
  <si>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</si>
  <si>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</si>
  <si>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</si>
  <si>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</si>
  <si>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</si>
  <si>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</si>
  <si>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</si>
  <si>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</si>
  <si>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</si>
  <si>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</si>
  <si>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</si>
  <si>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</si>
  <si>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</si>
  <si>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</si>
  <si>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</si>
  <si>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</si>
  <si>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</si>
  <si>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</si>
  <si>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</si>
  <si>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</si>
  <si>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</si>
  <si>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</si>
  <si>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</si>
  <si>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</si>
  <si>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</si>
  <si>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</si>
  <si>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</si>
  <si>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</si>
  <si>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</si>
  <si>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</si>
  <si>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</si>
  <si>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</si>
  <si>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</si>
  <si>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</si>
  <si>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</si>
  <si>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</si>
  <si>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</si>
  <si>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</si>
  <si>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</si>
  <si>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</si>
  <si>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</si>
  <si>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</si>
  <si>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</si>
  <si>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</si>
  <si>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</si>
  <si>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</si>
  <si>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</si>
  <si>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</si>
  <si>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</si>
  <si>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</si>
  <si>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</si>
  <si>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</si>
  <si>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</si>
  <si>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</si>
  <si>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</si>
  <si>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</si>
  <si>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</si>
  <si>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</si>
  <si>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</si>
  <si>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</si>
  <si>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</si>
  <si>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</si>
  <si>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</si>
  <si>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</si>
  <si>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</si>
  <si>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</si>
  <si>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</si>
  <si>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</si>
  <si>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</si>
  <si>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</si>
  <si>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</si>
  <si>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</si>
  <si>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</si>
  <si>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</si>
  <si>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</si>
  <si>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</si>
  <si>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</si>
  <si>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</si>
  <si>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</si>
  <si>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</si>
  <si>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</si>
  <si>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</si>
  <si>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</si>
  <si>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</si>
  <si>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</si>
  <si>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</si>
  <si>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</si>
  <si>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</si>
  <si>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</si>
  <si>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</si>
  <si>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</si>
  <si>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</si>
  <si>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</si>
  <si>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</si>
  <si>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</si>
  <si>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</si>
  <si>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</si>
  <si>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</si>
  <si>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</si>
  <si>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</si>
  <si>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</si>
  <si>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</si>
  <si>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</si>
  <si>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</si>
  <si>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</si>
  <si>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</si>
  <si>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</si>
  <si>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</si>
  <si>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</si>
  <si>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</si>
  <si>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</si>
  <si>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</si>
  <si>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</si>
  <si>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</si>
  <si>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</si>
  <si>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</si>
  <si>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</si>
  <si>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</si>
  <si>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</si>
  <si>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</si>
  <si>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</si>
  <si>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</si>
  <si>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</si>
  <si>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</si>
  <si>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</si>
  <si>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</si>
  <si>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</si>
  <si>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</si>
  <si>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</si>
  <si>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</si>
  <si>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</si>
  <si>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</si>
  <si>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</si>
  <si>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</si>
  <si>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</si>
  <si>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</si>
  <si>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</si>
  <si>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</si>
  <si>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</si>
  <si>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</si>
  <si>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</si>
  <si>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</si>
  <si>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</si>
  <si>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</si>
  <si>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</si>
  <si>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</si>
  <si>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</si>
  <si>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</si>
  <si>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</si>
  <si>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</si>
  <si>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</si>
  <si>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</si>
  <si>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</si>
  <si>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</si>
  <si>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</si>
  <si>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</si>
  <si>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</si>
  <si>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</si>
  <si>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</si>
  <si>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</si>
  <si>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</si>
  <si>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</si>
  <si>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</si>
  <si>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</si>
  <si>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</si>
  <si>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</si>
  <si>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</si>
  <si>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</si>
  <si>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</si>
  <si>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</si>
  <si>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</si>
  <si>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</si>
  <si>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</si>
  <si>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</si>
  <si>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</si>
  <si>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</si>
  <si>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</si>
  <si>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</si>
  <si>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</si>
  <si>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</si>
  <si>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</si>
  <si>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</si>
  <si>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</si>
  <si>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</si>
  <si>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</si>
  <si>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</si>
  <si>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</si>
  <si>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</si>
  <si>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</si>
  <si>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</si>
  <si>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</si>
  <si>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</si>
  <si>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</si>
  <si>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</si>
  <si>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</si>
  <si>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</si>
  <si>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</si>
  <si>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</si>
  <si>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</si>
  <si>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</si>
  <si>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</si>
  <si>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</si>
  <si>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</si>
  <si>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</si>
  <si>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</si>
  <si>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</si>
  <si>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</si>
  <si>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</si>
  <si>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</si>
  <si>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</si>
  <si>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</si>
  <si>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</si>
  <si>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</si>
  <si>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</si>
  <si>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</si>
  <si>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</si>
  <si>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</si>
  <si>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</si>
  <si>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</si>
  <si>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</si>
  <si>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</si>
  <si>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</si>
  <si>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</si>
  <si>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</si>
  <si>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</si>
  <si>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</si>
  <si>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</si>
  <si>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</si>
  <si>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</si>
  <si>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</si>
  <si>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</si>
  <si>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</si>
  <si>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</si>
  <si>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</si>
  <si>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</si>
  <si>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</si>
  <si>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</si>
  <si>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</si>
  <si>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</si>
  <si>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</si>
  <si>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</si>
  <si>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</si>
  <si>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</si>
  <si>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</si>
  <si>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</si>
  <si>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</si>
  <si>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</si>
  <si>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</si>
  <si>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</si>
  <si>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</si>
  <si>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</si>
  <si>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</si>
  <si>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</si>
  <si>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</si>
  <si>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</si>
  <si>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</si>
  <si>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</si>
  <si>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</si>
  <si>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</si>
  <si>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</si>
  <si>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</si>
  <si>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</si>
  <si>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</si>
  <si>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</si>
  <si>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</si>
  <si>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</si>
  <si>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</si>
  <si>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</si>
  <si>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</si>
  <si>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</si>
  <si>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</si>
  <si>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</si>
  <si>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</si>
  <si>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</si>
  <si>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</si>
  <si>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</si>
  <si>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</si>
  <si>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</si>
  <si>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</si>
  <si>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</si>
  <si>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</si>
  <si>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</si>
  <si>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</si>
  <si>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</si>
  <si>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</si>
  <si>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</si>
  <si>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</si>
  <si>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</si>
  <si>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</si>
  <si>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</si>
  <si>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</si>
  <si>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</si>
  <si>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</si>
  <si>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</si>
  <si>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</si>
  <si>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</si>
  <si>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</si>
  <si>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</si>
  <si>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</si>
  <si>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</si>
  <si>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</si>
  <si>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</si>
  <si>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</si>
  <si>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</si>
  <si>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</si>
  <si>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</si>
  <si>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</si>
  <si>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</si>
  <si>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</si>
  <si>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</si>
  <si>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</si>
  <si>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</si>
  <si>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</si>
  <si>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</si>
  <si>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</si>
  <si>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</si>
  <si>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</si>
  <si>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</si>
  <si>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</si>
  <si>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</si>
  <si>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</si>
  <si>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</si>
  <si>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</si>
  <si>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</si>
  <si>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</si>
  <si>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</si>
  <si>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</si>
  <si>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</si>
  <si>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</si>
  <si>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</si>
  <si>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</si>
  <si>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</si>
  <si>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</si>
  <si>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</si>
  <si>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</si>
  <si>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</si>
  <si>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</si>
  <si>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</si>
  <si>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</si>
  <si>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</si>
  <si>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</si>
  <si>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</si>
  <si>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</si>
  <si>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</si>
  <si>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</si>
  <si>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</si>
  <si>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</si>
  <si>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</si>
  <si>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</si>
  <si>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</si>
  <si>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</si>
  <si>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</si>
  <si>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</si>
  <si>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</si>
  <si>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</si>
  <si>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</si>
  <si>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</si>
  <si>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</si>
  <si>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</si>
  <si>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</si>
  <si>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</si>
  <si>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</si>
  <si>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</si>
  <si>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</si>
  <si>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</si>
  <si>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</si>
  <si>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</si>
  <si>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</si>
  <si>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</si>
  <si>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</si>
  <si>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</si>
  <si>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</si>
  <si>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</si>
  <si>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</si>
  <si>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</si>
  <si>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</si>
  <si>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</si>
  <si>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</si>
  <si>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</si>
  <si>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</si>
  <si>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</si>
  <si>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</si>
  <si>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</si>
  <si>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</si>
  <si>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</si>
  <si>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</si>
  <si>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</si>
  <si>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</si>
  <si>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</si>
  <si>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</si>
  <si>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</si>
  <si>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</si>
  <si>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</si>
  <si>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</si>
  <si>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</si>
  <si>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</si>
  <si>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</si>
  <si>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</si>
  <si>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</si>
  <si>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</si>
  <si>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</si>
  <si>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</si>
  <si>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</si>
  <si>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</si>
  <si>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</si>
  <si>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</si>
  <si>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</si>
  <si>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</si>
  <si>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</si>
  <si>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</si>
  <si>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</si>
  <si>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</si>
  <si>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</si>
  <si>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</si>
  <si>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</si>
  <si>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</si>
  <si>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</si>
  <si>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</si>
  <si>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</si>
  <si>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</si>
  <si>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</si>
  <si>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</si>
  <si>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</si>
  <si>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</si>
  <si>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</si>
  <si>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</si>
  <si>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</si>
  <si>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</si>
  <si>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</si>
  <si>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</si>
  <si>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</si>
  <si>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</si>
  <si>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</si>
  <si>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</si>
  <si>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</si>
  <si>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</si>
  <si>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</si>
  <si>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</si>
  <si>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</si>
  <si>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</si>
  <si>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</si>
  <si>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</si>
  <si>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</si>
  <si>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</si>
  <si>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</si>
  <si>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</si>
  <si>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</si>
  <si>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</si>
  <si>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</si>
  <si>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</si>
  <si>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</si>
  <si>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</si>
  <si>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</si>
  <si>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</si>
  <si>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</si>
  <si>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</si>
  <si>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</si>
  <si>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</si>
  <si>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</si>
  <si>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</si>
  <si>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</si>
  <si>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</si>
  <si>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</si>
  <si>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</si>
  <si>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</si>
  <si>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</si>
  <si>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</si>
  <si>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</si>
  <si>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</si>
  <si>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</si>
  <si>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</si>
  <si>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</si>
  <si>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</si>
  <si>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</si>
  <si>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</si>
  <si>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</si>
  <si>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</si>
  <si>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</si>
  <si>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</si>
  <si>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</si>
  <si>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</si>
  <si>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</si>
  <si>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</si>
  <si>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</si>
  <si>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</si>
  <si>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</si>
  <si>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</si>
  <si>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</si>
  <si>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</si>
  <si>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</si>
  <si>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</si>
  <si>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</si>
  <si>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</si>
  <si>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</si>
  <si>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</si>
  <si>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</si>
  <si>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</si>
  <si>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</si>
  <si>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</si>
  <si>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</si>
  <si>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</si>
  <si>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</si>
  <si>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</si>
  <si>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</si>
  <si>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</si>
  <si>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</si>
  <si>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</si>
  <si>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</si>
  <si>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</si>
  <si>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</si>
  <si>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</si>
  <si>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</si>
  <si>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</si>
  <si>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</si>
  <si>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</si>
  <si>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</si>
  <si>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</si>
  <si>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</si>
  <si>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</si>
  <si>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</si>
  <si>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</si>
  <si>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</si>
  <si>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</si>
  <si>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</si>
  <si>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</si>
  <si>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</si>
  <si>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</si>
  <si>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</si>
  <si>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</si>
  <si>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</si>
  <si>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</si>
  <si>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</si>
  <si>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</si>
  <si>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</si>
  <si>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</si>
  <si>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</si>
  <si>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</si>
  <si>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</si>
  <si>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</si>
  <si>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</si>
  <si>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</si>
  <si>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</si>
  <si>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</si>
  <si>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</si>
  <si>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</si>
  <si>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</si>
  <si>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</si>
  <si>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</si>
  <si>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</si>
  <si>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</si>
  <si>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</si>
  <si>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</si>
  <si>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</si>
  <si>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</si>
  <si>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</si>
  <si>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</si>
  <si>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</si>
  <si>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</si>
  <si>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</si>
  <si>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</si>
  <si>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</si>
  <si>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</si>
  <si>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</si>
  <si>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</si>
  <si>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</si>
  <si>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</si>
  <si>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</si>
  <si>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</si>
  <si>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</si>
  <si>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</si>
  <si>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</si>
  <si>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</si>
  <si>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</si>
  <si>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</si>
  <si>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</si>
  <si>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</si>
  <si>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</si>
  <si>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</si>
  <si>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</si>
  <si>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</si>
  <si>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</si>
  <si>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</si>
  <si>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</si>
  <si>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</si>
  <si>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</si>
  <si>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</si>
  <si>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</si>
  <si>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</si>
  <si>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</si>
  <si>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</si>
  <si>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</si>
  <si>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</si>
  <si>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</si>
  <si>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</si>
  <si>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</si>
  <si>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</si>
  <si>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</si>
  <si>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</si>
  <si>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</si>
  <si>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</si>
  <si>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</si>
  <si>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</si>
  <si>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</si>
  <si>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</si>
  <si>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</si>
  <si>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</si>
  <si>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</si>
  <si>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</si>
  <si>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</si>
  <si>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</si>
  <si>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</si>
  <si>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</si>
  <si>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</si>
  <si>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</si>
  <si>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</si>
  <si>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</si>
  <si>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</si>
  <si>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</si>
  <si>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</si>
  <si>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</si>
  <si>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</si>
  <si>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</si>
  <si>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</si>
  <si>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</si>
  <si>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</si>
  <si>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</si>
  <si>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</si>
  <si>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</si>
  <si>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</si>
  <si>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</si>
  <si>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</si>
  <si>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</si>
  <si>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</si>
  <si>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</si>
  <si>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</si>
  <si>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</si>
  <si>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</si>
  <si>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</si>
  <si>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</si>
  <si>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</si>
  <si>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</si>
  <si>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</si>
  <si>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</si>
  <si>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</si>
  <si>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</si>
  <si>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</si>
  <si>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</si>
  <si>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</si>
  <si>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</si>
  <si>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</si>
  <si>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</si>
  <si>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</si>
  <si>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</si>
  <si>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</si>
  <si>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</si>
  <si>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</si>
  <si>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</si>
  <si>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</si>
  <si>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</si>
  <si>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</si>
  <si>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</si>
  <si>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</si>
  <si>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</si>
  <si>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</si>
  <si>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</si>
  <si>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</si>
  <si>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</si>
  <si>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</si>
  <si>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</si>
  <si>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</si>
  <si>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</si>
  <si>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</si>
  <si>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</si>
  <si>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</si>
  <si>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</si>
  <si>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</si>
  <si>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</si>
  <si>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</si>
  <si>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</si>
  <si>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</si>
  <si>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</si>
  <si>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</si>
  <si>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</si>
  <si>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</si>
  <si>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</si>
  <si>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</si>
  <si>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</si>
  <si>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</si>
  <si>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</si>
  <si>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</si>
  <si>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</si>
  <si>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</si>
  <si>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</si>
  <si>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</si>
  <si>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</si>
  <si>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</si>
  <si>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</si>
  <si>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</si>
  <si>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</si>
  <si>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</si>
  <si>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</si>
  <si>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</si>
  <si>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</si>
  <si>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</si>
  <si>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</si>
  <si>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</si>
  <si>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</si>
  <si>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</si>
  <si>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</si>
  <si>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</si>
  <si>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</si>
  <si>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</si>
  <si>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</si>
  <si>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</si>
  <si>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</si>
  <si>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</si>
  <si>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</si>
  <si>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</si>
  <si>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</si>
  <si>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</si>
  <si>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</si>
  <si>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</si>
  <si>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</si>
  <si>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</si>
  <si>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</si>
  <si>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</si>
  <si>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</si>
  <si>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</si>
  <si>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</si>
  <si>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</si>
  <si>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</si>
  <si>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</si>
  <si>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</si>
  <si>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</si>
  <si>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</si>
  <si>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</si>
  <si>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</si>
  <si>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</si>
  <si>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</si>
  <si>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</si>
  <si>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</si>
  <si>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</si>
  <si>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</si>
  <si>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</si>
  <si>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</si>
  <si>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</si>
  <si>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</si>
  <si>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</si>
  <si>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</si>
  <si>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</si>
  <si>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</si>
  <si>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</si>
  <si>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</si>
  <si>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</si>
  <si>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</si>
  <si>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</si>
  <si>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</si>
  <si>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</si>
  <si>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</si>
  <si>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</si>
  <si>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</si>
  <si>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</si>
  <si>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</si>
  <si>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</si>
  <si>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</si>
  <si>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</si>
  <si>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</si>
  <si>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</si>
  <si>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</si>
  <si>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</si>
  <si>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</si>
  <si>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</si>
  <si>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</si>
  <si>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</si>
  <si>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</si>
  <si>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</si>
  <si>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</si>
  <si>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</si>
  <si>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</si>
  <si>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</si>
  <si>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</si>
  <si>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</si>
  <si>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</si>
  <si>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</si>
  <si>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</si>
  <si>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</si>
  <si>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</si>
  <si>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</si>
  <si>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</si>
  <si>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</si>
  <si>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</si>
  <si>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</si>
  <si>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</si>
  <si>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</si>
  <si>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</si>
  <si>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</si>
  <si>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</si>
  <si>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</si>
  <si>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</si>
  <si>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</si>
  <si>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</si>
  <si>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</si>
  <si>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</si>
  <si>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</si>
  <si>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</si>
  <si>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</si>
  <si>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</si>
  <si>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</si>
  <si>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</si>
  <si>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</si>
  <si>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</si>
  <si>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</si>
  <si>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</si>
  <si>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</si>
  <si>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</si>
  <si>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</si>
  <si>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</si>
  <si>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</si>
  <si>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</si>
  <si>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</si>
  <si>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</si>
  <si>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</si>
  <si>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</si>
  <si>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</si>
  <si>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</si>
  <si>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</si>
  <si>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</si>
  <si>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</si>
  <si>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</si>
  <si>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</si>
  <si>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</si>
  <si>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</si>
  <si>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</si>
  <si>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</si>
  <si>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</si>
  <si>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</si>
  <si>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</si>
  <si>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</si>
  <si>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</si>
  <si>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</si>
  <si>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</si>
  <si>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</si>
  <si>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</si>
  <si>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</si>
  <si>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</si>
  <si>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</si>
  <si>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</si>
  <si>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</si>
  <si>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</si>
  <si>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</si>
  <si>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</si>
  <si>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</si>
  <si>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</si>
  <si>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</si>
  <si>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</si>
  <si>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</si>
  <si>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</si>
  <si>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</si>
  <si>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</si>
  <si>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</si>
  <si>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</si>
  <si>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</si>
  <si>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</si>
  <si>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</si>
  <si>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</si>
  <si>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</si>
  <si>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</si>
  <si>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</si>
  <si>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</si>
  <si>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</si>
  <si>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</si>
  <si>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</si>
  <si>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</si>
  <si>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</si>
  <si>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</si>
  <si>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</si>
  <si>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</si>
  <si>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</si>
  <si>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</si>
  <si>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</si>
  <si>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</si>
  <si>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</si>
  <si>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</si>
  <si>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</si>
  <si>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</si>
  <si>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</si>
  <si>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</si>
  <si>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</si>
  <si>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</si>
  <si>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</si>
  <si>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</si>
  <si>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</si>
  <si>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</si>
  <si>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</si>
  <si>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</si>
  <si>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</si>
  <si>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</si>
  <si>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</si>
  <si>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</si>
  <si>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</si>
  <si>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</si>
  <si>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</si>
  <si>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</si>
  <si>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</si>
  <si>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</si>
  <si>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</si>
  <si>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</si>
  <si>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</si>
  <si>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</si>
  <si>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</si>
  <si>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</si>
  <si>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</si>
  <si>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</si>
  <si>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</si>
  <si>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</si>
  <si>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</si>
  <si>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</si>
  <si>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</si>
  <si>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</si>
  <si>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</si>
  <si>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</si>
  <si>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</si>
  <si>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</si>
  <si>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</si>
  <si>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</si>
  <si>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</si>
  <si>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</si>
  <si>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</si>
  <si>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</si>
  <si>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</si>
  <si>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</si>
  <si>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</si>
  <si>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</si>
  <si>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</si>
  <si>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</si>
  <si>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</si>
  <si>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</si>
  <si>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</si>
  <si>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</si>
  <si>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</si>
  <si>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</si>
  <si>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</si>
  <si>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</si>
  <si>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</si>
  <si>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</si>
  <si>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</si>
  <si>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</si>
  <si>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</si>
  <si>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</si>
  <si>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</si>
  <si>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</si>
  <si>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</si>
  <si>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</si>
  <si>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</si>
  <si>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</si>
  <si>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</si>
  <si>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</si>
  <si>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</si>
  <si>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</si>
  <si>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</si>
  <si>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</si>
  <si>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</si>
  <si>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</si>
  <si>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</si>
  <si>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</si>
  <si>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</si>
  <si>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</si>
  <si>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</si>
  <si>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</si>
  <si>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</si>
  <si>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</si>
  <si>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</si>
  <si>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</si>
  <si>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</si>
  <si>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</si>
  <si>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</si>
  <si>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</si>
  <si>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</si>
  <si>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</si>
  <si>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</si>
  <si>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</si>
  <si>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</si>
  <si>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</si>
  <si>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</si>
  <si>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</si>
  <si>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</si>
  <si>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</si>
  <si>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</si>
  <si>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</si>
  <si>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</si>
  <si>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</si>
  <si>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</si>
  <si>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</si>
  <si>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</si>
  <si>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</si>
  <si>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</si>
  <si>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</si>
  <si>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</si>
  <si>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</si>
  <si>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</si>
  <si>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</si>
  <si>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</si>
  <si>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</si>
  <si>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</si>
  <si>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</si>
  <si>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</si>
  <si>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</si>
  <si>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</si>
  <si>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</si>
  <si>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</si>
  <si>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</si>
  <si>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</si>
  <si>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</si>
  <si>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</si>
  <si>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</si>
  <si>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</si>
  <si>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</si>
  <si>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</si>
  <si>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</si>
  <si>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</si>
  <si>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</si>
  <si>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</si>
  <si>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</si>
  <si>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</si>
  <si>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</si>
  <si>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</si>
  <si>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</si>
  <si>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</si>
  <si>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</si>
  <si>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</si>
  <si>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</si>
  <si>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</si>
  <si>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</si>
  <si>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</si>
  <si>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</si>
  <si>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</si>
  <si>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</si>
  <si>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</si>
  <si>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</si>
  <si>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</si>
  <si>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</si>
  <si>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</si>
  <si>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</si>
  <si>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</si>
  <si>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</si>
  <si>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</si>
  <si>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</si>
  <si>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</si>
  <si>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</si>
  <si>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</si>
  <si>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</si>
  <si>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</si>
  <si>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</si>
  <si>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</si>
  <si>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</si>
  <si>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</si>
  <si>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</si>
  <si>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</si>
  <si>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</si>
  <si>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</si>
  <si>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</si>
  <si>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</si>
  <si>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</si>
  <si>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</si>
  <si>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</si>
  <si>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</si>
  <si>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</si>
  <si>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</si>
  <si>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</si>
  <si>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</si>
  <si>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</si>
  <si>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</si>
  <si>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</si>
  <si>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</si>
  <si>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</si>
  <si>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</si>
  <si>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</si>
  <si>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</si>
  <si>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</si>
  <si>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</si>
  <si>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</si>
  <si>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</si>
  <si>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</si>
  <si>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</si>
  <si>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</si>
  <si>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</si>
  <si>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</si>
  <si>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</si>
  <si>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</si>
  <si>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</si>
  <si>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</si>
  <si>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</si>
  <si>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</si>
  <si>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</si>
  <si>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</si>
  <si>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</si>
  <si>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</si>
  <si>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</si>
  <si>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</si>
  <si>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</si>
  <si>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</si>
  <si>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</si>
  <si>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</si>
  <si>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</si>
  <si>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</si>
  <si>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</si>
  <si>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</si>
  <si>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</si>
  <si>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</si>
  <si>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</si>
  <si>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</si>
  <si>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</si>
  <si>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</si>
  <si>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</si>
  <si>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</si>
  <si>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</si>
  <si>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</si>
  <si>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</si>
  <si>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</si>
  <si>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</si>
  <si>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</si>
  <si>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</si>
  <si>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</si>
  <si>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</si>
  <si>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</si>
  <si>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</si>
  <si>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</si>
  <si>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</si>
  <si>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</si>
  <si>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</si>
  <si>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</si>
  <si>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</si>
  <si>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</si>
  <si>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</si>
  <si>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</si>
  <si>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</si>
  <si>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</si>
  <si>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</si>
  <si>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</si>
  <si>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</si>
  <si>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</si>
  <si>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</si>
  <si>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</si>
  <si>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</si>
  <si>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</si>
  <si>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</si>
  <si>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</si>
  <si>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</si>
  <si>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</si>
  <si>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</si>
  <si>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</si>
  <si>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</si>
  <si>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</si>
  <si>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</si>
  <si>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</si>
  <si>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</si>
  <si>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</si>
  <si>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</si>
  <si>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</si>
  <si>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</si>
  <si>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</si>
  <si>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</si>
  <si>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</si>
  <si>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</si>
  <si>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</si>
  <si>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</si>
  <si>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</si>
  <si>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</si>
  <si>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</si>
  <si>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</si>
  <si>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</si>
  <si>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</si>
  <si>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</si>
  <si>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</si>
  <si>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</si>
  <si>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</si>
  <si>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</si>
  <si>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</si>
  <si>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</si>
  <si>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</si>
  <si>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</si>
  <si>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</si>
  <si>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</si>
  <si>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</si>
  <si>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</si>
  <si>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</si>
  <si>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</si>
  <si>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</si>
  <si>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</si>
  <si>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</si>
  <si>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</si>
  <si>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</si>
  <si>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</si>
  <si>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</si>
  <si>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</si>
  <si>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</si>
  <si>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</si>
  <si>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</si>
  <si>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</si>
  <si>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</si>
  <si>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</si>
  <si>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</si>
  <si>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</si>
  <si>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</si>
  <si>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</si>
  <si>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</si>
  <si>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</si>
  <si>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</si>
  <si>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</si>
  <si>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</si>
  <si>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</si>
  <si>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</si>
  <si>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</si>
  <si>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</si>
  <si>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</si>
  <si>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</si>
  <si>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</si>
  <si>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</si>
  <si>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</si>
  <si>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</si>
  <si>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</si>
  <si>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</si>
  <si>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</si>
  <si>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</si>
  <si>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</si>
  <si>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</si>
  <si>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</si>
  <si>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</si>
  <si>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</si>
  <si>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</si>
  <si>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</si>
  <si>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</si>
  <si>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</si>
  <si>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</si>
  <si>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</si>
  <si>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</si>
  <si>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</si>
  <si>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</si>
  <si>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</si>
  <si>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</si>
  <si>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</si>
  <si>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</si>
  <si>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</si>
  <si>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</si>
  <si>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</si>
  <si>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</si>
  <si>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</si>
  <si>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</si>
  <si>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</si>
  <si>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</si>
  <si>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</si>
  <si>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</si>
  <si>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</si>
  <si>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</si>
  <si>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</si>
  <si>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</si>
  <si>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</si>
  <si>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</si>
  <si>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</si>
  <si>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</si>
  <si>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</si>
  <si>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</si>
  <si>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</si>
  <si>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</si>
  <si>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</si>
  <si>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</si>
  <si>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</si>
  <si>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</si>
  <si>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</si>
  <si>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</si>
  <si>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</si>
  <si>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</si>
  <si>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</si>
  <si>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</si>
  <si>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</si>
  <si>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</si>
  <si>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</si>
  <si>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</si>
  <si>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</si>
  <si>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</si>
  <si>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</si>
  <si>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</si>
  <si>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</si>
  <si>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</si>
  <si>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</si>
  <si>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</si>
  <si>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</si>
  <si>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</si>
  <si>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</si>
  <si>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</si>
  <si>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</si>
  <si>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</si>
  <si>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</si>
  <si>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</si>
  <si>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</si>
  <si>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</si>
  <si>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</si>
  <si>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</si>
  <si>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</si>
  <si>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</si>
  <si>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</si>
  <si>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</si>
  <si>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</si>
  <si>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</si>
  <si>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</si>
  <si>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</si>
  <si>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</si>
  <si>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</si>
  <si>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</si>
  <si>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</si>
  <si>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</si>
  <si>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</si>
  <si>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</si>
  <si>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</si>
  <si>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</si>
  <si>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</si>
  <si>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</si>
  <si>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</si>
  <si>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</si>
  <si>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</si>
  <si>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</si>
  <si>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</si>
  <si>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</si>
  <si>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</si>
  <si>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</si>
  <si>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</si>
  <si>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</si>
  <si>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</si>
  <si>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</si>
  <si>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</si>
  <si>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</si>
  <si>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</si>
  <si>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</si>
  <si>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</si>
  <si>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</si>
  <si>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</si>
  <si>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</si>
  <si>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</si>
  <si>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</si>
  <si>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</si>
  <si>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</si>
  <si>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</si>
  <si>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</si>
  <si>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</si>
  <si>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</si>
  <si>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</si>
  <si>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</si>
  <si>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</si>
  <si>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</si>
  <si>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</si>
  <si>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</si>
  <si>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</si>
  <si>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</si>
  <si>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</si>
  <si>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</si>
  <si>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</si>
  <si>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</si>
  <si>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</si>
  <si>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</si>
  <si>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</si>
  <si>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</si>
  <si>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</si>
  <si>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</si>
  <si>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</si>
  <si>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</si>
  <si>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</si>
  <si>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</si>
  <si>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</si>
  <si>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</si>
  <si>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</si>
  <si>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</si>
  <si>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</si>
  <si>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</si>
  <si>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</si>
  <si>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</si>
  <si>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</si>
  <si>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</si>
  <si>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</si>
  <si>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</si>
  <si>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</si>
  <si>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</si>
  <si>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</si>
  <si>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</si>
  <si>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</si>
  <si>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</si>
  <si>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</si>
  <si>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</si>
  <si>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</si>
  <si>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</si>
  <si>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</si>
  <si>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</si>
  <si>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</si>
  <si>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</si>
  <si>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</si>
  <si>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</si>
  <si>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</si>
  <si>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</si>
  <si>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</si>
  <si>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</si>
  <si>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</si>
  <si>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</si>
  <si>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</si>
  <si>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</si>
  <si>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</si>
  <si>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</si>
  <si>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</si>
  <si>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</si>
  <si>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</si>
  <si>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</si>
  <si>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</si>
  <si>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</si>
  <si>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</si>
  <si>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</si>
  <si>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</si>
  <si>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</si>
  <si>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</si>
  <si>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</si>
  <si>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</si>
  <si>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</si>
  <si>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</si>
  <si>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</si>
  <si>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</si>
  <si>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</si>
  <si>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</si>
  <si>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</si>
  <si>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</si>
  <si>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</si>
  <si>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</si>
  <si>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</si>
  <si>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</si>
  <si>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</si>
  <si>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</si>
  <si>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</si>
  <si>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</si>
  <si>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</si>
  <si>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</si>
  <si>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</si>
  <si>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</si>
  <si>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</si>
  <si>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</si>
  <si>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</si>
  <si>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</si>
  <si>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</si>
  <si>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</si>
  <si>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</si>
  <si>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</si>
  <si>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</si>
  <si>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</si>
  <si>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</si>
  <si>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</si>
  <si>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</si>
  <si>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</si>
  <si>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</si>
  <si>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</si>
  <si>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</si>
  <si>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</si>
  <si>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</si>
  <si>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</si>
  <si>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</si>
  <si>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</si>
  <si>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</si>
  <si>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</si>
  <si>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</si>
  <si>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</si>
  <si>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</si>
  <si>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</si>
  <si>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</si>
  <si>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</si>
  <si>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</si>
  <si>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</si>
  <si>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</si>
  <si>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</si>
  <si>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</si>
  <si>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</si>
  <si>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</si>
  <si>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</si>
  <si>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</si>
  <si>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</si>
  <si>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</si>
  <si>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</si>
  <si>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</si>
  <si>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</si>
  <si>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</si>
  <si>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</si>
  <si>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</si>
  <si>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</si>
  <si>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</si>
  <si>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</si>
  <si>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</si>
  <si>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</si>
  <si>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</si>
  <si>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</si>
  <si>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</si>
  <si>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</si>
  <si>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</si>
  <si>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</si>
  <si>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</si>
  <si>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</si>
  <si>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</si>
  <si>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</si>
  <si>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</si>
  <si>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</si>
  <si>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</si>
  <si>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</si>
  <si>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</si>
  <si>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</si>
  <si>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</si>
  <si>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</si>
  <si>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</si>
  <si>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</si>
  <si>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</si>
  <si>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</si>
  <si>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</si>
  <si>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</si>
  <si>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</si>
  <si>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</si>
  <si>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</si>
  <si>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</si>
  <si>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</si>
  <si>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</si>
  <si>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</si>
  <si>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</si>
  <si>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</si>
  <si>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</si>
  <si>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</si>
  <si>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</si>
  <si>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</si>
  <si>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</si>
  <si>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</si>
  <si>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</si>
  <si>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</si>
  <si>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</si>
  <si>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</si>
  <si>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</si>
  <si>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</si>
  <si>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</si>
  <si>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</si>
  <si>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</si>
  <si>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</si>
  <si>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</si>
  <si>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</si>
  <si>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</si>
  <si>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</si>
  <si>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</si>
  <si>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</si>
  <si>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</si>
  <si>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</si>
  <si>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</si>
  <si>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</si>
  <si>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</si>
  <si>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</si>
  <si>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</si>
  <si>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</si>
  <si>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</si>
  <si>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</si>
  <si>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</si>
  <si>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</si>
  <si>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</si>
  <si>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</si>
  <si>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</si>
  <si>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</si>
  <si>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</si>
  <si>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</si>
  <si>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</si>
  <si>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</si>
  <si>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</si>
  <si>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</si>
  <si>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</si>
  <si>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</si>
  <si>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</si>
  <si>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</si>
  <si>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</si>
  <si>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</si>
  <si>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</si>
  <si>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</si>
  <si>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</si>
  <si>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</si>
  <si>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</si>
  <si>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</si>
  <si>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</si>
  <si>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</si>
  <si>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</si>
  <si>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</si>
  <si>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</si>
  <si>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</si>
  <si>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</si>
  <si>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</si>
  <si>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</si>
  <si>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</si>
  <si>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</si>
  <si>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</si>
  <si>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</si>
  <si>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</si>
  <si>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</si>
  <si>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</si>
  <si>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</si>
  <si>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</si>
  <si>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</si>
  <si>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</si>
  <si>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</si>
  <si>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</si>
  <si>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</si>
  <si>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</si>
  <si>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</si>
  <si>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</si>
  <si>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</si>
  <si>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</si>
  <si>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</si>
  <si>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</si>
  <si>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</si>
  <si>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</si>
  <si>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</si>
  <si>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</si>
  <si>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</si>
  <si>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</si>
  <si>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</si>
  <si>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</si>
  <si>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</si>
  <si>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</si>
  <si>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</si>
  <si>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</si>
  <si>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</si>
  <si>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</si>
  <si>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</si>
  <si>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</si>
  <si>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</si>
  <si>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</si>
  <si>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</si>
  <si>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</si>
  <si>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</si>
  <si>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</si>
  <si>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</si>
  <si>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</si>
  <si>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</si>
  <si>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</si>
  <si>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</si>
  <si>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</si>
  <si>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</si>
  <si>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</si>
  <si>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</si>
  <si>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</si>
  <si>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</si>
  <si>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</si>
  <si>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</si>
  <si>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</si>
  <si>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</si>
  <si>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</si>
  <si>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</si>
  <si>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</si>
  <si>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</si>
  <si>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</si>
  <si>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</si>
  <si>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</si>
  <si>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</si>
  <si>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</si>
  <si>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</si>
  <si>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</si>
  <si>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</si>
  <si>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</si>
  <si>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</si>
  <si>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</si>
  <si>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</si>
  <si>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</si>
  <si>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</si>
  <si>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</si>
  <si>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</si>
  <si>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</si>
  <si>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</si>
  <si>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</si>
  <si>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</si>
  <si>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</si>
  <si>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</si>
  <si>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</si>
  <si>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</si>
  <si>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</si>
  <si>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</si>
  <si>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</si>
  <si>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</si>
  <si>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</si>
  <si>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</si>
  <si>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</si>
  <si>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</si>
  <si>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</si>
  <si>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</si>
  <si>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</si>
  <si>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</si>
  <si>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</si>
  <si>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</si>
  <si>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</si>
  <si>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</si>
  <si>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</si>
  <si>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</si>
  <si>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</si>
  <si>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</si>
  <si>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</si>
  <si>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</si>
  <si>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</si>
  <si>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</si>
  <si>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</si>
  <si>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</si>
  <si>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</si>
  <si>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</si>
  <si>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</si>
  <si>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</si>
  <si>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</si>
  <si>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</si>
  <si>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</si>
  <si>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</si>
  <si>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</si>
  <si>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</si>
  <si>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</si>
  <si>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</si>
  <si>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</si>
  <si>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</si>
  <si>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</si>
  <si>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</si>
  <si>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</si>
  <si>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</si>
  <si>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</si>
  <si>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</si>
  <si>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</si>
  <si>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</si>
  <si>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</si>
  <si>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</si>
  <si>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</si>
  <si>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</si>
  <si>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</si>
  <si>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</si>
  <si>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</si>
  <si>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</si>
  <si>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</si>
  <si>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</si>
  <si>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</si>
  <si>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</si>
  <si>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</si>
  <si>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</si>
  <si>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</si>
  <si>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</si>
  <si>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</si>
  <si>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</si>
  <si>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</si>
  <si>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</si>
  <si>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</si>
  <si>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</si>
  <si>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</si>
  <si>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</si>
  <si>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</si>
  <si>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</si>
  <si>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</si>
  <si>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</si>
  <si>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</si>
  <si>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</si>
  <si>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</si>
  <si>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</si>
  <si>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</si>
  <si>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</si>
  <si>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</si>
  <si>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</si>
  <si>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</si>
  <si>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</si>
  <si>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</si>
  <si>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</si>
  <si>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</si>
  <si>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</si>
  <si>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</si>
  <si>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</si>
  <si>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</si>
  <si>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</si>
  <si>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王淑红</t>
    <phoneticPr fontId="6" type="noConversion"/>
  </si>
  <si>
    <r>
      <rPr>
        <sz val="10"/>
        <color theme="9" tint="-0.249977111117893"/>
        <rFont val="宋体"/>
        <family val="3"/>
        <charset val="134"/>
      </rPr>
      <t>顺义区天承环路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27</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603</t>
    </r>
    <phoneticPr fontId="6" type="noConversion"/>
  </si>
  <si>
    <t>办公项目</t>
  </si>
  <si>
    <t>现房</t>
  </si>
  <si>
    <t>是</t>
  </si>
  <si>
    <t>地上</t>
  </si>
  <si>
    <t>赵全营镇</t>
    <phoneticPr fontId="3" type="noConversion"/>
  </si>
  <si>
    <t>成新度</t>
  </si>
  <si>
    <t>收益法 (元)</t>
  </si>
  <si>
    <t>自定义容积率</t>
  </si>
  <si>
    <t>不临65条商业街</t>
  </si>
  <si>
    <t>与级别开发程度一致</t>
  </si>
  <si>
    <t>按公示增长率计算</t>
  </si>
  <si>
    <t>中心城区以外</t>
  </si>
  <si>
    <t>一般</t>
  </si>
  <si>
    <t>较差</t>
  </si>
  <si>
    <t>较好</t>
  </si>
  <si>
    <t>建成年代</t>
    <phoneticPr fontId="3" type="noConversion"/>
  </si>
  <si>
    <t>网上查询</t>
    <phoneticPr fontId="3" type="noConversion"/>
  </si>
  <si>
    <t>押一</t>
  </si>
  <si>
    <t>钢混</t>
  </si>
  <si>
    <t>非生产用房</t>
  </si>
  <si>
    <t>否</t>
  </si>
  <si>
    <t>未包含在土地购买价格中</t>
  </si>
  <si>
    <t>已包含在土地取得成本中</t>
  </si>
  <si>
    <t>级别平均</t>
    <phoneticPr fontId="7" type="noConversion"/>
  </si>
  <si>
    <t>比较法-办公</t>
  </si>
  <si>
    <t>楼面单价</t>
  </si>
  <si>
    <t>自定义</t>
  </si>
  <si>
    <t>售价</t>
  </si>
  <si>
    <t>售价</t>
    <phoneticPr fontId="134" type="noConversion"/>
  </si>
  <si>
    <r>
      <t>成交价1</t>
    </r>
    <r>
      <rPr>
        <sz val="11"/>
        <color theme="1"/>
        <rFont val="宋体"/>
        <family val="3"/>
        <charset val="134"/>
        <scheme val="minor"/>
      </rPr>
      <t>20万左右</t>
    </r>
    <phoneticPr fontId="134" type="noConversion"/>
  </si>
  <si>
    <r>
      <t>4</t>
    </r>
    <r>
      <rPr>
        <sz val="11"/>
        <color theme="1"/>
        <rFont val="宋体"/>
        <family val="3"/>
        <charset val="134"/>
        <scheme val="minor"/>
      </rPr>
      <t>000-4500</t>
    </r>
    <phoneticPr fontId="134" type="noConversion"/>
  </si>
  <si>
    <t>高楼层</t>
  </si>
  <si>
    <t>高楼层</t>
    <phoneticPr fontId="31" type="noConversion"/>
  </si>
  <si>
    <t>中楼层</t>
  </si>
  <si>
    <t>中楼层</t>
    <phoneticPr fontId="31" type="noConversion"/>
  </si>
  <si>
    <t>低楼层</t>
  </si>
  <si>
    <t>低楼层</t>
    <phoneticPr fontId="31" type="noConversion"/>
  </si>
  <si>
    <t>挂牌价</t>
  </si>
  <si>
    <t>挂牌价</t>
    <phoneticPr fontId="31" type="noConversion"/>
  </si>
  <si>
    <t>正常</t>
  </si>
  <si>
    <t>单套模式</t>
  </si>
  <si>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</si>
  <si>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</si>
  <si>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</si>
  <si>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</si>
  <si>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</si>
  <si>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</si>
  <si>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</si>
  <si>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</si>
  <si>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</si>
  <si>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phoneticPr fontId="31" type="noConversion"/>
  </si>
  <si>
    <t>五通</t>
    <phoneticPr fontId="31" type="noConversion"/>
  </si>
  <si>
    <t>专业</t>
    <phoneticPr fontId="31" type="noConversion"/>
  </si>
  <si>
    <t>普通</t>
    <phoneticPr fontId="31" type="noConversion"/>
  </si>
  <si>
    <t>钢混</t>
    <phoneticPr fontId="31" type="noConversion"/>
  </si>
  <si>
    <t>办公</t>
    <phoneticPr fontId="31" type="noConversion"/>
  </si>
  <si>
    <r>
      <t>30-40</t>
    </r>
    <r>
      <rPr>
        <sz val="11"/>
        <color indexed="8"/>
        <rFont val="宋体"/>
        <family val="3"/>
        <charset val="134"/>
      </rPr>
      <t>（含）</t>
    </r>
    <phoneticPr fontId="31" type="noConversion"/>
  </si>
  <si>
    <t>尚峯一号</t>
    <phoneticPr fontId="3" type="noConversion"/>
  </si>
  <si>
    <t>高层建筑</t>
  </si>
  <si>
    <t>高层建筑</t>
    <phoneticPr fontId="31" type="noConversion"/>
  </si>
  <si>
    <t>南</t>
  </si>
  <si>
    <t>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</si>
</sst>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86729</xdr:colOff>
      <xdr:row>38</xdr:row>
      <xdr:rowOff>103400</xdr:rowOff>
    </xdr:to>
    <xdr:pic>
      <xdr:nvPicPr>
        <xdr:cNvPr id="2" name="图片 1">
          <a:extLst>
            <a:ext uri="{FF2B5EF4-FFF2-40B4-BE49-F238E27FC236}">
              <a16:creationId xmlns:a16="http://schemas.microsoft.com/office/drawing/2014/main" id="{D90CC7BE-8EF6-2AF3-8101-4AC865AE653A}"/>
            </a:ext>
          </a:extLst>
        </xdr:cNvPr>
        <xdr:cNvPicPr>
          <a:picLocks noChangeAspect="1"/>
        </xdr:cNvPicPr>
      </xdr:nvPicPr>
      <xdr:blipFill>
        <a:blip xmlns:r="http://schemas.openxmlformats.org/officeDocument/2006/relationships" r:embed="rId1"/>
        <a:stretch>
          <a:fillRect/>
        </a:stretch>
      </xdr:blipFill>
      <xdr:spPr>
        <a:xfrm>
          <a:off x="0" y="0"/>
          <a:ext cx="6182729" cy="6859800"/>
        </a:xfrm>
        <a:prstGeom prst="rect">
          <a:avLst/>
        </a:prstGeom>
      </xdr:spPr>
    </xdr:pic>
    <xdr:clientData/>
  </xdr:twoCellAnchor>
  <xdr:twoCellAnchor editAs="oneCell">
    <xdr:from>
      <xdr:col>23</xdr:col>
      <xdr:colOff>116905</xdr:colOff>
      <xdr:row>12</xdr:row>
      <xdr:rowOff>82550</xdr:rowOff>
    </xdr:from>
    <xdr:to>
      <xdr:col>33</xdr:col>
      <xdr:colOff>211293</xdr:colOff>
      <xdr:row>46</xdr:row>
      <xdr:rowOff>135114</xdr:rowOff>
    </xdr:to>
    <xdr:pic>
      <xdr:nvPicPr>
        <xdr:cNvPr id="3" name="图片 2">
          <a:extLst>
            <a:ext uri="{FF2B5EF4-FFF2-40B4-BE49-F238E27FC236}">
              <a16:creationId xmlns:a16="http://schemas.microsoft.com/office/drawing/2014/main" id="{E20232AF-EC09-8C53-F5DA-88FC4A3FFD23}"/>
            </a:ext>
          </a:extLst>
        </xdr:cNvPr>
        <xdr:cNvPicPr>
          <a:picLocks noChangeAspect="1"/>
        </xdr:cNvPicPr>
      </xdr:nvPicPr>
      <xdr:blipFill>
        <a:blip xmlns:r="http://schemas.openxmlformats.org/officeDocument/2006/relationships" r:embed="rId2"/>
        <a:stretch>
          <a:fillRect/>
        </a:stretch>
      </xdr:blipFill>
      <xdr:spPr>
        <a:xfrm>
          <a:off x="14137705" y="2216150"/>
          <a:ext cx="6190388" cy="6097764"/>
        </a:xfrm>
        <a:prstGeom prst="rect">
          <a:avLst/>
        </a:prstGeom>
      </xdr:spPr>
    </xdr:pic>
    <xdr:clientData/>
  </xdr:twoCellAnchor>
  <xdr:twoCellAnchor editAs="oneCell">
    <xdr:from>
      <xdr:col>11</xdr:col>
      <xdr:colOff>486291</xdr:colOff>
      <xdr:row>30</xdr:row>
      <xdr:rowOff>76200</xdr:rowOff>
    </xdr:from>
    <xdr:to>
      <xdr:col>21</xdr:col>
      <xdr:colOff>455593</xdr:colOff>
      <xdr:row>61</xdr:row>
      <xdr:rowOff>36650</xdr:rowOff>
    </xdr:to>
    <xdr:pic>
      <xdr:nvPicPr>
        <xdr:cNvPr id="4" name="图片 3">
          <a:extLst>
            <a:ext uri="{FF2B5EF4-FFF2-40B4-BE49-F238E27FC236}">
              <a16:creationId xmlns:a16="http://schemas.microsoft.com/office/drawing/2014/main" id="{C26CC4E4-3E0B-6700-18C5-0A8C783BD9F9}"/>
            </a:ext>
          </a:extLst>
        </xdr:cNvPr>
        <xdr:cNvPicPr>
          <a:picLocks noChangeAspect="1"/>
        </xdr:cNvPicPr>
      </xdr:nvPicPr>
      <xdr:blipFill>
        <a:blip xmlns:r="http://schemas.openxmlformats.org/officeDocument/2006/relationships" r:embed="rId3"/>
        <a:stretch>
          <a:fillRect/>
        </a:stretch>
      </xdr:blipFill>
      <xdr:spPr>
        <a:xfrm>
          <a:off x="7191891" y="5410200"/>
          <a:ext cx="6065302" cy="5472250"/>
        </a:xfrm>
        <a:prstGeom prst="rect">
          <a:avLst/>
        </a:prstGeom>
      </xdr:spPr>
    </xdr:pic>
    <xdr:clientData/>
  </xdr:twoCellAnchor>
  <xdr:twoCellAnchor editAs="oneCell">
    <xdr:from>
      <xdr:col>11</xdr:col>
      <xdr:colOff>557351</xdr:colOff>
      <xdr:row>62</xdr:row>
      <xdr:rowOff>38100</xdr:rowOff>
    </xdr:from>
    <xdr:to>
      <xdr:col>23</xdr:col>
      <xdr:colOff>77771</xdr:colOff>
      <xdr:row>97</xdr:row>
      <xdr:rowOff>87428</xdr:rowOff>
    </xdr:to>
    <xdr:pic>
      <xdr:nvPicPr>
        <xdr:cNvPr id="5" name="图片 4">
          <a:extLst>
            <a:ext uri="{FF2B5EF4-FFF2-40B4-BE49-F238E27FC236}">
              <a16:creationId xmlns:a16="http://schemas.microsoft.com/office/drawing/2014/main" id="{CBA264B9-49C9-6717-67A7-E38E1503530C}"/>
            </a:ext>
          </a:extLst>
        </xdr:cNvPr>
        <xdr:cNvPicPr>
          <a:picLocks noChangeAspect="1"/>
        </xdr:cNvPicPr>
      </xdr:nvPicPr>
      <xdr:blipFill>
        <a:blip xmlns:r="http://schemas.openxmlformats.org/officeDocument/2006/relationships" r:embed="rId4"/>
        <a:stretch>
          <a:fillRect/>
        </a:stretch>
      </xdr:blipFill>
      <xdr:spPr>
        <a:xfrm>
          <a:off x="7262951" y="11061700"/>
          <a:ext cx="6835620" cy="6272328"/>
        </a:xfrm>
        <a:prstGeom prst="rect">
          <a:avLst/>
        </a:prstGeom>
      </xdr:spPr>
    </xdr:pic>
    <xdr:clientData/>
  </xdr:twoCellAnchor>
  <xdr:twoCellAnchor editAs="oneCell">
    <xdr:from>
      <xdr:col>0</xdr:col>
      <xdr:colOff>0</xdr:colOff>
      <xdr:row>38</xdr:row>
      <xdr:rowOff>38100</xdr:rowOff>
    </xdr:from>
    <xdr:to>
      <xdr:col>11</xdr:col>
      <xdr:colOff>36086</xdr:colOff>
      <xdr:row>81</xdr:row>
      <xdr:rowOff>141528</xdr:rowOff>
    </xdr:to>
    <xdr:pic>
      <xdr:nvPicPr>
        <xdr:cNvPr id="6" name="图片 5">
          <a:extLst>
            <a:ext uri="{FF2B5EF4-FFF2-40B4-BE49-F238E27FC236}">
              <a16:creationId xmlns:a16="http://schemas.microsoft.com/office/drawing/2014/main" id="{5AACDF99-2E52-CEBE-D9F6-B0F4081C4537}"/>
            </a:ext>
          </a:extLst>
        </xdr:cNvPr>
        <xdr:cNvPicPr>
          <a:picLocks noChangeAspect="1"/>
        </xdr:cNvPicPr>
      </xdr:nvPicPr>
      <xdr:blipFill>
        <a:blip xmlns:r="http://schemas.openxmlformats.org/officeDocument/2006/relationships" r:embed="rId5"/>
        <a:stretch>
          <a:fillRect/>
        </a:stretch>
      </xdr:blipFill>
      <xdr:spPr>
        <a:xfrm>
          <a:off x="0" y="6794500"/>
          <a:ext cx="6741686" cy="7748828"/>
        </a:xfrm>
        <a:prstGeom prst="rect">
          <a:avLst/>
        </a:prstGeom>
      </xdr:spPr>
    </xdr:pic>
    <xdr:clientData/>
  </xdr:twoCellAnchor>
  <xdr:twoCellAnchor editAs="oneCell">
    <xdr:from>
      <xdr:col>0</xdr:col>
      <xdr:colOff>0</xdr:colOff>
      <xdr:row>81</xdr:row>
      <xdr:rowOff>152400</xdr:rowOff>
    </xdr:from>
    <xdr:to>
      <xdr:col>10</xdr:col>
      <xdr:colOff>594196</xdr:colOff>
      <xdr:row>126</xdr:row>
      <xdr:rowOff>84357</xdr:rowOff>
    </xdr:to>
    <xdr:pic>
      <xdr:nvPicPr>
        <xdr:cNvPr id="7" name="图片 6">
          <a:extLst>
            <a:ext uri="{FF2B5EF4-FFF2-40B4-BE49-F238E27FC236}">
              <a16:creationId xmlns:a16="http://schemas.microsoft.com/office/drawing/2014/main" id="{1D1F7BAA-68DD-7F64-DBB4-E910CB325FB2}"/>
            </a:ext>
          </a:extLst>
        </xdr:cNvPr>
        <xdr:cNvPicPr>
          <a:picLocks noChangeAspect="1"/>
        </xdr:cNvPicPr>
      </xdr:nvPicPr>
      <xdr:blipFill>
        <a:blip xmlns:r="http://schemas.openxmlformats.org/officeDocument/2006/relationships" r:embed="rId6"/>
        <a:stretch>
          <a:fillRect/>
        </a:stretch>
      </xdr:blipFill>
      <xdr:spPr>
        <a:xfrm>
          <a:off x="0" y="14554200"/>
          <a:ext cx="6690196" cy="7932957"/>
        </a:xfrm>
        <a:prstGeom prst="rect">
          <a:avLst/>
        </a:prstGeom>
      </xdr:spPr>
    </xdr:pic>
    <xdr:clientData/>
  </xdr:twoCellAnchor>
  <xdr:twoCellAnchor editAs="oneCell">
    <xdr:from>
      <xdr:col>0</xdr:col>
      <xdr:colOff>0</xdr:colOff>
      <xdr:row>127</xdr:row>
      <xdr:rowOff>88900</xdr:rowOff>
    </xdr:from>
    <xdr:to>
      <xdr:col>10</xdr:col>
      <xdr:colOff>421234</xdr:colOff>
      <xdr:row>167</xdr:row>
      <xdr:rowOff>100243</xdr:rowOff>
    </xdr:to>
    <xdr:pic>
      <xdr:nvPicPr>
        <xdr:cNvPr id="8" name="图片 7">
          <a:extLst>
            <a:ext uri="{FF2B5EF4-FFF2-40B4-BE49-F238E27FC236}">
              <a16:creationId xmlns:a16="http://schemas.microsoft.com/office/drawing/2014/main" id="{51834F76-B73B-B0B4-EB99-AE51B2F58446}"/>
            </a:ext>
          </a:extLst>
        </xdr:cNvPr>
        <xdr:cNvPicPr>
          <a:picLocks noChangeAspect="1"/>
        </xdr:cNvPicPr>
      </xdr:nvPicPr>
      <xdr:blipFill>
        <a:blip xmlns:r="http://schemas.openxmlformats.org/officeDocument/2006/relationships" r:embed="rId7"/>
        <a:stretch>
          <a:fillRect/>
        </a:stretch>
      </xdr:blipFill>
      <xdr:spPr>
        <a:xfrm>
          <a:off x="0" y="22669500"/>
          <a:ext cx="6517234" cy="7123343"/>
        </a:xfrm>
        <a:prstGeom prst="rect">
          <a:avLst/>
        </a:prstGeom>
      </xdr:spPr>
    </xdr:pic>
    <xdr:clientData/>
  </xdr:twoCellAnchor>
  <xdr:twoCellAnchor editAs="oneCell">
    <xdr:from>
      <xdr:col>0</xdr:col>
      <xdr:colOff>127000</xdr:colOff>
      <xdr:row>166</xdr:row>
      <xdr:rowOff>165100</xdr:rowOff>
    </xdr:from>
    <xdr:to>
      <xdr:col>10</xdr:col>
      <xdr:colOff>409834</xdr:colOff>
      <xdr:row>206</xdr:row>
      <xdr:rowOff>132050</xdr:rowOff>
    </xdr:to>
    <xdr:pic>
      <xdr:nvPicPr>
        <xdr:cNvPr id="9" name="图片 8">
          <a:extLst>
            <a:ext uri="{FF2B5EF4-FFF2-40B4-BE49-F238E27FC236}">
              <a16:creationId xmlns:a16="http://schemas.microsoft.com/office/drawing/2014/main" id="{B4E11A56-38FB-056B-F668-C74BF4492C91}"/>
            </a:ext>
          </a:extLst>
        </xdr:cNvPr>
        <xdr:cNvPicPr>
          <a:picLocks noChangeAspect="1"/>
        </xdr:cNvPicPr>
      </xdr:nvPicPr>
      <xdr:blipFill>
        <a:blip xmlns:r="http://schemas.openxmlformats.org/officeDocument/2006/relationships" r:embed="rId8"/>
        <a:stretch>
          <a:fillRect/>
        </a:stretch>
      </xdr:blipFill>
      <xdr:spPr>
        <a:xfrm>
          <a:off x="127000" y="29679900"/>
          <a:ext cx="6378834" cy="7078950"/>
        </a:xfrm>
        <a:prstGeom prst="rect">
          <a:avLst/>
        </a:prstGeom>
      </xdr:spPr>
    </xdr:pic>
    <xdr:clientData/>
  </xdr:twoCellAnchor>
  <xdr:twoCellAnchor editAs="oneCell">
    <xdr:from>
      <xdr:col>0</xdr:col>
      <xdr:colOff>25400</xdr:colOff>
      <xdr:row>207</xdr:row>
      <xdr:rowOff>44450</xdr:rowOff>
    </xdr:from>
    <xdr:to>
      <xdr:col>11</xdr:col>
      <xdr:colOff>125013</xdr:colOff>
      <xdr:row>253</xdr:row>
      <xdr:rowOff>58955</xdr:rowOff>
    </xdr:to>
    <xdr:pic>
      <xdr:nvPicPr>
        <xdr:cNvPr id="10" name="图片 9">
          <a:extLst>
            <a:ext uri="{FF2B5EF4-FFF2-40B4-BE49-F238E27FC236}">
              <a16:creationId xmlns:a16="http://schemas.microsoft.com/office/drawing/2014/main" id="{7EBE47AF-91B1-94A9-58DD-9E3CFB2F60D7}"/>
            </a:ext>
          </a:extLst>
        </xdr:cNvPr>
        <xdr:cNvPicPr>
          <a:picLocks noChangeAspect="1"/>
        </xdr:cNvPicPr>
      </xdr:nvPicPr>
      <xdr:blipFill>
        <a:blip xmlns:r="http://schemas.openxmlformats.org/officeDocument/2006/relationships" r:embed="rId9"/>
        <a:stretch>
          <a:fillRect/>
        </a:stretch>
      </xdr:blipFill>
      <xdr:spPr>
        <a:xfrm>
          <a:off x="25400" y="36849050"/>
          <a:ext cx="6805213" cy="8193305"/>
        </a:xfrm>
        <a:prstGeom prst="rect">
          <a:avLst/>
        </a:prstGeom>
      </xdr:spPr>
    </xdr:pic>
    <xdr:clientData/>
  </xdr:twoCellAnchor>
  <xdr:twoCellAnchor editAs="oneCell">
    <xdr:from>
      <xdr:col>11</xdr:col>
      <xdr:colOff>379276</xdr:colOff>
      <xdr:row>0</xdr:row>
      <xdr:rowOff>0</xdr:rowOff>
    </xdr:from>
    <xdr:to>
      <xdr:col>21</xdr:col>
      <xdr:colOff>400049</xdr:colOff>
      <xdr:row>29</xdr:row>
      <xdr:rowOff>72423</xdr:rowOff>
    </xdr:to>
    <xdr:pic>
      <xdr:nvPicPr>
        <xdr:cNvPr id="11" name="图片 10">
          <a:extLst>
            <a:ext uri="{FF2B5EF4-FFF2-40B4-BE49-F238E27FC236}">
              <a16:creationId xmlns:a16="http://schemas.microsoft.com/office/drawing/2014/main" id="{F3E54D8D-4C1A-A5CF-DF3F-FD8C618B0ABD}"/>
            </a:ext>
          </a:extLst>
        </xdr:cNvPr>
        <xdr:cNvPicPr>
          <a:picLocks noChangeAspect="1"/>
        </xdr:cNvPicPr>
      </xdr:nvPicPr>
      <xdr:blipFill>
        <a:blip xmlns:r="http://schemas.openxmlformats.org/officeDocument/2006/relationships" r:embed="rId10"/>
        <a:stretch>
          <a:fillRect/>
        </a:stretch>
      </xdr:blipFill>
      <xdr:spPr>
        <a:xfrm>
          <a:off x="7084876" y="0"/>
          <a:ext cx="6116773" cy="5228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196352</xdr:colOff>
      <xdr:row>6</xdr:row>
      <xdr:rowOff>165100</xdr:rowOff>
    </xdr:from>
    <xdr:to>
      <xdr:col>12</xdr:col>
      <xdr:colOff>11577</xdr:colOff>
      <xdr:row>48</xdr:row>
      <xdr:rowOff>132071</xdr:rowOff>
    </xdr:to>
    <xdr:pic>
      <xdr:nvPicPr>
        <xdr:cNvPr id="2" name="图片 1">
          <a:extLst>
            <a:ext uri="{FF2B5EF4-FFF2-40B4-BE49-F238E27FC236}">
              <a16:creationId xmlns:a16="http://schemas.microsoft.com/office/drawing/2014/main" id="{4C11C699-A5AC-7426-63A1-28E9D7855D79}"/>
            </a:ext>
          </a:extLst>
        </xdr:cNvPr>
        <xdr:cNvPicPr>
          <a:picLocks noChangeAspect="1"/>
        </xdr:cNvPicPr>
      </xdr:nvPicPr>
      <xdr:blipFill>
        <a:blip xmlns:r="http://schemas.openxmlformats.org/officeDocument/2006/relationships" r:embed="rId1"/>
        <a:stretch>
          <a:fillRect/>
        </a:stretch>
      </xdr:blipFill>
      <xdr:spPr>
        <a:xfrm>
          <a:off x="805952" y="1231900"/>
          <a:ext cx="6520825" cy="7434571"/>
        </a:xfrm>
        <a:prstGeom prst="rect">
          <a:avLst/>
        </a:prstGeom>
      </xdr:spPr>
    </xdr:pic>
    <xdr:clientData/>
  </xdr:twoCellAnchor>
  <xdr:twoCellAnchor editAs="oneCell">
    <xdr:from>
      <xdr:col>1</xdr:col>
      <xdr:colOff>70873</xdr:colOff>
      <xdr:row>48</xdr:row>
      <xdr:rowOff>114300</xdr:rowOff>
    </xdr:from>
    <xdr:to>
      <xdr:col>12</xdr:col>
      <xdr:colOff>519527</xdr:colOff>
      <xdr:row>94</xdr:row>
      <xdr:rowOff>49471</xdr:rowOff>
    </xdr:to>
    <xdr:pic>
      <xdr:nvPicPr>
        <xdr:cNvPr id="3" name="图片 2">
          <a:extLst>
            <a:ext uri="{FF2B5EF4-FFF2-40B4-BE49-F238E27FC236}">
              <a16:creationId xmlns:a16="http://schemas.microsoft.com/office/drawing/2014/main" id="{6155097A-DBFA-F89B-2F8E-96E99D25A0A0}"/>
            </a:ext>
          </a:extLst>
        </xdr:cNvPr>
        <xdr:cNvPicPr>
          <a:picLocks noChangeAspect="1"/>
        </xdr:cNvPicPr>
      </xdr:nvPicPr>
      <xdr:blipFill>
        <a:blip xmlns:r="http://schemas.openxmlformats.org/officeDocument/2006/relationships" r:embed="rId2"/>
        <a:stretch>
          <a:fillRect/>
        </a:stretch>
      </xdr:blipFill>
      <xdr:spPr>
        <a:xfrm>
          <a:off x="680473" y="8648700"/>
          <a:ext cx="7154254" cy="8113971"/>
        </a:xfrm>
        <a:prstGeom prst="rect">
          <a:avLst/>
        </a:prstGeom>
      </xdr:spPr>
    </xdr:pic>
    <xdr:clientData/>
  </xdr:twoCellAnchor>
  <xdr:twoCellAnchor editAs="oneCell">
    <xdr:from>
      <xdr:col>1</xdr:col>
      <xdr:colOff>13046</xdr:colOff>
      <xdr:row>94</xdr:row>
      <xdr:rowOff>165100</xdr:rowOff>
    </xdr:from>
    <xdr:to>
      <xdr:col>12</xdr:col>
      <xdr:colOff>84521</xdr:colOff>
      <xdr:row>140</xdr:row>
      <xdr:rowOff>90636</xdr:rowOff>
    </xdr:to>
    <xdr:pic>
      <xdr:nvPicPr>
        <xdr:cNvPr id="4" name="图片 3">
          <a:extLst>
            <a:ext uri="{FF2B5EF4-FFF2-40B4-BE49-F238E27FC236}">
              <a16:creationId xmlns:a16="http://schemas.microsoft.com/office/drawing/2014/main" id="{275EB2C3-24E7-F143-CAF2-49457566985E}"/>
            </a:ext>
          </a:extLst>
        </xdr:cNvPr>
        <xdr:cNvPicPr>
          <a:picLocks noChangeAspect="1"/>
        </xdr:cNvPicPr>
      </xdr:nvPicPr>
      <xdr:blipFill>
        <a:blip xmlns:r="http://schemas.openxmlformats.org/officeDocument/2006/relationships" r:embed="rId3"/>
        <a:stretch>
          <a:fillRect/>
        </a:stretch>
      </xdr:blipFill>
      <xdr:spPr>
        <a:xfrm>
          <a:off x="622646" y="16878300"/>
          <a:ext cx="6777075" cy="8104336"/>
        </a:xfrm>
        <a:prstGeom prst="rect">
          <a:avLst/>
        </a:prstGeom>
      </xdr:spPr>
    </xdr:pic>
    <xdr:clientData/>
  </xdr:twoCellAnchor>
  <xdr:twoCellAnchor editAs="oneCell">
    <xdr:from>
      <xdr:col>1</xdr:col>
      <xdr:colOff>95733</xdr:colOff>
      <xdr:row>141</xdr:row>
      <xdr:rowOff>0</xdr:rowOff>
    </xdr:from>
    <xdr:to>
      <xdr:col>11</xdr:col>
      <xdr:colOff>322683</xdr:colOff>
      <xdr:row>180</xdr:row>
      <xdr:rowOff>14593</xdr:rowOff>
    </xdr:to>
    <xdr:pic>
      <xdr:nvPicPr>
        <xdr:cNvPr id="5" name="图片 4">
          <a:extLst>
            <a:ext uri="{FF2B5EF4-FFF2-40B4-BE49-F238E27FC236}">
              <a16:creationId xmlns:a16="http://schemas.microsoft.com/office/drawing/2014/main" id="{7F61EA7B-6082-BDAC-C7C5-3AEBEFB57AE0}"/>
            </a:ext>
          </a:extLst>
        </xdr:cNvPr>
        <xdr:cNvPicPr>
          <a:picLocks noChangeAspect="1"/>
        </xdr:cNvPicPr>
      </xdr:nvPicPr>
      <xdr:blipFill>
        <a:blip xmlns:r="http://schemas.openxmlformats.org/officeDocument/2006/relationships" r:embed="rId4"/>
        <a:stretch>
          <a:fillRect/>
        </a:stretch>
      </xdr:blipFill>
      <xdr:spPr>
        <a:xfrm>
          <a:off x="705333" y="25069800"/>
          <a:ext cx="6322950" cy="6948793"/>
        </a:xfrm>
        <a:prstGeom prst="rect">
          <a:avLst/>
        </a:prstGeom>
      </xdr:spPr>
    </xdr:pic>
    <xdr:clientData/>
  </xdr:twoCellAnchor>
  <xdr:twoCellAnchor editAs="oneCell">
    <xdr:from>
      <xdr:col>1</xdr:col>
      <xdr:colOff>222250</xdr:colOff>
      <xdr:row>179</xdr:row>
      <xdr:rowOff>163400</xdr:rowOff>
    </xdr:from>
    <xdr:to>
      <xdr:col>10</xdr:col>
      <xdr:colOff>122663</xdr:colOff>
      <xdr:row>197</xdr:row>
      <xdr:rowOff>145363</xdr:rowOff>
    </xdr:to>
    <xdr:pic>
      <xdr:nvPicPr>
        <xdr:cNvPr id="6" name="图片 5">
          <a:extLst>
            <a:ext uri="{FF2B5EF4-FFF2-40B4-BE49-F238E27FC236}">
              <a16:creationId xmlns:a16="http://schemas.microsoft.com/office/drawing/2014/main" id="{344731C1-2594-821C-FEA0-409AE030D511}"/>
            </a:ext>
          </a:extLst>
        </xdr:cNvPr>
        <xdr:cNvPicPr>
          <a:picLocks noChangeAspect="1"/>
        </xdr:cNvPicPr>
      </xdr:nvPicPr>
      <xdr:blipFill>
        <a:blip xmlns:r="http://schemas.openxmlformats.org/officeDocument/2006/relationships" r:embed="rId5"/>
        <a:stretch>
          <a:fillRect/>
        </a:stretch>
      </xdr:blipFill>
      <xdr:spPr>
        <a:xfrm>
          <a:off x="831850" y="31989600"/>
          <a:ext cx="5386813" cy="31823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394127</xdr:colOff>
      <xdr:row>21</xdr:row>
      <xdr:rowOff>40214</xdr:rowOff>
    </xdr:to>
    <xdr:pic>
      <xdr:nvPicPr>
        <xdr:cNvPr id="2" name="图片 1">
          <a:extLst>
            <a:ext uri="{FF2B5EF4-FFF2-40B4-BE49-F238E27FC236}">
              <a16:creationId xmlns:a16="http://schemas.microsoft.com/office/drawing/2014/main" id="{4A6210C1-A23F-2C31-2091-721E598D572F}"/>
            </a:ext>
          </a:extLst>
        </xdr:cNvPr>
        <xdr:cNvPicPr>
          <a:picLocks noChangeAspect="1"/>
        </xdr:cNvPicPr>
      </xdr:nvPicPr>
      <xdr:blipFill>
        <a:blip xmlns:r="http://schemas.openxmlformats.org/officeDocument/2006/relationships" r:embed="rId1"/>
        <a:stretch>
          <a:fillRect/>
        </a:stretch>
      </xdr:blipFill>
      <xdr:spPr>
        <a:xfrm>
          <a:off x="0" y="0"/>
          <a:ext cx="8318927" cy="3774014"/>
        </a:xfrm>
        <a:prstGeom prst="rect">
          <a:avLst/>
        </a:prstGeom>
      </xdr:spPr>
    </xdr:pic>
    <xdr:clientData/>
  </xdr:twoCellAnchor>
  <xdr:twoCellAnchor editAs="oneCell">
    <xdr:from>
      <xdr:col>13</xdr:col>
      <xdr:colOff>303522</xdr:colOff>
      <xdr:row>0</xdr:row>
      <xdr:rowOff>0</xdr:rowOff>
    </xdr:from>
    <xdr:to>
      <xdr:col>25</xdr:col>
      <xdr:colOff>74613</xdr:colOff>
      <xdr:row>32</xdr:row>
      <xdr:rowOff>24121</xdr:rowOff>
    </xdr:to>
    <xdr:pic>
      <xdr:nvPicPr>
        <xdr:cNvPr id="3" name="图片 2">
          <a:extLst>
            <a:ext uri="{FF2B5EF4-FFF2-40B4-BE49-F238E27FC236}">
              <a16:creationId xmlns:a16="http://schemas.microsoft.com/office/drawing/2014/main" id="{5D00B61F-E843-B604-087F-F54D74A5E346}"/>
            </a:ext>
          </a:extLst>
        </xdr:cNvPr>
        <xdr:cNvPicPr>
          <a:picLocks noChangeAspect="1"/>
        </xdr:cNvPicPr>
      </xdr:nvPicPr>
      <xdr:blipFill>
        <a:blip xmlns:r="http://schemas.openxmlformats.org/officeDocument/2006/relationships" r:embed="rId2"/>
        <a:stretch>
          <a:fillRect/>
        </a:stretch>
      </xdr:blipFill>
      <xdr:spPr>
        <a:xfrm>
          <a:off x="8228322" y="0"/>
          <a:ext cx="7086291" cy="57137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357616</xdr:colOff>
      <xdr:row>29</xdr:row>
      <xdr:rowOff>128921</xdr:rowOff>
    </xdr:to>
    <xdr:pic>
      <xdr:nvPicPr>
        <xdr:cNvPr id="2" name="图片 1">
          <a:extLst>
            <a:ext uri="{FF2B5EF4-FFF2-40B4-BE49-F238E27FC236}">
              <a16:creationId xmlns:a16="http://schemas.microsoft.com/office/drawing/2014/main" id="{81DCD128-0BC8-44BB-DDF7-70C3C8A54D29}"/>
            </a:ext>
          </a:extLst>
        </xdr:cNvPr>
        <xdr:cNvPicPr>
          <a:picLocks noChangeAspect="1"/>
        </xdr:cNvPicPr>
      </xdr:nvPicPr>
      <xdr:blipFill>
        <a:blip xmlns:r="http://schemas.openxmlformats.org/officeDocument/2006/relationships" r:embed="rId1"/>
        <a:stretch>
          <a:fillRect/>
        </a:stretch>
      </xdr:blipFill>
      <xdr:spPr>
        <a:xfrm>
          <a:off x="0" y="0"/>
          <a:ext cx="10720816" cy="5285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北京市顺义区天承环路8号院27号楼6层603房地产抵押价值预评估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受贵公司委托，我公司对北京市顺义区天承环路8号院27号楼6层603房地产抵押价值进行了预评估。</v>
      </c>
    </row>
    <row r="7" spans="1:2">
      <c r="A7" s="1119" t="s">
        <v>566</v>
      </c>
      <c r="B7" s="1120" t="str">
        <f>'预评函-1'!A7</f>
        <v>估价对象为北京市顺义区天承环路8号院27号楼6层603房地产，为王淑红所有。根据《国有土地使用证》[]，估价对象（分摊）出让国有建设用地使用权面积为0平方米，建筑面积为106.39平方米。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2025年12月11日</v>
      </c>
    </row>
    <row r="13" spans="1:2">
      <c r="A13" s="1119" t="s">
        <v>529</v>
      </c>
      <c r="B13" s="1120"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118.9015</v>
      </c>
    </row>
    <row r="21" spans="1:2">
      <c r="A21" s="1119" t="s">
        <v>537</v>
      </c>
      <c r="B21" s="1120">
        <f ca="1">'预评函-2'!D7</f>
        <v>11176</v>
      </c>
    </row>
    <row r="22" spans="1:2">
      <c r="A22" s="1119" t="s">
        <v>538</v>
      </c>
      <c r="B22" s="1120" t="str">
        <f ca="1">'预评函-2'!D6</f>
        <v>壹佰壹拾捌万玖仟零壹拾伍元整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118.9015</v>
      </c>
    </row>
    <row r="31" spans="1:2">
      <c r="A31" s="1119" t="s">
        <v>576</v>
      </c>
      <c r="B31" s="1120">
        <f ca="1">'预评函-2'!D15</f>
        <v>11176</v>
      </c>
    </row>
    <row r="32" spans="1:2">
      <c r="A32" s="1119" t="s">
        <v>543</v>
      </c>
      <c r="B32" s="1120" t="str">
        <f ca="1">'预评函-2'!D14</f>
        <v>壹佰壹拾捌万玖仟零壹拾伍元整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北京市顺义区天承环路8号院27号楼6层603房地产</v>
      </c>
    </row>
    <row r="42" spans="1:2" ht="30">
      <c r="A42" s="1119" t="s">
        <v>590</v>
      </c>
      <c r="B42" s="1120" t="str">
        <f>'预评函-3'!B2</f>
        <v>建筑面积</v>
      </c>
    </row>
    <row r="43" spans="1:2">
      <c r="A43" s="1119" t="s">
        <v>591</v>
      </c>
      <c r="B43" s="1120">
        <f>'预评函-3'!B4</f>
        <v>106.39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6" t="s">
        <v>2580</v>
      </c>
      <c r="J2" s="3216"/>
      <c r="K2" s="3216"/>
      <c r="L2" s="3216"/>
      <c r="M2" s="3216"/>
      <c r="N2" s="3216"/>
      <c r="O2" s="3216"/>
      <c r="P2" s="3216"/>
      <c r="Q2" s="3216"/>
      <c r="R2" s="3216"/>
    </row>
    <row r="3" spans="1:18">
      <c r="A3" s="2761" t="s">
        <v>2501</v>
      </c>
      <c r="B3" s="2762">
        <f>项目基本情况!D3</f>
        <v>46002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1.02</v>
      </c>
      <c r="D5" s="2766">
        <f>IF(ISERROR(ROUND(POWER(1+E5,A5-C5)*(POWER(1+E5,C5)-1)/(POWER(1+E5,A5)-1),3)),0,ROUND(POWER(1+E5,A5-C5)*(POWER(1+E5,C5)-1)/(POWER(1+E5,A5)-1),4))</f>
        <v>4.9500000000000002E-2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11.03</v>
      </c>
      <c r="D6" s="2766">
        <f>IF(ISERROR(ROUND(POWER(1+E6,A6-C6)*(POWER(1+E6,C6)-1)/(POWER(1+E6,A6)-1),3)),0,ROUND(POWER(1+E6,A6-C6)*(POWER(1+E6,C6)-1)/(POWER(1+E6,A6)-1),4))</f>
        <v>0.40870000000000001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31.04</v>
      </c>
      <c r="D7" s="2766">
        <f>IF(ISERROR(ROUND(POWER(1+E7,A7-C7)*(POWER(1+E7,C7)-1)/(POWER(1+E7,A7)-1),3)),0,ROUND(POWER(1+E7,A7-C7)*(POWER(1+E7,C7)-1)/(POWER(1+E7,A7)-1),4))</f>
        <v>0.75229999999999997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2" sqref="F22"/>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北京市顺义区天承环路8号院27号楼6层603房地产抵押价值预评估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北京市顺义区天承环路8号院27号楼6层603房地产抵押价值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北京市顺义区天承环路8号院27号楼6层603房地产</v>
      </c>
      <c r="T2" s="1618"/>
      <c r="U2" s="1618"/>
      <c r="V2" s="1618"/>
      <c r="W2" s="1618"/>
      <c r="X2" s="1618"/>
      <c r="Y2" s="1618"/>
      <c r="Z2" s="1618"/>
      <c r="AA2" s="1618"/>
      <c r="AB2" s="1618"/>
    </row>
    <row r="3" spans="1:30" ht="13">
      <c r="A3" s="294" t="s">
        <v>2170</v>
      </c>
      <c r="B3" s="2185"/>
      <c r="C3" s="2186" t="s">
        <v>2171</v>
      </c>
      <c r="D3" s="2185">
        <v>46002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0"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1"/>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69" t="s">
        <v>3422</v>
      </c>
      <c r="G10" s="2443"/>
      <c r="H10" s="2444"/>
      <c r="I10" s="2445"/>
      <c r="J10" s="2244"/>
      <c r="K10" s="2401"/>
      <c r="L10" s="2398"/>
      <c r="M10" s="2398"/>
      <c r="N10" s="2244"/>
      <c r="O10" s="1670"/>
      <c r="P10" s="2244"/>
      <c r="Q10" s="2244"/>
      <c r="R10" s="2244"/>
    </row>
    <row r="11" spans="1:30" ht="13">
      <c r="A11" s="2212" t="s">
        <v>2181</v>
      </c>
      <c r="B11" s="2213" t="s">
        <v>3420</v>
      </c>
      <c r="C11" s="3168" t="s">
        <v>3421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59001</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35.61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27"/>
      <c r="C16" s="3228"/>
      <c r="D16" s="3229"/>
      <c r="E16" s="2221" t="s">
        <v>2194</v>
      </c>
      <c r="F16" s="3230"/>
      <c r="G16" s="3231"/>
      <c r="H16" s="3231"/>
      <c r="I16" s="3232"/>
      <c r="J16" s="2244"/>
      <c r="K16" s="2402"/>
      <c r="L16" s="1670"/>
      <c r="M16" s="1670"/>
      <c r="N16" s="2244"/>
      <c r="O16" s="1670"/>
      <c r="P16" s="2244"/>
      <c r="Q16" s="2244"/>
      <c r="R16" s="2244"/>
    </row>
    <row r="17" spans="1:28" ht="13">
      <c r="A17" s="305" t="s">
        <v>2195</v>
      </c>
      <c r="B17" s="294" t="s">
        <v>2196</v>
      </c>
      <c r="C17" s="8">
        <f>'数据-汇总表'!E3</f>
        <v>106.39</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3425</v>
      </c>
      <c r="D19" s="1456" t="s">
        <v>2204</v>
      </c>
      <c r="E19" s="1457" t="s">
        <v>3443</v>
      </c>
      <c r="F19" s="1458" t="str">
        <f>IF(AND(C19="是",E19="否"),"是否提供他项权证或相关说明","")</f>
        <v>是否提供他项权证或相关说明</v>
      </c>
      <c r="G19" s="1459" t="s">
        <v>3443</v>
      </c>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0"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1"/>
      <c r="B30" s="294" t="s">
        <v>2218</v>
      </c>
      <c r="C30" s="3242"/>
      <c r="D30" s="3243"/>
      <c r="E30" s="2441"/>
      <c r="F30" s="2441"/>
      <c r="G30" s="2441"/>
      <c r="H30" s="2441"/>
      <c r="I30" s="2441"/>
      <c r="J30" s="2244"/>
      <c r="K30" s="2401"/>
      <c r="L30" s="2398"/>
      <c r="M30" s="2398"/>
      <c r="N30" s="2244"/>
      <c r="O30" s="1670"/>
      <c r="P30" s="2244"/>
      <c r="Q30" s="2244"/>
      <c r="R30" s="2244"/>
      <c r="S30" s="2244"/>
      <c r="T30" s="2244"/>
      <c r="U30" s="2244"/>
      <c r="V30" s="2244"/>
    </row>
    <row r="31" spans="1:28">
      <c r="A31" s="3244"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9" t="s">
        <v>2228</v>
      </c>
      <c r="T34" s="315" t="str">
        <f>NUMBERSTRING(7-K34,1)&amp;"通"</f>
        <v>七通</v>
      </c>
      <c r="U34" s="2244"/>
      <c r="V34" s="2244"/>
    </row>
    <row r="35" spans="1:30">
      <c r="A35" s="2235"/>
      <c r="B35" s="3239" t="s">
        <v>2229</v>
      </c>
      <c r="C35" s="3239"/>
      <c r="D35" s="3239"/>
      <c r="E35" s="323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306</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2916</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106.39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106.39</v>
      </c>
      <c r="H5" s="13">
        <f t="shared" ref="H5:AT5" si="0">SUM(H13:H656)</f>
        <v>106.39</v>
      </c>
      <c r="I5" s="13">
        <f t="shared" si="0"/>
        <v>106.39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106.39</v>
      </c>
      <c r="BA5" s="15">
        <f t="shared" si="1"/>
        <v>106.39</v>
      </c>
      <c r="BB5" s="15">
        <f t="shared" si="1"/>
        <v>106.39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603</v>
      </c>
      <c r="D13" s="1513" t="s">
        <v>3425</v>
      </c>
      <c r="E13" s="13">
        <f>IF($C$3="是",ROUND($A$3*G13/$B$3,2),ROUND($A$3*(G13-AT13)/$B$3,2))</f>
        <v>0</v>
      </c>
      <c r="F13" s="29"/>
      <c r="G13" s="30">
        <f>H13+AC13+AT13</f>
        <v>106.39</v>
      </c>
      <c r="H13" s="17">
        <f>SUMIF(I$12:AB$12,"总值",I13:AB13)</f>
        <v>106.39</v>
      </c>
      <c r="I13" s="1514">
        <v>106.39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603</v>
      </c>
      <c r="AY13" s="1260">
        <f>ROUND($AY$6*AZ13/$AZ$5,2)</f>
        <v>0</v>
      </c>
      <c r="AZ13" s="13">
        <f>BA13+BL13</f>
        <v>106.39</v>
      </c>
      <c r="BA13" s="13">
        <f>SUM(BB13:BK13)</f>
        <v>106.39</v>
      </c>
      <c r="BB13" s="13">
        <f>IF($D13="是",I13-J13,0)</f>
        <v>106.39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5" t="s">
        <v>1131</v>
      </c>
      <c r="B2" s="3255"/>
      <c r="C2" s="3255"/>
      <c r="D2" s="748" t="s">
        <v>1107</v>
      </c>
      <c r="E2" s="1523" t="s">
        <v>1108</v>
      </c>
      <c r="F2" s="2438"/>
      <c r="G2" s="2431"/>
      <c r="H2" s="2432"/>
      <c r="I2" s="2146" t="s">
        <v>1132</v>
      </c>
      <c r="J2" s="2438"/>
      <c r="K2" s="2438"/>
      <c r="L2" s="2438"/>
      <c r="M2" s="2438"/>
      <c r="N2" s="2439"/>
      <c r="O2" s="2438"/>
      <c r="P2" s="2438"/>
    </row>
    <row r="3" spans="1:16" ht="14.5" thickBot="1">
      <c r="A3" s="3256" t="s">
        <v>1105</v>
      </c>
      <c r="B3" s="3256"/>
      <c r="C3" s="3256"/>
      <c r="D3" s="41">
        <f>'数据-基础表'!AY6</f>
        <v>0</v>
      </c>
      <c r="E3" s="41">
        <f>'数据-基础表'!AZ5</f>
        <v>106.39</v>
      </c>
      <c r="F3" s="2438"/>
      <c r="G3" s="42"/>
      <c r="H3" s="43" t="s">
        <v>1106</v>
      </c>
      <c r="I3" s="802" t="e">
        <f>ROUND('数据-基础表'!B3/'数据-基础表'!A3,2)</f>
        <v>#DIV/0!</v>
      </c>
      <c r="J3" s="2438"/>
      <c r="K3" s="2438"/>
      <c r="L3" s="2438"/>
      <c r="M3" s="2438"/>
      <c r="N3" s="2439"/>
      <c r="O3" s="2438"/>
      <c r="P3" s="2438"/>
    </row>
    <row r="4" spans="1:16">
      <c r="A4" s="3257"/>
      <c r="B4" s="3258"/>
      <c r="C4" s="325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0" t="s">
        <v>1110</v>
      </c>
      <c r="C5" s="326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0" t="s">
        <v>1111</v>
      </c>
      <c r="C6" s="3260"/>
      <c r="D6" s="43">
        <f>ROUND($D$3*E6/$E$3,2)</f>
        <v>0</v>
      </c>
      <c r="E6" s="44">
        <f>E3-E5</f>
        <v>106.39</v>
      </c>
      <c r="F6" s="2438"/>
      <c r="G6" s="1529" t="s">
        <v>1112</v>
      </c>
      <c r="H6" s="45" t="s">
        <v>1113</v>
      </c>
      <c r="I6" s="2434" t="e">
        <f>ROUND(F31/D31,2)</f>
        <v>#DIV/0!</v>
      </c>
      <c r="J6" s="2438"/>
      <c r="K6" s="2438"/>
      <c r="L6" s="2438"/>
      <c r="M6" s="2438"/>
      <c r="N6" s="2438"/>
      <c r="O6" s="2438"/>
      <c r="P6" s="2438"/>
    </row>
    <row r="7" spans="1:16" ht="14.5" thickBot="1">
      <c r="A7" s="3252"/>
      <c r="B7" s="3253"/>
      <c r="C7" s="3254"/>
      <c r="D7" s="1524" t="s">
        <v>1107</v>
      </c>
      <c r="E7" s="1528" t="s">
        <v>1114</v>
      </c>
      <c r="F7" s="2438"/>
      <c r="G7" s="2435" t="s">
        <v>1115</v>
      </c>
      <c r="H7" s="95"/>
      <c r="I7" s="2436">
        <v>2</v>
      </c>
      <c r="J7" s="3172" t="s">
        <v>3446</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106.39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106.39</v>
      </c>
      <c r="F16" s="2438"/>
      <c r="G16" s="2438"/>
      <c r="H16" s="1531" t="s">
        <v>1135</v>
      </c>
      <c r="I16" s="1532"/>
      <c r="J16" s="1071"/>
      <c r="K16" s="3249" t="s">
        <v>1135</v>
      </c>
      <c r="L16" s="3250"/>
      <c r="M16" s="3250"/>
      <c r="N16" s="3250"/>
      <c r="O16" s="3250"/>
      <c r="P16" s="3251"/>
    </row>
    <row r="17" spans="1:19">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v>603</v>
      </c>
      <c r="D19" s="43">
        <f>ROUND($D$3*E19/$E$3,2)</f>
        <v>0</v>
      </c>
      <c r="E19" s="51">
        <f t="shared" ref="E19:E26" si="1">SUM(F19:G19)</f>
        <v>106.39</v>
      </c>
      <c r="F19" s="2556">
        <f>'数据-基础表'!G13</f>
        <v>106.39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106.39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106.39</v>
      </c>
      <c r="F27" s="1072">
        <f>IF(SUM(F19:F26)=E8,SUM(F19:F26),"地上面积有误")</f>
        <v>106.39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106.39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106.39</v>
      </c>
      <c r="F31" s="644">
        <f>F27+F30</f>
        <v>106.39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5" activePane="bottomRight" state="frozen"/>
      <selection activeCell="C50" sqref="C50"/>
      <selection pane="topRight" activeCell="C50" sqref="C50"/>
      <selection pane="bottomLeft" activeCell="C50" sqref="C50"/>
      <selection pane="bottomRight" activeCell="N19" sqref="N19"/>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10.6328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46002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603</v>
      </c>
      <c r="B6" s="1587" t="str">
        <f>IF(A6=0,"","经营性")</f>
        <v>经营性</v>
      </c>
      <c r="C6" s="1588" t="s">
        <v>21</v>
      </c>
      <c r="D6" s="805">
        <f>SUMIF(项目基本情况!C$12:I$12,C6,项目基本情况!C$14:I$14)</f>
        <v>50</v>
      </c>
      <c r="E6" s="804">
        <f>IF(B6="","",SUMIF(项目基本情况!C$12:I$12,C6,项目基本情况!C$13:I$13))</f>
        <v>59001</v>
      </c>
      <c r="F6" s="61">
        <f>SUMIF(项目基本情况!C$12:I$12,C6,项目基本情况!C$15:I$15)</f>
        <v>35.61</v>
      </c>
      <c r="G6" s="62">
        <f>IF(ISERROR(ROUND(POWER(1+H6,D6-F6)*(POWER(1+H6,F6)-1)/(POWER(1+H6,D6)-1),3)),0,ROUND(POWER(1+H6,D6-F6)*(POWER(1+H6,F6)-1)/(POWER(1+H6,D6)-1),3))</f>
        <v>0.90300000000000002</v>
      </c>
      <c r="H6" s="691">
        <v>0.05</v>
      </c>
      <c r="I6" s="691">
        <v>5.5E-2</v>
      </c>
      <c r="J6" s="63">
        <v>7.0000000000000007E-2</v>
      </c>
      <c r="K6" s="970">
        <f>SUMIF('数据-汇总表'!C$19:C$33,A6,'数据-汇总表'!E$19:E$33)</f>
        <v>106.39</v>
      </c>
      <c r="L6" s="692">
        <v>3500</v>
      </c>
      <c r="M6" s="64">
        <f t="shared" ref="M6:M14" si="0">ROUND(K6*L6/10000,0)</f>
        <v>37</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4200</v>
      </c>
      <c r="V6" s="67">
        <v>1.4999999999999999E-2</v>
      </c>
      <c r="W6" s="67">
        <v>0.1</v>
      </c>
      <c r="X6" s="979"/>
      <c r="Y6" s="68">
        <f>N6</f>
        <v>0.82</v>
      </c>
      <c r="Z6" s="69"/>
      <c r="AA6" s="63"/>
      <c r="AB6" s="63"/>
      <c r="AC6" s="979"/>
      <c r="AD6" s="70"/>
      <c r="AE6" s="980">
        <f ca="1">IF(AN6="",0,SUMIF(INDIRECT("'"&amp;AN6&amp;"'"&amp;"!E:E"),$AE$5,INDIRECT("'"&amp;AN6&amp;"'"&amp;"!F:F")))</f>
        <v>35.61</v>
      </c>
      <c r="AF6" s="74"/>
      <c r="AG6" s="130">
        <f>IF(AF6="",0,AE6-AF6)</f>
        <v>0</v>
      </c>
      <c r="AH6" s="71">
        <v>1</v>
      </c>
      <c r="AI6" s="73">
        <v>12</v>
      </c>
      <c r="AJ6" s="74"/>
      <c r="AK6" s="75">
        <v>5.0000000000000001E-3</v>
      </c>
      <c r="AL6" s="76">
        <v>1E-3</v>
      </c>
      <c r="AM6" s="77">
        <v>0.01</v>
      </c>
      <c r="AN6" s="1589" t="s">
        <v>3429</v>
      </c>
      <c r="AO6" s="50">
        <f ca="1">SUMIF(INDIRECT("'"&amp;AN6&amp;"'"&amp;"!A:A"),"总价",INDIRECT("'"&amp;AN6&amp;"'"&amp;"!B:B"))</f>
        <v>74.087699999999998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0.90300000000000002</v>
      </c>
      <c r="H16" s="84">
        <f>ROUND(SUMPRODUCT(H6:H13,K6:K13)/SUMPRODUCT((H6:H13&gt;0)*(K6:K13)),3)</f>
        <v>0.05</v>
      </c>
      <c r="I16" s="85"/>
      <c r="J16" s="85"/>
      <c r="K16" s="86">
        <f>SUM(K6:K15)</f>
        <v>106.39</v>
      </c>
      <c r="L16" s="87">
        <f>ROUND(M16*10000/SUM(K6:K14),0)</f>
        <v>3478</v>
      </c>
      <c r="M16" s="87">
        <f>SUM(M6:M14)</f>
        <v>37</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71" t="s">
        <v>3438</v>
      </c>
      <c r="N18" s="2447">
        <v>2014</v>
      </c>
      <c r="O18" s="3171" t="s">
        <v>3439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170" t="s">
        <v>3427</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1" t="s">
        <v>2286</v>
      </c>
      <c r="B1" s="3262"/>
      <c r="C1" s="3262"/>
      <c r="D1" s="3262"/>
      <c r="E1" s="3262"/>
      <c r="F1" s="3262"/>
      <c r="G1" s="326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9" sqref="H9"/>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106.39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46002</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118.9015</v>
      </c>
      <c r="C5" s="2299">
        <f ca="1">IF(B5=D14,结果表!H102,ROUND(B5*10000/$B$1,0))</f>
        <v>11176</v>
      </c>
      <c r="D5" s="2299" t="e">
        <f ca="1">ROUND(B5*10000/$B$2,0)</f>
        <v>#DIV/0!</v>
      </c>
      <c r="E5" s="2460"/>
      <c r="F5" s="2461"/>
      <c r="G5" s="2461"/>
      <c r="H5" s="2461"/>
      <c r="I5" s="2461"/>
      <c r="J5" s="2461"/>
      <c r="K5" s="2461"/>
    </row>
    <row r="6" spans="1:11" ht="16.5">
      <c r="A6" s="2299" t="s">
        <v>656</v>
      </c>
      <c r="B6" s="2299">
        <f ca="1">SUM(G14:G23)</f>
        <v>118.9015</v>
      </c>
      <c r="C6" s="2299">
        <f ca="1">IF(B6=G14,结果表!H108,ROUND(B6*10000/$B$1,0))</f>
        <v>11176</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106.39</v>
      </c>
      <c r="C14" s="2305"/>
      <c r="D14" s="2305">
        <f ca="1">结果表!H118</f>
        <v>118.9015</v>
      </c>
      <c r="E14" s="2305">
        <f ca="1">结果表!I118</f>
        <v>11176</v>
      </c>
      <c r="F14" s="2305" t="e">
        <f ca="1">ROUND(D14*10000/C14,0)</f>
        <v>#DIV/0!</v>
      </c>
      <c r="G14" s="2305">
        <f ca="1">D14</f>
        <v>118.9015</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5"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603</v>
      </c>
      <c r="D1" s="646"/>
      <c r="E1" s="646"/>
      <c r="F1" s="1621" t="s">
        <v>1263</v>
      </c>
      <c r="G1" s="1453"/>
      <c r="H1" s="1621" t="str">
        <f>IF(G1="现房","——","估价对象范围")</f>
        <v>估价对象范围</v>
      </c>
      <c r="I1" s="1622"/>
    </row>
    <row r="2" spans="1:12" ht="21.75" customHeight="1" thickBot="1">
      <c r="A2" s="3330" t="str">
        <f>项目基本情况!S2</f>
        <v>北京市顺义区天承环路8号院27号楼6层603房地产</v>
      </c>
      <c r="B2" s="3331"/>
      <c r="C2" s="3331"/>
      <c r="D2" s="3331"/>
      <c r="E2" s="3331"/>
      <c r="F2" s="3331"/>
      <c r="G2" s="3331"/>
      <c r="H2" s="3331"/>
      <c r="I2" s="3332"/>
    </row>
    <row r="3" spans="1:12" ht="13">
      <c r="A3" s="3334" t="s">
        <v>1264</v>
      </c>
      <c r="B3" s="3335"/>
      <c r="C3" s="3335"/>
      <c r="D3" s="3335"/>
      <c r="E3" s="3335"/>
      <c r="F3" s="3335"/>
      <c r="G3" s="3335"/>
      <c r="H3" s="3335"/>
      <c r="I3" s="3335"/>
    </row>
    <row r="4" spans="1:12" ht="14">
      <c r="A4" s="1624" t="s">
        <v>1265</v>
      </c>
      <c r="B4" s="1625" t="s">
        <v>1266</v>
      </c>
      <c r="C4" s="1626" t="s">
        <v>3447</v>
      </c>
      <c r="D4" s="1626" t="s">
        <v>3429</v>
      </c>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8" t="s">
        <v>1268</v>
      </c>
      <c r="B5" s="3333">
        <v>25</v>
      </c>
      <c r="C5" s="3336"/>
      <c r="D5" s="3324"/>
      <c r="E5" s="123" t="s">
        <v>1269</v>
      </c>
      <c r="F5" s="1627"/>
      <c r="G5" s="1627"/>
      <c r="H5" s="1627"/>
      <c r="I5" s="1281"/>
    </row>
    <row r="6" spans="1:12" ht="13">
      <c r="A6" s="3278"/>
      <c r="B6" s="3333"/>
      <c r="C6" s="3338"/>
      <c r="D6" s="3324"/>
      <c r="E6" s="123" t="s">
        <v>1270</v>
      </c>
      <c r="F6" s="1627"/>
      <c r="G6" s="1627"/>
      <c r="H6" s="1627"/>
      <c r="I6" s="1281"/>
    </row>
    <row r="7" spans="1:12" ht="13">
      <c r="A7" s="3278"/>
      <c r="B7" s="3333"/>
      <c r="C7" s="3337"/>
      <c r="D7" s="3324"/>
      <c r="E7" s="123" t="s">
        <v>1271</v>
      </c>
      <c r="F7" s="1627"/>
      <c r="G7" s="1627"/>
      <c r="H7" s="1627"/>
      <c r="I7" s="1281"/>
    </row>
    <row r="8" spans="1:12" ht="13">
      <c r="A8" s="3278" t="s">
        <v>1272</v>
      </c>
      <c r="B8" s="3333">
        <v>15</v>
      </c>
      <c r="C8" s="3336"/>
      <c r="D8" s="3324"/>
      <c r="E8" s="123" t="s">
        <v>1273</v>
      </c>
      <c r="F8" s="1627"/>
      <c r="G8" s="1627"/>
      <c r="H8" s="1627"/>
      <c r="I8" s="1281"/>
    </row>
    <row r="9" spans="1:12" ht="13">
      <c r="A9" s="3278"/>
      <c r="B9" s="3333"/>
      <c r="C9" s="3337"/>
      <c r="D9" s="3324"/>
      <c r="E9" s="123" t="s">
        <v>1274</v>
      </c>
      <c r="F9" s="1627"/>
      <c r="G9" s="1627"/>
      <c r="H9" s="1627"/>
      <c r="I9" s="1281"/>
    </row>
    <row r="10" spans="1:12" ht="13">
      <c r="A10" s="3278" t="s">
        <v>1275</v>
      </c>
      <c r="B10" s="3333">
        <v>15</v>
      </c>
      <c r="C10" s="3336"/>
      <c r="D10" s="3324"/>
      <c r="E10" s="123" t="s">
        <v>1276</v>
      </c>
      <c r="F10" s="1627"/>
      <c r="G10" s="1627"/>
      <c r="H10" s="1627"/>
      <c r="I10" s="1281"/>
    </row>
    <row r="11" spans="1:12" ht="13">
      <c r="A11" s="3278"/>
      <c r="B11" s="3333"/>
      <c r="C11" s="3337"/>
      <c r="D11" s="3324"/>
      <c r="E11" s="123" t="s">
        <v>1277</v>
      </c>
      <c r="F11" s="1627"/>
      <c r="G11" s="1627"/>
      <c r="H11" s="1627"/>
      <c r="I11" s="1281"/>
    </row>
    <row r="12" spans="1:12" ht="13">
      <c r="A12" s="3278" t="s">
        <v>1278</v>
      </c>
      <c r="B12" s="3333">
        <v>15</v>
      </c>
      <c r="C12" s="3336"/>
      <c r="D12" s="3324"/>
      <c r="E12" s="123" t="s">
        <v>1279</v>
      </c>
      <c r="F12" s="1627"/>
      <c r="G12" s="1627"/>
      <c r="H12" s="1627"/>
      <c r="I12" s="1281"/>
    </row>
    <row r="13" spans="1:12" ht="13">
      <c r="A13" s="3278"/>
      <c r="B13" s="3333"/>
      <c r="C13" s="3337"/>
      <c r="D13" s="3324"/>
      <c r="E13" s="123" t="s">
        <v>1280</v>
      </c>
      <c r="F13" s="1627"/>
      <c r="G13" s="1627"/>
      <c r="H13" s="1627"/>
      <c r="I13" s="1281"/>
    </row>
    <row r="14" spans="1:12" ht="13">
      <c r="A14" s="3278" t="s">
        <v>1281</v>
      </c>
      <c r="B14" s="3333">
        <v>30</v>
      </c>
      <c r="C14" s="3336">
        <v>7</v>
      </c>
      <c r="D14" s="3324">
        <v>3</v>
      </c>
      <c r="E14" s="123" t="s">
        <v>1282</v>
      </c>
      <c r="F14" s="1627"/>
      <c r="G14" s="1627"/>
      <c r="H14" s="1627"/>
      <c r="I14" s="1281"/>
    </row>
    <row r="15" spans="1:12" ht="13">
      <c r="A15" s="3278"/>
      <c r="B15" s="3333"/>
      <c r="C15" s="3338"/>
      <c r="D15" s="3324"/>
      <c r="E15" s="123" t="s">
        <v>1283</v>
      </c>
      <c r="F15" s="1627"/>
      <c r="G15" s="1627"/>
      <c r="H15" s="1627"/>
      <c r="I15" s="1281"/>
    </row>
    <row r="16" spans="1:12" ht="13">
      <c r="A16" s="3278"/>
      <c r="B16" s="3333"/>
      <c r="C16" s="3337"/>
      <c r="D16" s="3324"/>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5" t="s">
        <v>2131</v>
      </c>
      <c r="F18" s="3356"/>
      <c r="G18" s="3356"/>
      <c r="H18" s="3356"/>
      <c r="I18" s="3356"/>
      <c r="K18" s="294" t="s">
        <v>1289</v>
      </c>
      <c r="L18" s="294">
        <f>IF(C1="",'数据-汇总表'!E3,SUMIF(项目类型,C1,'数据-汇总表'!E17:E26)+SUMIF(项目类型,C1,'数据-汇总表'!I17:I26))</f>
        <v>106.39</v>
      </c>
      <c r="M18" s="294">
        <f>IF(C1="",'数据-汇总表'!E3,SUMIF(项目类型,C1,'数据-汇总表'!E17:E26))</f>
        <v>106.39</v>
      </c>
    </row>
    <row r="19" spans="1:36" ht="14">
      <c r="A19" s="1630" t="s">
        <v>1290</v>
      </c>
      <c r="B19" s="1631" t="s">
        <v>1291</v>
      </c>
      <c r="C19" s="126">
        <f ca="1">SUMIF(INDIRECT("'"&amp;C4&amp;"'"&amp;"!A:A"),结果表!B19,INDIRECT("'"&amp;C4&amp;"'"&amp;"!B:B"))</f>
        <v>138.10489999999999</v>
      </c>
      <c r="D19" s="127">
        <f ca="1">SUMIF(INDIRECT("'"&amp;D4&amp;"'"&amp;"!A:A"),结果表!B19,INDIRECT("'"&amp;D4&amp;"'"&amp;"!B:B"))</f>
        <v>74.087699999999998</v>
      </c>
      <c r="E19" s="1630" t="s">
        <v>1292</v>
      </c>
      <c r="F19" s="1631" t="s">
        <v>1291</v>
      </c>
      <c r="G19" s="128">
        <f ca="1">ROUND(C19*$C$18+D19*$D$18,0)</f>
        <v>119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12981</v>
      </c>
      <c r="D20" s="130">
        <f ca="1">SUMIF(INDIRECT("'"&amp;D4&amp;"'"&amp;"!A:A"),结果表!B20,INDIRECT("'"&amp;D4&amp;"'"&amp;"!B:B"))</f>
        <v>6964</v>
      </c>
      <c r="E20" s="1633"/>
      <c r="F20" s="43" t="s">
        <v>1295</v>
      </c>
      <c r="G20" s="131">
        <f ca="1">ROUND(C20*$C$18+D20*$D$18,0)</f>
        <v>11176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0.86407325372497712</v>
      </c>
      <c r="E22" s="121"/>
      <c r="F22" s="121"/>
      <c r="G22" s="121"/>
      <c r="H22" s="121"/>
      <c r="I22" s="121"/>
    </row>
    <row r="23" spans="1:36" ht="13" thickBot="1">
      <c r="A23" s="646"/>
      <c r="B23" s="646"/>
      <c r="C23" s="646"/>
      <c r="D23" s="646"/>
      <c r="E23" s="121"/>
      <c r="F23" s="121"/>
      <c r="G23" s="121"/>
      <c r="H23" s="121"/>
      <c r="I23" s="121"/>
    </row>
    <row r="24" spans="1:36" ht="14">
      <c r="A24" s="3348" t="s">
        <v>1299</v>
      </c>
      <c r="B24" s="1631" t="s">
        <v>1291</v>
      </c>
      <c r="C24" s="128">
        <f>IF(B30=0,0,D30)</f>
        <v>0</v>
      </c>
      <c r="D24" s="1637"/>
      <c r="E24" s="121"/>
      <c r="F24" s="121"/>
      <c r="G24" s="121"/>
      <c r="H24" s="121"/>
      <c r="I24" s="121"/>
    </row>
    <row r="25" spans="1:36" ht="14">
      <c r="A25" s="33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11176</v>
      </c>
      <c r="D32" s="1641" t="s">
        <v>3448</v>
      </c>
      <c r="E32" s="121"/>
      <c r="F32" s="121"/>
      <c r="G32" s="121"/>
      <c r="H32" s="121"/>
      <c r="I32" s="121"/>
    </row>
    <row r="33" spans="1:15" ht="14">
      <c r="A33" s="740" t="s">
        <v>1306</v>
      </c>
      <c r="B33" s="123"/>
      <c r="C33" s="1642" t="s">
        <v>3449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5" t="s">
        <v>1312</v>
      </c>
      <c r="B36" s="1652" t="s">
        <v>1313</v>
      </c>
      <c r="C36" s="137"/>
      <c r="D36" s="1653"/>
      <c r="E36" s="1567"/>
      <c r="F36" s="1654"/>
      <c r="G36" s="121"/>
      <c r="H36" s="121"/>
      <c r="I36" s="121"/>
    </row>
    <row r="37" spans="1:15" ht="14.5" thickBot="1">
      <c r="A37" s="3326"/>
      <c r="B37" s="1555" t="s">
        <v>1314</v>
      </c>
      <c r="C37" s="139"/>
      <c r="D37" s="1071"/>
      <c r="E37" s="1071"/>
      <c r="F37" s="1654"/>
      <c r="G37" s="121"/>
      <c r="H37" s="121"/>
      <c r="I37" s="121"/>
    </row>
    <row r="38" spans="1:15" ht="14.5" thickBot="1">
      <c r="A38" s="332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5" t="s">
        <v>1326</v>
      </c>
      <c r="B45" s="3346"/>
      <c r="C45" s="3347"/>
      <c r="D45" s="147">
        <f ca="1">ROUND(H101*F45,0)</f>
        <v>119</v>
      </c>
      <c r="E45" s="148" t="s">
        <v>1327</v>
      </c>
      <c r="F45" s="149">
        <v>1</v>
      </c>
      <c r="G45" s="150" t="s">
        <v>1328</v>
      </c>
      <c r="H45" s="121"/>
      <c r="I45" s="121"/>
      <c r="J45" s="3265" t="s">
        <v>1329</v>
      </c>
      <c r="K45" s="3265"/>
      <c r="L45" s="3265"/>
      <c r="M45" s="3265"/>
      <c r="N45" s="3265"/>
      <c r="O45" s="3265"/>
    </row>
    <row r="46" spans="1:15" ht="14.25" customHeight="1">
      <c r="A46" s="3342" t="s">
        <v>1330</v>
      </c>
      <c r="B46" s="3343"/>
      <c r="C46" s="3343"/>
      <c r="D46" s="3343"/>
      <c r="E46" s="3343"/>
      <c r="F46" s="3343"/>
      <c r="G46" s="3344"/>
      <c r="H46" s="1668"/>
      <c r="I46" s="151"/>
      <c r="J46" s="2309">
        <v>1</v>
      </c>
      <c r="K46" s="3266" t="s">
        <v>1331</v>
      </c>
      <c r="L46" s="3266"/>
      <c r="M46" s="3267"/>
      <c r="N46" s="3267"/>
      <c r="O46" s="3267"/>
    </row>
    <row r="47" spans="1:15" ht="12" customHeight="1">
      <c r="A47" s="152" t="s">
        <v>1332</v>
      </c>
      <c r="B47" s="153"/>
      <c r="C47" s="154"/>
      <c r="D47" s="1024" t="s">
        <v>1333</v>
      </c>
      <c r="E47" s="294" t="s">
        <v>1334</v>
      </c>
      <c r="F47" s="155" t="s">
        <v>1335</v>
      </c>
      <c r="G47" s="2332" t="s">
        <v>1336</v>
      </c>
      <c r="H47" s="2333"/>
      <c r="I47" s="151"/>
      <c r="J47" s="2309">
        <v>2</v>
      </c>
      <c r="K47" s="3266" t="s">
        <v>1337</v>
      </c>
      <c r="L47" s="3266"/>
      <c r="M47" s="3268">
        <f>'数据-取费表'!B2</f>
        <v>46002</v>
      </c>
      <c r="N47" s="3268"/>
      <c r="O47" s="3268"/>
    </row>
    <row r="48" spans="1:15" ht="26">
      <c r="A48" s="3328" t="s">
        <v>1338</v>
      </c>
      <c r="B48" s="3329"/>
      <c r="C48" s="3329"/>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6" t="s">
        <v>1340</v>
      </c>
      <c r="L48" s="3266"/>
      <c r="M48" s="3269">
        <f ca="1">H101</f>
        <v>118.9015</v>
      </c>
      <c r="N48" s="3269"/>
      <c r="O48" s="3269"/>
    </row>
    <row r="49" spans="1:35" ht="25.5" customHeight="1">
      <c r="A49" s="2152" t="s">
        <v>1341</v>
      </c>
      <c r="B49" s="3314" t="s">
        <v>1342</v>
      </c>
      <c r="C49" s="3314"/>
      <c r="D49" s="1478">
        <v>0</v>
      </c>
      <c r="E49" s="316" t="s">
        <v>1343</v>
      </c>
      <c r="F49" s="2232" t="s">
        <v>28</v>
      </c>
      <c r="G49" s="3297"/>
      <c r="H49" s="2134" t="s">
        <v>2134</v>
      </c>
      <c r="I49" s="2135"/>
      <c r="J49" s="2309">
        <v>4</v>
      </c>
      <c r="K49" s="3266" t="str">
        <f>IF(项目基本情况!E8="房地产抵押价值","房地产抵押价值","抵押担保权已注销时的房地产抵押价值")</f>
        <v>房地产抵押价值</v>
      </c>
      <c r="L49" s="3266"/>
      <c r="M49" s="3269">
        <f ca="1">IF(项目基本情况!E8="房地产抵押价值",H107,H109)</f>
        <v>118.9015</v>
      </c>
      <c r="N49" s="3269"/>
      <c r="O49" s="3269"/>
    </row>
    <row r="50" spans="1:35" ht="25.5" customHeight="1">
      <c r="A50" s="2337"/>
      <c r="B50" s="3314" t="s">
        <v>1344</v>
      </c>
      <c r="C50" s="3314"/>
      <c r="D50" s="2189"/>
      <c r="E50" s="323"/>
      <c r="F50" s="2232"/>
      <c r="G50" s="3298"/>
      <c r="H50" s="2136" t="s">
        <v>2135</v>
      </c>
      <c r="I50" s="2135"/>
      <c r="J50" s="3265" t="s">
        <v>1345</v>
      </c>
      <c r="K50" s="3265"/>
      <c r="L50" s="3265"/>
      <c r="M50" s="3265"/>
      <c r="N50" s="3265"/>
      <c r="O50" s="3265"/>
    </row>
    <row r="51" spans="1:35" ht="20.5" customHeight="1">
      <c r="A51" s="2338"/>
      <c r="B51" s="3314" t="s">
        <v>1346</v>
      </c>
      <c r="C51" s="3314"/>
      <c r="D51" s="1024"/>
      <c r="E51" s="319"/>
      <c r="F51" s="2232"/>
      <c r="G51" s="3299"/>
      <c r="H51" s="2136" t="s">
        <v>2136</v>
      </c>
      <c r="I51" s="2135"/>
      <c r="J51" s="2310" t="s">
        <v>1347</v>
      </c>
      <c r="K51" s="3266" t="s">
        <v>1348</v>
      </c>
      <c r="L51" s="3266"/>
      <c r="M51" s="2310" t="s">
        <v>1349</v>
      </c>
      <c r="N51" s="2310" t="s">
        <v>1350</v>
      </c>
      <c r="O51" s="2310" t="s">
        <v>1351</v>
      </c>
    </row>
    <row r="52" spans="1:35" ht="24" customHeight="1">
      <c r="A52" s="2153" t="s">
        <v>1352</v>
      </c>
      <c r="B52" s="3314" t="s">
        <v>1353</v>
      </c>
      <c r="C52" s="3314"/>
      <c r="D52" s="1024">
        <f ca="1">ROUND(D45*'数据-取费表'!B41/(1+'数据-取费表'!C42),0)</f>
        <v>6</v>
      </c>
      <c r="E52" s="1256" t="s">
        <v>1354</v>
      </c>
      <c r="F52" s="2339">
        <f>'数据-取费表'!B41</f>
        <v>5.5000000000000007E-2</v>
      </c>
      <c r="G52" s="2340"/>
      <c r="H52" s="2330"/>
      <c r="I52" s="1669"/>
      <c r="J52" s="2309">
        <v>1</v>
      </c>
      <c r="K52" s="3291" t="s">
        <v>1355</v>
      </c>
      <c r="L52" s="3291"/>
      <c r="M52" s="2311" t="b">
        <f>D48</f>
        <v>0</v>
      </c>
      <c r="N52" s="2309" t="str">
        <f>E48</f>
        <v>销售额×税（费）率</v>
      </c>
      <c r="O52" s="2312">
        <f>F48</f>
        <v>5.5000000000000007E-2</v>
      </c>
    </row>
    <row r="53" spans="1:35" ht="12" customHeight="1">
      <c r="A53" s="2153" t="s">
        <v>1356</v>
      </c>
      <c r="B53" s="3315" t="s">
        <v>2291</v>
      </c>
      <c r="C53" s="3316"/>
      <c r="D53" s="1024">
        <f ca="1">ROUND(D45*'数据-取费表'!B41/(1+'数据-取费表'!C42),0)</f>
        <v>6</v>
      </c>
      <c r="E53" s="1256" t="s">
        <v>1354</v>
      </c>
      <c r="F53" s="2339">
        <f>'数据-取费表'!B41</f>
        <v>5.5000000000000007E-2</v>
      </c>
      <c r="G53" s="2340"/>
      <c r="H53" s="2330"/>
      <c r="I53" s="1669"/>
      <c r="J53" s="2309">
        <v>2</v>
      </c>
      <c r="K53" s="3291" t="s">
        <v>1357</v>
      </c>
      <c r="L53" s="3291"/>
      <c r="M53" s="2311">
        <f t="shared" ref="M53:O54" ca="1" si="0">D55</f>
        <v>0</v>
      </c>
      <c r="N53" s="2309" t="str">
        <f t="shared" si="0"/>
        <v>销售额×税（费）率</v>
      </c>
      <c r="O53" s="2312" t="str">
        <f t="shared" si="0"/>
        <v>免征</v>
      </c>
    </row>
    <row r="54" spans="1:35" ht="12" customHeight="1">
      <c r="A54" s="2153" t="s">
        <v>1358</v>
      </c>
      <c r="B54" s="3315" t="s">
        <v>2292</v>
      </c>
      <c r="C54" s="3316"/>
      <c r="D54" s="1024">
        <f ca="1">C68</f>
        <v>6</v>
      </c>
      <c r="E54" s="319" t="s">
        <v>1359</v>
      </c>
      <c r="F54" s="2339">
        <f>'数据-取费表'!B41</f>
        <v>5.5000000000000007E-2</v>
      </c>
      <c r="G54" s="2340"/>
      <c r="H54" s="2341"/>
      <c r="I54" s="1669"/>
      <c r="J54" s="2309">
        <v>3</v>
      </c>
      <c r="K54" s="3291" t="s">
        <v>1360</v>
      </c>
      <c r="L54" s="3291"/>
      <c r="M54" s="2311">
        <f t="shared" ca="1" si="0"/>
        <v>67</v>
      </c>
      <c r="N54" s="2309" t="str">
        <f t="shared" si="0"/>
        <v>增值额×税（费）率</v>
      </c>
      <c r="O54" s="2313" t="str">
        <f t="shared" si="0"/>
        <v>免征</v>
      </c>
    </row>
    <row r="55" spans="1:35" ht="24" customHeight="1">
      <c r="A55" s="3351" t="s">
        <v>1361</v>
      </c>
      <c r="B55" s="3329"/>
      <c r="C55" s="3329"/>
      <c r="D55" s="12">
        <f ca="1">IF(H55="个人住宅",0,ROUND(D45*I55,0))</f>
        <v>0</v>
      </c>
      <c r="E55" s="1256" t="s">
        <v>1362</v>
      </c>
      <c r="F55" s="2339" t="str">
        <f>IF(H55="正常",I55,"免征")</f>
        <v>免征</v>
      </c>
      <c r="G55" s="2340"/>
      <c r="H55" s="2336"/>
      <c r="I55" s="157">
        <f>'数据-取费表'!B49</f>
        <v>5.0000000000000001E-4</v>
      </c>
      <c r="J55" s="2309">
        <f>IF(H59="非个人房产","",4)</f>
        <v>4</v>
      </c>
      <c r="K55" s="3291" t="str">
        <f>IF(H59="非个人房产","——","个人所得税")</f>
        <v>个人所得税</v>
      </c>
      <c r="L55" s="3291"/>
      <c r="M55" s="2314">
        <f ca="1">D59</f>
        <v>1</v>
      </c>
      <c r="N55" s="1883" t="str">
        <f>E59</f>
        <v>差额计税</v>
      </c>
      <c r="O55" s="2315">
        <f>F59</f>
        <v>0.01</v>
      </c>
    </row>
    <row r="56" spans="1:35" ht="26">
      <c r="A56" s="3351" t="s">
        <v>1363</v>
      </c>
      <c r="B56" s="3329"/>
      <c r="C56" s="3329"/>
      <c r="D56" s="12">
        <f ca="1">IF(H56="个人住宅",D57,D58)</f>
        <v>67</v>
      </c>
      <c r="E56" s="1256" t="s">
        <v>1364</v>
      </c>
      <c r="F56" s="2339" t="str">
        <f>IF(H56="正常",F58,"免征")</f>
        <v>免征</v>
      </c>
      <c r="G56" s="2342" t="s">
        <v>1365</v>
      </c>
      <c r="H56" s="2343"/>
      <c r="I56" s="1670"/>
      <c r="J56" s="2309" t="str">
        <f>IF(项目基本情况!K6="上海银行",IF(J55="",4,J55+1),"")</f>
        <v/>
      </c>
      <c r="K56" s="3272" t="str">
        <f>IF(项目基本情况!K6="上海银行","其他处置费用","")</f>
        <v/>
      </c>
      <c r="L56" s="3273"/>
      <c r="M56" s="2311" t="str">
        <f>IF(项目基本情况!K6="上海银行",M69,"")</f>
        <v/>
      </c>
      <c r="N56" s="3272" t="str">
        <f>IF(项目基本情况!K6="上海银行","包含处置中涉及的律师、诉讼、拍卖、评估等费用","")</f>
        <v/>
      </c>
      <c r="O56" s="3275"/>
    </row>
    <row r="57" spans="1:35" ht="13">
      <c r="A57" s="2153" t="s">
        <v>1341</v>
      </c>
      <c r="B57" s="3315" t="s">
        <v>1366</v>
      </c>
      <c r="C57" s="3316"/>
      <c r="D57" s="1478">
        <v>0</v>
      </c>
      <c r="E57" s="316" t="s">
        <v>1343</v>
      </c>
      <c r="F57" s="294"/>
      <c r="G57" s="2340"/>
      <c r="H57" s="2344"/>
      <c r="I57" s="1670"/>
      <c r="J57" s="3291">
        <f>IF(AND(J55="",J56=""),4,IF(项目基本情况!K6="上海银行",结果表!J56+1,结果表!J55+1))</f>
        <v>5</v>
      </c>
      <c r="K57" s="3291" t="s">
        <v>1367</v>
      </c>
      <c r="L57" s="2316" t="s">
        <v>1368</v>
      </c>
      <c r="M57" s="2317"/>
      <c r="N57" s="2318">
        <f ca="1">SUMIF(M52:M56,"&lt;9e307")</f>
        <v>68</v>
      </c>
      <c r="O57" s="2319"/>
      <c r="P57" s="2463">
        <f ca="1">N57/M49</f>
        <v>0.57190195245644504</v>
      </c>
    </row>
    <row r="58" spans="1:35" ht="26">
      <c r="A58" s="2153" t="s">
        <v>1352</v>
      </c>
      <c r="B58" s="3315" t="s">
        <v>1369</v>
      </c>
      <c r="C58" s="3314"/>
      <c r="D58" s="12">
        <f ca="1">IF(H58="转让取得",C81,C97)</f>
        <v>67</v>
      </c>
      <c r="E58" s="1256" t="s">
        <v>1364</v>
      </c>
      <c r="F58" s="294" t="s">
        <v>28</v>
      </c>
      <c r="G58" s="2340"/>
      <c r="H58" s="2343"/>
      <c r="I58" s="1670"/>
      <c r="J58" s="3291"/>
      <c r="K58" s="3291"/>
      <c r="L58" s="2316" t="s">
        <v>1370</v>
      </c>
      <c r="M58" s="2320"/>
      <c r="N58" s="2321" t="str">
        <f ca="1">NUMBERSTRING(INT(N57*10000),2)&amp;"元整"</f>
        <v>陆拾捌万元整</v>
      </c>
      <c r="O58" s="2322"/>
    </row>
    <row r="59" spans="1:35" ht="26.5" thickBot="1">
      <c r="A59" s="3295" t="s">
        <v>1371</v>
      </c>
      <c r="B59" s="3296"/>
      <c r="C59" s="3296"/>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3">
        <f>J57+1</f>
        <v>6</v>
      </c>
      <c r="K59" s="3291" t="s">
        <v>1372</v>
      </c>
      <c r="L59" s="2309" t="s">
        <v>1368</v>
      </c>
      <c r="M59" s="2323"/>
      <c r="N59" s="2324">
        <f ca="1">M49-N57</f>
        <v>50.901499999999999</v>
      </c>
      <c r="O59" s="2325"/>
    </row>
    <row r="60" spans="1:35" ht="12" customHeight="1">
      <c r="A60" s="1671"/>
      <c r="B60" s="646"/>
      <c r="C60" s="646"/>
      <c r="D60" s="646"/>
      <c r="E60" s="1466"/>
      <c r="F60" s="1670"/>
      <c r="G60" s="1670"/>
      <c r="H60" s="151"/>
      <c r="I60" s="121"/>
      <c r="J60" s="3294"/>
      <c r="K60" s="3291"/>
      <c r="L60" s="2316" t="s">
        <v>1370</v>
      </c>
      <c r="M60" s="2320"/>
      <c r="N60" s="2321" t="str">
        <f ca="1">NUMBERSTRING(INT(N59*10000),2)&amp;"元整"</f>
        <v>伍拾万玖仟零壹拾伍元整</v>
      </c>
      <c r="O60" s="2322"/>
    </row>
    <row r="61" spans="1:35" ht="13.5" thickBot="1">
      <c r="A61" s="3350" t="s">
        <v>1373</v>
      </c>
      <c r="B61" s="3350"/>
      <c r="C61" s="3350"/>
      <c r="D61" s="3350"/>
      <c r="E61" s="3350"/>
      <c r="F61" s="1670"/>
      <c r="G61" s="1670"/>
      <c r="H61" s="151"/>
      <c r="I61" s="121"/>
      <c r="J61" s="2309">
        <f>J59+1</f>
        <v>7</v>
      </c>
      <c r="K61" s="3291" t="s">
        <v>1374</v>
      </c>
      <c r="L61" s="3291"/>
      <c r="M61" s="2326"/>
      <c r="N61" s="2327">
        <f ca="1">ROUND(N59*10000/'数据-汇总表'!E3,0)</f>
        <v>4784</v>
      </c>
      <c r="O61" s="2328"/>
    </row>
    <row r="62" spans="1:35" ht="13">
      <c r="A62" s="3310" t="s">
        <v>1375</v>
      </c>
      <c r="B62" s="3311"/>
      <c r="C62" s="1865"/>
      <c r="D62" s="1865" t="s">
        <v>1376</v>
      </c>
      <c r="E62" s="158" t="s">
        <v>1377</v>
      </c>
      <c r="F62" s="1670"/>
      <c r="G62" s="1670"/>
      <c r="H62" s="151"/>
      <c r="I62" s="121"/>
    </row>
    <row r="63" spans="1:35" ht="13">
      <c r="A63" s="165" t="s">
        <v>330</v>
      </c>
      <c r="B63" s="159" t="s">
        <v>1378</v>
      </c>
      <c r="C63" s="2349">
        <f ca="1">ROUND((C64+C65)/(1+'数据-取费表'!C42),0)</f>
        <v>113</v>
      </c>
      <c r="D63" s="159"/>
      <c r="E63" s="160"/>
      <c r="F63" s="1670"/>
      <c r="G63" s="1670"/>
      <c r="H63" s="151"/>
      <c r="I63" s="121"/>
      <c r="J63" s="3274" t="s">
        <v>1379</v>
      </c>
      <c r="K63" s="1245" t="s">
        <v>1380</v>
      </c>
      <c r="L63" s="1245">
        <f ca="1">IF(M49&gt;10000,M49*0.5%,IF(AND(M49&gt;1000,M49&lt;=10000),M49*1%,IF(AND(M49&gt;100,M49&lt;=1000),M49*3%,IF(AND(M49&gt;10,M49&lt;=100),M49*5%,M49*8%))))</f>
        <v>3.5670449999999998</v>
      </c>
      <c r="M63" s="294">
        <f ca="1">ROUND(L63,1)</f>
        <v>3.6</v>
      </c>
      <c r="N63" s="2329"/>
      <c r="Z63" s="1623"/>
      <c r="AI63" s="1561"/>
    </row>
    <row r="64" spans="1:35" ht="14.25" customHeight="1">
      <c r="A64" s="161" t="s">
        <v>325</v>
      </c>
      <c r="B64" s="162" t="s">
        <v>1381</v>
      </c>
      <c r="C64" s="2350">
        <f ca="1">D45</f>
        <v>119</v>
      </c>
      <c r="D64" s="162" t="s">
        <v>26</v>
      </c>
      <c r="E64" s="164"/>
      <c r="F64" s="1670"/>
      <c r="G64" s="1670"/>
      <c r="H64" s="151"/>
      <c r="I64" s="121"/>
      <c r="J64" s="3274"/>
      <c r="K64" s="1245" t="s">
        <v>1382</v>
      </c>
      <c r="L64" s="1245">
        <f ca="1">IF(M49&gt;2000,M49*0.5%,IF(AND(M49&gt;1000,M49&lt;=2000),M49*0.6%,IF(AND(M49&gt;500,M49&lt;=1000),M49*0.7%,IF(AND(M49&gt;200,M49&lt;=500),M49*0.8%,IF(AND(M49&gt;100,M49&lt;=200),M49*0.9%,IF(AND(M49&gt;50,M49&lt;=100),M49*1%,IF(AND(M49&gt;20,M49&lt;=50),M49*1.5%,IF(AND(M49&gt;10,M49&lt;=20),M49*2%,IF(AND(M49&gt;1,M49&lt;=10),M49*2.5%)))))))))</f>
        <v>1.0701135000000002</v>
      </c>
      <c r="M64" s="294">
        <f t="shared" ref="M64:M65" ca="1" si="1">ROUND(L64,1)</f>
        <v>1.1000000000000001</v>
      </c>
      <c r="N64" s="2330" t="s">
        <v>1383</v>
      </c>
      <c r="Z64" s="1623"/>
      <c r="AI64" s="1561"/>
    </row>
    <row r="65" spans="1:35" ht="14.25" customHeight="1">
      <c r="A65" s="161" t="s">
        <v>326</v>
      </c>
      <c r="B65" s="162" t="s">
        <v>1384</v>
      </c>
      <c r="C65" s="2351"/>
      <c r="D65" s="162"/>
      <c r="E65" s="164"/>
      <c r="F65" s="1670"/>
      <c r="G65" s="1670"/>
      <c r="H65" s="151"/>
      <c r="I65" s="121"/>
      <c r="J65" s="3274"/>
      <c r="K65" s="1245" t="s">
        <v>1385</v>
      </c>
      <c r="L65" s="1245">
        <f ca="1">IF(M49&gt;1000,M49*0.1%,IF(AND(M49&gt;500,M49&lt;=1000),M49*0.5%,IF(AND(M49&gt;50,M49&lt;=500),M49*1%,IF(AND(M49&gt;1,M49&lt;=50),M49*1.5%))))</f>
        <v>1.1890149999999999</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274"/>
      <c r="K66" s="1245" t="s">
        <v>1387</v>
      </c>
      <c r="L66" s="1245">
        <f ca="1">M49*0.5%</f>
        <v>0.59450749999999997</v>
      </c>
      <c r="M66" s="294">
        <f ca="1">IF(L66&gt;0.5,0.5,ROUND(L66,0))</f>
        <v>0.5</v>
      </c>
      <c r="N66" s="2330" t="s">
        <v>1388</v>
      </c>
      <c r="Z66" s="1623"/>
      <c r="AI66" s="1561"/>
    </row>
    <row r="67" spans="1:35" ht="14.25" customHeight="1">
      <c r="A67" s="165" t="s">
        <v>328</v>
      </c>
      <c r="B67" s="166" t="s">
        <v>1389</v>
      </c>
      <c r="C67" s="2353">
        <f ca="1">C63-C66</f>
        <v>113</v>
      </c>
      <c r="D67" s="162" t="s">
        <v>26</v>
      </c>
      <c r="E67" s="164"/>
      <c r="F67" s="1670"/>
      <c r="G67" s="1670"/>
      <c r="H67" s="151"/>
      <c r="I67" s="121"/>
      <c r="J67" s="3274"/>
      <c r="K67" s="1245" t="s">
        <v>1390</v>
      </c>
      <c r="L67" s="1245">
        <f ca="1">IF(M49&gt;=10000,(8.25+(M49-10000)*0.01%),IF(AND(M49&gt;=8000,M49&lt;10000),(7.85+(M49-8000)*0.02%),IF(AND(M49&gt;=5000,M49&lt;8000),(6.65+(M49-5000)*0.04%),IF(AND(M49&gt;=2000,M49&lt;5000),(4.25+(PM49-2000)*0.08%),IF(AND(M49&gt;=1000,M49&lt;2000),(2.75+(M49-1000)*0.15%),IF(AND(M49&gt;=100,M49&lt;1000),(0.5+(M49-100)*0.25%),IF(AND(M49&gt;0,M49&lt;100),M49*0.5%)))))))</f>
        <v>0.54725374999999998</v>
      </c>
      <c r="M67" s="294">
        <f ca="1">ROUND(L67*0.9,1)</f>
        <v>0.5</v>
      </c>
      <c r="N67" s="2329"/>
      <c r="Z67" s="1623"/>
      <c r="AI67" s="1561"/>
    </row>
    <row r="68" spans="1:35" ht="14.25" customHeight="1" thickBot="1">
      <c r="A68" s="168" t="s">
        <v>329</v>
      </c>
      <c r="B68" s="169" t="s">
        <v>1391</v>
      </c>
      <c r="C68" s="2354">
        <f ca="1">IF(C67&lt;=0,0,ROUND(C67*D68,0))</f>
        <v>6</v>
      </c>
      <c r="D68" s="2355">
        <f>'数据-取费表'!B41</f>
        <v>5.5000000000000007E-2</v>
      </c>
      <c r="E68" s="170"/>
      <c r="F68" s="1670"/>
      <c r="G68" s="1670"/>
      <c r="H68" s="151"/>
      <c r="I68" s="121"/>
      <c r="J68" s="3274"/>
      <c r="K68" s="1245" t="s">
        <v>1392</v>
      </c>
      <c r="L68" s="1245">
        <f ca="1">IF(M49&gt;10000,M49*0.5%,IF(AND(M49&gt;5000,M49&lt;=10000),M49*1%,IF(AND(M49&gt;1000,M49&lt;=5000),M49*2%,IF(AND(M49&gt;200,M49&lt;=1000),M49*3%,M49*5%))))</f>
        <v>5.9450750000000001</v>
      </c>
      <c r="M68" s="294">
        <f ca="1">ROUND(L68,1)</f>
        <v>5.9</v>
      </c>
      <c r="N68" s="2329"/>
      <c r="Z68" s="1623"/>
      <c r="AI68" s="1561"/>
    </row>
    <row r="69" spans="1:35" ht="16.5" customHeight="1">
      <c r="A69" s="1672"/>
      <c r="B69" s="1673"/>
      <c r="C69" s="1674"/>
      <c r="D69" s="1675"/>
      <c r="E69" s="1676"/>
      <c r="F69" s="1466"/>
      <c r="G69" s="1466"/>
      <c r="H69" s="1467"/>
      <c r="I69" s="646"/>
      <c r="J69" s="3274"/>
      <c r="K69" s="1245" t="s">
        <v>1393</v>
      </c>
      <c r="L69" s="1245"/>
      <c r="M69" s="294">
        <f ca="1">ROUND(SUM(M63:M68),0)</f>
        <v>13</v>
      </c>
      <c r="N69" s="2331">
        <f ca="1">M69/M49</f>
        <v>0.10933419679314391</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0" t="s">
        <v>1375</v>
      </c>
      <c r="B71" s="331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113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5" t="s">
        <v>1402</v>
      </c>
      <c r="F76" s="3314"/>
      <c r="G76" s="3314"/>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07" t="s">
        <v>1406</v>
      </c>
      <c r="F78" s="3308"/>
      <c r="G78" s="3308"/>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112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67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0" t="s">
        <v>1375</v>
      </c>
      <c r="B84" s="331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113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76" t="s">
        <v>2129</v>
      </c>
      <c r="H90" s="3277"/>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7" t="s">
        <v>1422</v>
      </c>
      <c r="F92" s="3308"/>
      <c r="G92" s="3308"/>
      <c r="H92" s="330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07" t="s">
        <v>1406</v>
      </c>
      <c r="F93" s="3308"/>
      <c r="G93" s="3308"/>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2" t="s">
        <v>1426</v>
      </c>
      <c r="F94" s="3353"/>
      <c r="G94" s="3353"/>
      <c r="H94" s="335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112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67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92"/>
      <c r="E100" s="3258" t="s">
        <v>1429</v>
      </c>
      <c r="F100" s="3258"/>
      <c r="G100" s="3258"/>
      <c r="H100" s="3292"/>
      <c r="I100" s="121"/>
    </row>
    <row r="101" spans="1:35" ht="18.75" customHeight="1">
      <c r="A101" s="3300" t="s">
        <v>1430</v>
      </c>
      <c r="B101" s="3301"/>
      <c r="C101" s="2370" t="str">
        <f>C4</f>
        <v>比较法-办公</v>
      </c>
      <c r="D101" s="2371" t="str">
        <f>D4</f>
        <v>收益法 (元)</v>
      </c>
      <c r="E101" s="3270" t="s">
        <v>1431</v>
      </c>
      <c r="F101" s="3271"/>
      <c r="G101" s="1687" t="s">
        <v>1432</v>
      </c>
      <c r="H101" s="2380">
        <f ca="1">H118</f>
        <v>118.9015</v>
      </c>
      <c r="I101" s="121"/>
    </row>
    <row r="102" spans="1:35" ht="18.75" customHeight="1">
      <c r="A102" s="3302" t="s">
        <v>1433</v>
      </c>
      <c r="B102" s="2369" t="s">
        <v>1432</v>
      </c>
      <c r="C102" s="2370">
        <f ca="1">IF(D32="楼面单价",ROUND(C19,0),C19)</f>
        <v>138</v>
      </c>
      <c r="D102" s="2371">
        <f ca="1">IF(D32="楼面单价",ROUND(D19,0),D19)</f>
        <v>74</v>
      </c>
      <c r="E102" s="3270"/>
      <c r="F102" s="3271"/>
      <c r="G102" s="1687" t="s">
        <v>1434</v>
      </c>
      <c r="H102" s="2340">
        <f ca="1">I118</f>
        <v>11176</v>
      </c>
      <c r="I102" s="121"/>
    </row>
    <row r="103" spans="1:35" ht="42.75" customHeight="1">
      <c r="A103" s="3302"/>
      <c r="B103" s="2369" t="s">
        <v>1434</v>
      </c>
      <c r="C103" s="2372">
        <f ca="1">C20</f>
        <v>12981</v>
      </c>
      <c r="D103" s="2373">
        <f ca="1">D20</f>
        <v>6964</v>
      </c>
      <c r="E103" s="3263" t="s">
        <v>1435</v>
      </c>
      <c r="F103" s="3264"/>
      <c r="G103" s="1688" t="s">
        <v>1436</v>
      </c>
      <c r="H103" s="2380">
        <f>IF(D36="正常操作",H104+H105+H106,H105+H106)</f>
        <v>0</v>
      </c>
      <c r="I103" s="121"/>
    </row>
    <row r="104" spans="1:35" ht="18.75" customHeight="1">
      <c r="A104" s="3302" t="s">
        <v>1437</v>
      </c>
      <c r="B104" s="2374" t="s">
        <v>1432</v>
      </c>
      <c r="C104" s="2375">
        <f ca="1">H118</f>
        <v>118.9015</v>
      </c>
      <c r="D104" s="2376"/>
      <c r="E104" s="1555" t="s">
        <v>1438</v>
      </c>
      <c r="F104" s="1548"/>
      <c r="G104" s="1688" t="s">
        <v>1436</v>
      </c>
      <c r="H104" s="2381">
        <f>IF(D36="同一抵押权人同一抵押物续贷",C36&amp;"（续贷，未扣减，详见特别提示）",C36)</f>
        <v>0</v>
      </c>
      <c r="I104" s="121"/>
    </row>
    <row r="105" spans="1:35" ht="18.75" customHeight="1" thickBot="1">
      <c r="A105" s="3312"/>
      <c r="B105" s="2377" t="s">
        <v>1434</v>
      </c>
      <c r="C105" s="2378">
        <f ca="1">I118</f>
        <v>11176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3" t="str">
        <f>IF(项目基本情况!E8="已注销","——","3.房地产抵押价值")</f>
        <v>3.房地产抵押价值</v>
      </c>
      <c r="F107" s="3271"/>
      <c r="G107" s="1687" t="s">
        <v>1432</v>
      </c>
      <c r="H107" s="2380">
        <f ca="1">IF(E107="——","——",H101-H103)</f>
        <v>118.9015</v>
      </c>
      <c r="I107" s="121"/>
    </row>
    <row r="108" spans="1:35" ht="18.75" customHeight="1">
      <c r="A108" s="121"/>
      <c r="B108" s="121"/>
      <c r="C108" s="121"/>
      <c r="D108" s="121"/>
      <c r="E108" s="3303"/>
      <c r="F108" s="3271"/>
      <c r="G108" s="1687" t="s">
        <v>1434</v>
      </c>
      <c r="H108" s="2340">
        <f ca="1">IF(H107=H101,H102,ROUND(H107*10000/'数据-汇总表'!E3,0))</f>
        <v>11176</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7" t="s">
        <v>1432</v>
      </c>
      <c r="H109" s="2383" t="str">
        <f>IF(E109="——","——",H101-H105-H106)</f>
        <v>——</v>
      </c>
      <c r="I109" s="121"/>
    </row>
    <row r="110" spans="1:35" ht="18.75" customHeight="1">
      <c r="A110" s="121"/>
      <c r="B110" s="121"/>
      <c r="C110" s="121"/>
      <c r="D110" s="121"/>
      <c r="E110" s="3303"/>
      <c r="F110" s="3271"/>
      <c r="G110" s="1687" t="s">
        <v>1434</v>
      </c>
      <c r="H110" s="2340"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90"/>
      <c r="G111" s="1687" t="s">
        <v>1432</v>
      </c>
      <c r="H111" s="2380" t="str">
        <f>IF(E111="——","——",N59)</f>
        <v>——</v>
      </c>
      <c r="I111" s="121"/>
    </row>
    <row r="112" spans="1:35" ht="18.75" customHeight="1" thickBot="1">
      <c r="A112" s="121"/>
      <c r="B112" s="121"/>
      <c r="C112" s="121"/>
      <c r="D112" s="121"/>
      <c r="E112" s="3305"/>
      <c r="F112" s="3306"/>
      <c r="G112" s="1690" t="s">
        <v>1434</v>
      </c>
      <c r="H112" s="2384"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50" t="s">
        <v>1449</v>
      </c>
      <c r="E117" s="2150" t="s">
        <v>1450</v>
      </c>
      <c r="F117" s="2150" t="s">
        <v>1449</v>
      </c>
      <c r="G117" s="2150" t="s">
        <v>1451</v>
      </c>
      <c r="H117" s="2150" t="s">
        <v>1449</v>
      </c>
      <c r="I117" s="2150" t="s">
        <v>1451</v>
      </c>
    </row>
    <row r="118" spans="1:27" ht="24.75" customHeight="1">
      <c r="A118" s="2385" t="str">
        <f>项目基本情况!S2</f>
        <v>北京市顺义区天承环路8号院27号楼6层603房地产</v>
      </c>
      <c r="B118" s="2150">
        <f>M18</f>
        <v>106.39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7">
        <f ca="1">ROUND(IF(D32="总价",C32,I118*B118/10000),4)</f>
        <v>118.9015</v>
      </c>
      <c r="I118" s="2150">
        <f ca="1">ROUND(IF(D32="楼面单价",C32,H118*10000/B118),0)</f>
        <v>11176</v>
      </c>
    </row>
    <row r="119" spans="1:27" ht="18.75" customHeight="1">
      <c r="A119" s="3278" t="s">
        <v>1452</v>
      </c>
      <c r="B119" s="3278"/>
      <c r="C119" s="3278"/>
      <c r="D119" s="3284" t="str">
        <f>NUMBERSTRING(INT(D118*10000),2)&amp;"元整"</f>
        <v>零元整</v>
      </c>
      <c r="E119" s="3285"/>
      <c r="F119" s="3284" t="str">
        <f>NUMBERSTRING(INT(F118*10000),2)&amp;"元整"</f>
        <v>零元整</v>
      </c>
      <c r="G119" s="3285"/>
      <c r="H119" s="3284" t="str">
        <f ca="1">NUMBERSTRING(INT(H118*10000),2)&amp;"元整"</f>
        <v>壹佰壹拾捌万玖仟零壹拾伍元整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4" t="s">
        <v>1452</v>
      </c>
      <c r="B121" s="3286"/>
      <c r="C121" s="3285"/>
      <c r="D121" s="3284" t="str">
        <f>IF(D120=0,"零元整",NUMBERSTRING(INT(D120*10000),2)&amp;"元整")</f>
        <v>零元整</v>
      </c>
      <c r="E121" s="3286"/>
      <c r="F121" s="3286"/>
      <c r="G121" s="3286"/>
      <c r="H121" s="3286"/>
      <c r="I121" s="3285"/>
      <c r="AA121" s="684"/>
    </row>
    <row r="122" spans="1:27" ht="18.75" customHeight="1">
      <c r="A122" s="3290" t="str">
        <f>IF(项目基本情况!B9="房地产市场价值","",MID(E107,3,LEN(E107)-2))</f>
        <v>房地产抵押价值</v>
      </c>
      <c r="B122" s="3290"/>
      <c r="C122" s="3290"/>
      <c r="D122" s="3279">
        <f ca="1">H107</f>
        <v>118.9015</v>
      </c>
      <c r="E122" s="3280"/>
      <c r="F122" s="3280"/>
      <c r="G122" s="3280"/>
      <c r="H122" s="3280"/>
      <c r="I122" s="3281"/>
      <c r="AA122" s="684"/>
    </row>
    <row r="123" spans="1:27" ht="18.75" customHeight="1">
      <c r="A123" s="3278" t="s">
        <v>1452</v>
      </c>
      <c r="B123" s="3278"/>
      <c r="C123" s="3278"/>
      <c r="D123" s="3284" t="str">
        <f ca="1">NUMBERSTRING(INT(D122*10000),2)&amp;"元整"</f>
        <v>壹佰壹拾捌万玖仟零壹拾伍元整</v>
      </c>
      <c r="E123" s="3286"/>
      <c r="F123" s="3286"/>
      <c r="G123" s="3286"/>
      <c r="H123" s="3286"/>
      <c r="I123" s="3285"/>
      <c r="AA123" s="684"/>
    </row>
    <row r="124" spans="1:27" ht="18.75" customHeight="1">
      <c r="A124" s="3290" t="str">
        <f>IF(项目基本情况!B9="房地产市场价值","",MID(E109,3,LEN(E109)-2))</f>
        <v/>
      </c>
      <c r="B124" s="3290"/>
      <c r="C124" s="3290"/>
      <c r="D124" s="3279" t="str">
        <f>H109</f>
        <v>——</v>
      </c>
      <c r="E124" s="3280"/>
      <c r="F124" s="3280"/>
      <c r="G124" s="3280"/>
      <c r="H124" s="3280"/>
      <c r="I124" s="3281"/>
      <c r="AA124" s="684"/>
    </row>
    <row r="125" spans="1:27" ht="18.75" customHeight="1">
      <c r="A125" s="3278" t="s">
        <v>1452</v>
      </c>
      <c r="B125" s="3278"/>
      <c r="C125" s="3278"/>
      <c r="D125" s="3284" t="e">
        <f>NUMBERSTRING(INT(D124*10000),2)&amp;"元整"</f>
        <v>#VALUE!</v>
      </c>
      <c r="E125" s="3286"/>
      <c r="F125" s="3286"/>
      <c r="G125" s="3286"/>
      <c r="H125" s="3286"/>
      <c r="I125" s="3285"/>
      <c r="AA125" s="684"/>
    </row>
    <row r="126" spans="1:27" ht="18.75" customHeight="1">
      <c r="A126" s="3290" t="str">
        <f>IF(项目基本情况!B9="房地产市场价值","",MID(E111,3,LEN(E111)-2))</f>
        <v/>
      </c>
      <c r="B126" s="3290"/>
      <c r="C126" s="3290"/>
      <c r="D126" s="3279" t="str">
        <f>H111</f>
        <v>——</v>
      </c>
      <c r="E126" s="3280"/>
      <c r="F126" s="3280"/>
      <c r="G126" s="3280"/>
      <c r="H126" s="3280"/>
      <c r="I126" s="3281"/>
      <c r="AA126" s="684"/>
    </row>
    <row r="127" spans="1:27" ht="18.75" customHeight="1">
      <c r="A127" s="3278" t="s">
        <v>1452</v>
      </c>
      <c r="B127" s="3278"/>
      <c r="C127" s="3278"/>
      <c r="D127" s="3284" t="e">
        <f>NUMBERSTRING(INT(D126*10000),2)&amp;"元整"</f>
        <v>#VALUE!</v>
      </c>
      <c r="E127" s="3286"/>
      <c r="F127" s="3286"/>
      <c r="G127" s="3286"/>
      <c r="H127" s="3286"/>
      <c r="I127" s="3285"/>
      <c r="AA127" s="684"/>
    </row>
    <row r="128" spans="1:27" ht="21.75" customHeight="1">
      <c r="A128" s="3287" t="s">
        <v>1453</v>
      </c>
      <c r="B128" s="3287"/>
      <c r="C128" s="3287"/>
      <c r="D128" s="3287"/>
      <c r="E128" s="3287"/>
      <c r="F128" s="3287"/>
      <c r="G128" s="3287"/>
      <c r="H128" s="3287"/>
      <c r="I128" s="328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MLEVOsPq/9vqDAuuP3nBWoRtpdfbArEl8rm9F8TS9a5gb6GikfI9bdLuawA9AZPyatSqtJ7FWVXh9S2tiRXCaQ==" saltValue="XVUT4IL4V7DsqO32PQv3n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4324</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106.39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106.39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37</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106.39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5.9999999999999995E-4</v>
      </c>
      <c r="D44" s="230"/>
      <c r="E44" s="230"/>
      <c r="F44" s="231"/>
      <c r="G44" s="3359"/>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54</v>
      </c>
      <c r="D49" s="224"/>
      <c r="E49" s="224"/>
      <c r="F49" s="256"/>
      <c r="G49" s="226" t="s">
        <v>1554</v>
      </c>
    </row>
    <row r="50" spans="1:7" s="250" customFormat="1" ht="26">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44</v>
      </c>
      <c r="D51" s="224"/>
      <c r="E51" s="224"/>
      <c r="F51" s="256"/>
      <c r="G51" s="226" t="s">
        <v>1560</v>
      </c>
    </row>
    <row r="52" spans="1:7" s="200" customFormat="1" ht="16.5" thickBot="1">
      <c r="A52" s="257" t="s">
        <v>1561</v>
      </c>
      <c r="B52" s="258"/>
      <c r="C52" s="259">
        <f ca="1">C31+C51</f>
        <v>46</v>
      </c>
      <c r="D52" s="258"/>
      <c r="E52" s="258"/>
      <c r="F52" s="258"/>
      <c r="G52" s="260"/>
    </row>
    <row r="55" spans="1:7" ht="15.5">
      <c r="B55" s="262" t="s">
        <v>1562</v>
      </c>
      <c r="C55" s="263"/>
    </row>
    <row r="56" spans="1:7" ht="13">
      <c r="B56" s="265" t="s">
        <v>802</v>
      </c>
      <c r="C56" s="267">
        <f ca="1">1-C57</f>
        <v>4.3000000000000038E-2</v>
      </c>
    </row>
    <row r="57" spans="1:7" ht="13">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北京市顺义区天承环路8号院27号楼6层603房地产抵押价值预评估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-188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106.39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106.39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106.39</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zoomScale="60" zoomScaleNormal="70" workbookViewId="0">
      <selection activeCell="K29" sqref="K29"/>
    </sheetView>
  </sheetViews>
  <sheetFormatPr defaultColWidth="9" defaultRowHeight="14"/>
  <cols>
    <col min="1" max="1" width="10.453125" style="347" customWidth="1"/>
    <col min="2" max="2" width="15.7265625" style="347" customWidth="1"/>
    <col min="3" max="3" width="18.81640625" style="347" customWidth="1"/>
    <col min="4" max="4" width="12.26953125" style="347" customWidth="1"/>
    <col min="5" max="5" width="19.1796875" style="347" customWidth="1"/>
    <col min="6" max="6" width="12.26953125" style="347" customWidth="1"/>
    <col min="7" max="7" width="21.90625" style="347" customWidth="1"/>
    <col min="8" max="8" width="12.26953125" style="347" customWidth="1"/>
    <col min="9" max="9" width="21.906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603</v>
      </c>
      <c r="E1" s="3130" t="s">
        <v>3463</v>
      </c>
      <c r="F1" s="1735" t="s">
        <v>3450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138.10489999999999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12981</v>
      </c>
      <c r="C3" s="344" t="s">
        <v>1768</v>
      </c>
      <c r="D3" s="343">
        <f>IF(D1="",'数据-汇总表'!E3,SUMIF('数据-汇总表'!$C19:$C33,D1,'数据-汇总表'!$E19:$E33))</f>
        <v>106.39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70" t="s">
        <v>1771</v>
      </c>
      <c r="S4" s="3371"/>
      <c r="T4" s="3370" t="s">
        <v>1772</v>
      </c>
      <c r="U4" s="3371"/>
      <c r="V4" s="3398" t="s">
        <v>1773</v>
      </c>
      <c r="W4" s="3398"/>
      <c r="X4" s="1809"/>
      <c r="Y4" s="3370" t="s">
        <v>1775</v>
      </c>
      <c r="Z4" s="3371"/>
      <c r="AA4" s="3365" t="s">
        <v>1771</v>
      </c>
      <c r="AB4" s="3365" t="s">
        <v>1772</v>
      </c>
      <c r="AC4" s="3383" t="s">
        <v>1773</v>
      </c>
    </row>
    <row r="5" spans="1:29" ht="14" customHeight="1">
      <c r="A5" s="348"/>
      <c r="B5" s="349"/>
      <c r="C5" s="3514" t="s">
        <v>3480</v>
      </c>
      <c r="D5" s="3515"/>
      <c r="E5" s="3514" t="s">
        <v>3480</v>
      </c>
      <c r="F5" s="3515"/>
      <c r="G5" s="3514" t="s">
        <v>3480</v>
      </c>
      <c r="H5" s="3515"/>
      <c r="I5" s="3514" t="s">
        <v>3480</v>
      </c>
      <c r="J5" s="3515"/>
      <c r="K5" s="537"/>
      <c r="L5" s="2485"/>
      <c r="M5" s="2486"/>
      <c r="N5" s="2486"/>
      <c r="O5" s="2486"/>
      <c r="P5" s="3392"/>
      <c r="Q5" s="3393"/>
      <c r="R5" s="3372"/>
      <c r="S5" s="3373"/>
      <c r="T5" s="3372"/>
      <c r="U5" s="3373"/>
      <c r="V5" s="3399"/>
      <c r="W5" s="3399"/>
      <c r="X5" s="1265"/>
      <c r="Y5" s="3372"/>
      <c r="Z5" s="3373"/>
      <c r="AA5" s="3366"/>
      <c r="AB5" s="3366"/>
      <c r="AC5" s="3384"/>
    </row>
    <row r="6" spans="1:29" ht="15" thickBot="1">
      <c r="A6" s="350"/>
      <c r="B6" s="351"/>
      <c r="C6" s="3378" t="s">
        <v>1677</v>
      </c>
      <c r="D6" s="3379"/>
      <c r="E6" s="3380" t="s">
        <v>1677</v>
      </c>
      <c r="F6" s="3381"/>
      <c r="G6" s="3378" t="s">
        <v>1677</v>
      </c>
      <c r="H6" s="3379"/>
      <c r="I6" s="3378" t="s">
        <v>1677</v>
      </c>
      <c r="J6" s="3379"/>
      <c r="K6" s="537" t="s">
        <v>1678</v>
      </c>
      <c r="L6" s="2485"/>
      <c r="M6" s="2486"/>
      <c r="N6" s="2486"/>
      <c r="O6" s="2486"/>
      <c r="P6" s="3394"/>
      <c r="Q6" s="3395"/>
      <c r="R6" s="3372"/>
      <c r="S6" s="3373"/>
      <c r="T6" s="3396"/>
      <c r="U6" s="3397"/>
      <c r="V6" s="3399"/>
      <c r="W6" s="3399"/>
      <c r="X6" s="1265"/>
      <c r="Y6" s="3396"/>
      <c r="Z6" s="3397"/>
      <c r="AA6" s="3367"/>
      <c r="AB6" s="3367"/>
      <c r="AC6" s="3385"/>
    </row>
    <row r="7" spans="1:29" s="102" customFormat="1" ht="14.5" thickBot="1">
      <c r="A7" s="352" t="s">
        <v>1679</v>
      </c>
      <c r="B7" s="353"/>
      <c r="C7" s="354">
        <f>'数据-取费表'!B2</f>
        <v>46002</v>
      </c>
      <c r="D7" s="355">
        <v>100</v>
      </c>
      <c r="E7" s="356">
        <f>C7</f>
        <v>46002</v>
      </c>
      <c r="F7" s="357">
        <f>SUMIF(59:59,YEAR(E7)&amp;"-"&amp;MONTH(E7),60:60)</f>
        <v>100</v>
      </c>
      <c r="G7" s="356">
        <f>C7</f>
        <v>46002</v>
      </c>
      <c r="H7" s="355">
        <f>SUMIF(59:59,YEAR(G7)&amp;"-"&amp;MONTH(G7),60:60)</f>
        <v>100</v>
      </c>
      <c r="I7" s="356">
        <f>C7</f>
        <v>46002</v>
      </c>
      <c r="J7" s="355">
        <f>SUMIF(59:59,YEAR(I7)&amp;"-"&amp;MONTH(I7),60:60)</f>
        <v>100</v>
      </c>
      <c r="K7" s="38"/>
      <c r="L7" s="2487"/>
      <c r="M7" s="2439"/>
      <c r="N7" s="2439"/>
      <c r="O7" s="2439"/>
      <c r="P7" s="3400" t="s">
        <v>1680</v>
      </c>
      <c r="Q7" s="3401"/>
      <c r="R7" s="664" t="s">
        <v>14</v>
      </c>
      <c r="S7" s="665">
        <f t="shared" ref="S7:S15" si="0">F7</f>
        <v>100</v>
      </c>
      <c r="T7" s="664" t="s">
        <v>14</v>
      </c>
      <c r="U7" s="665">
        <f t="shared" ref="U7:U15" si="1">H7</f>
        <v>100</v>
      </c>
      <c r="V7" s="664" t="s">
        <v>14</v>
      </c>
      <c r="W7" s="665">
        <f t="shared" ref="W7:W15" si="2">J7</f>
        <v>100</v>
      </c>
      <c r="X7" s="666"/>
      <c r="Y7" s="3368" t="s">
        <v>1680</v>
      </c>
      <c r="Z7" s="3369"/>
      <c r="AA7" s="50">
        <f>D7/F7</f>
        <v>1</v>
      </c>
      <c r="AB7" s="50">
        <f>D7/H7</f>
        <v>1</v>
      </c>
      <c r="AC7" s="802">
        <f>D7/J7</f>
        <v>1</v>
      </c>
    </row>
    <row r="8" spans="1:29" s="102" customFormat="1" ht="14.5" thickBot="1">
      <c r="A8" s="352" t="s">
        <v>1681</v>
      </c>
      <c r="B8" s="353"/>
      <c r="C8" s="358" t="s">
        <v>3462</v>
      </c>
      <c r="D8" s="355">
        <v>100</v>
      </c>
      <c r="E8" s="358" t="s">
        <v>3460</v>
      </c>
      <c r="F8" s="357">
        <f>SUMIF(62:62,E8,63:63)-SUMIF(62:62,C8,63:63)+100</f>
        <v>102</v>
      </c>
      <c r="G8" s="358" t="s">
        <v>3460</v>
      </c>
      <c r="H8" s="355">
        <f>SUMIF(62:62,G8,63:63)-SUMIF(62:62,C8,63:63)+100</f>
        <v>102</v>
      </c>
      <c r="I8" s="358" t="s">
        <v>3460</v>
      </c>
      <c r="J8" s="355">
        <f>SUMIF(62:62,I8,63:63)-SUMIF(62:62,C8,63:63)+100</f>
        <v>102</v>
      </c>
      <c r="K8" s="38"/>
      <c r="L8" s="2487"/>
      <c r="M8" s="2439"/>
      <c r="N8" s="2439"/>
      <c r="O8" s="2439"/>
      <c r="P8" s="3400" t="s">
        <v>1683</v>
      </c>
      <c r="Q8" s="3369"/>
      <c r="R8" s="664" t="s">
        <v>14</v>
      </c>
      <c r="S8" s="665">
        <f t="shared" si="0"/>
        <v>102</v>
      </c>
      <c r="T8" s="664" t="s">
        <v>14</v>
      </c>
      <c r="U8" s="665">
        <f t="shared" si="1"/>
        <v>102</v>
      </c>
      <c r="V8" s="664" t="s">
        <v>14</v>
      </c>
      <c r="W8" s="665">
        <f t="shared" si="2"/>
        <v>102</v>
      </c>
      <c r="X8" s="666"/>
      <c r="Y8" s="3368" t="s">
        <v>1683</v>
      </c>
      <c r="Z8" s="3369"/>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513" t="s">
        <v>3478</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802">
        <f t="shared" si="5"/>
        <v>1</v>
      </c>
    </row>
    <row r="10" spans="1:29" s="366" customFormat="1" ht="28">
      <c r="A10" s="363"/>
      <c r="B10" s="364" t="s">
        <v>1688</v>
      </c>
      <c r="C10" s="3131" t="s">
        <v>3479</v>
      </c>
      <c r="D10" s="119">
        <v>100</v>
      </c>
      <c r="E10" s="3131" t="s">
        <v>3479</v>
      </c>
      <c r="F10" s="119">
        <f>SUMIF(66:66,E10,67:67)-SUMIF(66:66,C10,67:67)+100</f>
        <v>100</v>
      </c>
      <c r="G10" s="3131" t="s">
        <v>3479</v>
      </c>
      <c r="H10" s="119">
        <f>SUMIF(66:66,G10,67:67)-SUMIF(66:66,C10,67:67)+100</f>
        <v>100</v>
      </c>
      <c r="I10" s="3131" t="s">
        <v>3479</v>
      </c>
      <c r="J10" s="119">
        <f>SUMIF(66:66,I10,67:67)-SUMIF(66:66,C10,67:67)+100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2"/>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2"/>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2"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5">
      <c r="A16" s="367"/>
      <c r="B16" s="555"/>
      <c r="C16" s="1758" t="s">
        <v>3435</v>
      </c>
      <c r="D16" s="387"/>
      <c r="E16" s="1758" t="s">
        <v>3435</v>
      </c>
      <c r="F16" s="387"/>
      <c r="G16" s="1758" t="s">
        <v>3435</v>
      </c>
      <c r="H16" s="389"/>
      <c r="I16" s="1758" t="s">
        <v>3435</v>
      </c>
      <c r="J16" s="387"/>
      <c r="K16" s="541"/>
      <c r="L16" s="2491"/>
      <c r="M16" s="2486"/>
      <c r="N16" s="2486"/>
      <c r="O16" s="2486"/>
      <c r="P16" s="3403"/>
      <c r="Q16" s="1263"/>
      <c r="R16" s="667"/>
      <c r="S16" s="668"/>
      <c r="T16" s="667"/>
      <c r="U16" s="668"/>
      <c r="V16" s="667"/>
      <c r="W16" s="668"/>
      <c r="X16" s="1265"/>
      <c r="Y16" s="3405"/>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5">
      <c r="A18" s="367"/>
      <c r="B18" s="401"/>
      <c r="C18" s="1814" t="s">
        <v>3435</v>
      </c>
      <c r="D18" s="389"/>
      <c r="E18" s="1814" t="s">
        <v>3435</v>
      </c>
      <c r="F18" s="389"/>
      <c r="G18" s="1814" t="s">
        <v>3435</v>
      </c>
      <c r="H18" s="387"/>
      <c r="I18" s="1814" t="s">
        <v>3435</v>
      </c>
      <c r="J18" s="387"/>
      <c r="K18" s="541"/>
      <c r="L18" s="2491"/>
      <c r="M18" s="2486"/>
      <c r="N18" s="2486"/>
      <c r="O18" s="2486"/>
      <c r="P18" s="3403"/>
      <c r="Q18" s="1263"/>
      <c r="R18" s="667"/>
      <c r="S18" s="668"/>
      <c r="T18" s="667"/>
      <c r="U18" s="668"/>
      <c r="V18" s="667"/>
      <c r="W18" s="668"/>
      <c r="X18" s="1265"/>
      <c r="Y18" s="3405"/>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3"/>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5">
      <c r="A20" s="367"/>
      <c r="B20" s="401"/>
      <c r="C20" s="1758" t="s">
        <v>3435</v>
      </c>
      <c r="D20" s="387"/>
      <c r="E20" s="1814" t="s">
        <v>3435</v>
      </c>
      <c r="F20" s="387"/>
      <c r="G20" s="1814" t="s">
        <v>3435</v>
      </c>
      <c r="H20" s="387"/>
      <c r="I20" s="1814" t="s">
        <v>3435</v>
      </c>
      <c r="J20" s="387"/>
      <c r="K20" s="541"/>
      <c r="L20" s="2491"/>
      <c r="M20" s="2486"/>
      <c r="N20" s="2486"/>
      <c r="O20" s="2486"/>
      <c r="P20" s="3403"/>
      <c r="Q20" s="1263"/>
      <c r="R20" s="667"/>
      <c r="S20" s="668"/>
      <c r="T20" s="667"/>
      <c r="U20" s="668"/>
      <c r="V20" s="667"/>
      <c r="W20" s="668"/>
      <c r="X20" s="1265"/>
      <c r="Y20" s="340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5">
      <c r="A22" s="367"/>
      <c r="B22" s="557"/>
      <c r="C22" s="1814" t="s">
        <v>3471</v>
      </c>
      <c r="D22" s="387"/>
      <c r="E22" s="1814" t="s">
        <v>3471</v>
      </c>
      <c r="F22" s="387"/>
      <c r="G22" s="1814" t="s">
        <v>3471</v>
      </c>
      <c r="H22" s="387"/>
      <c r="I22" s="1814" t="s">
        <v>3471</v>
      </c>
      <c r="J22" s="387"/>
      <c r="K22" s="1064"/>
      <c r="L22" s="2491"/>
      <c r="M22" s="2486"/>
      <c r="N22" s="2486"/>
      <c r="O22" s="2486"/>
      <c r="P22" s="3403"/>
      <c r="Q22" s="1263"/>
      <c r="R22" s="667"/>
      <c r="S22" s="668"/>
      <c r="T22" s="667"/>
      <c r="U22" s="668"/>
      <c r="V22" s="667"/>
      <c r="W22" s="668"/>
      <c r="X22" s="1265"/>
      <c r="Y22" s="3405"/>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3"/>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5">
      <c r="A24" s="367"/>
      <c r="B24" s="557"/>
      <c r="C24" s="1758" t="s">
        <v>3435</v>
      </c>
      <c r="D24" s="387"/>
      <c r="E24" s="1814" t="s">
        <v>3435</v>
      </c>
      <c r="F24" s="387"/>
      <c r="G24" s="1814" t="s">
        <v>3435</v>
      </c>
      <c r="H24" s="387"/>
      <c r="I24" s="1814" t="s">
        <v>3435</v>
      </c>
      <c r="J24" s="387"/>
      <c r="K24" s="541"/>
      <c r="L24" s="2491"/>
      <c r="M24" s="2486"/>
      <c r="N24" s="2486"/>
      <c r="O24" s="2486"/>
      <c r="P24" s="3403"/>
      <c r="Q24" s="1263"/>
      <c r="R24" s="667"/>
      <c r="S24" s="668"/>
      <c r="T24" s="667"/>
      <c r="U24" s="668"/>
      <c r="V24" s="667"/>
      <c r="W24" s="668"/>
      <c r="X24" s="1265"/>
      <c r="Y24" s="340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3"/>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3"/>
      <c r="Q26" s="1263"/>
      <c r="R26" s="667"/>
      <c r="S26" s="668"/>
      <c r="T26" s="667"/>
      <c r="U26" s="668"/>
      <c r="V26" s="667"/>
      <c r="W26" s="668"/>
      <c r="X26" s="1265"/>
      <c r="Y26" s="3405"/>
      <c r="Z26" s="1264"/>
      <c r="AA26" s="1264">
        <v>1</v>
      </c>
      <c r="AB26" s="1264">
        <v>1</v>
      </c>
      <c r="AC26" s="1812">
        <v>1</v>
      </c>
    </row>
    <row r="27" spans="1:29" ht="15.5">
      <c r="A27" s="367"/>
      <c r="B27" s="401" t="s">
        <v>1783</v>
      </c>
      <c r="C27" s="558" t="s">
        <v>3456</v>
      </c>
      <c r="D27" s="374">
        <v>100</v>
      </c>
      <c r="E27" s="542" t="s">
        <v>3456</v>
      </c>
      <c r="F27" s="374">
        <f>SUMIF(89:89,E27,90:90)-SUMIF(89:89,C27,90:90)+100</f>
        <v>100</v>
      </c>
      <c r="G27" s="558" t="s">
        <v>3454</v>
      </c>
      <c r="H27" s="374">
        <f>SUMIF(89:89,G27,90:90)-SUMIF(89:89,C27,90:90)+100</f>
        <v>101</v>
      </c>
      <c r="I27" s="542" t="s">
        <v>3458</v>
      </c>
      <c r="J27" s="374">
        <f>SUMIF(89:89,I27,90:90)-SUMIF(89:89,C27,90:90)+100</f>
        <v>99</v>
      </c>
      <c r="K27" s="538">
        <v>1</v>
      </c>
      <c r="L27" s="2491"/>
      <c r="M27" s="2486"/>
      <c r="N27" s="2486"/>
      <c r="O27" s="2486"/>
      <c r="P27" s="3403"/>
      <c r="Q27" s="1263" t="str">
        <f t="shared" ref="Q27:Q47" si="11">B27</f>
        <v>楼层</v>
      </c>
      <c r="R27" s="667" t="s">
        <v>14</v>
      </c>
      <c r="S27" s="668">
        <f>F27</f>
        <v>100</v>
      </c>
      <c r="T27" s="667" t="s">
        <v>14</v>
      </c>
      <c r="U27" s="668">
        <f>H27</f>
        <v>101</v>
      </c>
      <c r="V27" s="667" t="s">
        <v>14</v>
      </c>
      <c r="W27" s="668">
        <f>J27</f>
        <v>99</v>
      </c>
      <c r="X27" s="1265"/>
      <c r="Y27" s="3405"/>
      <c r="Z27" s="1264" t="str">
        <f>Q27</f>
        <v>楼层</v>
      </c>
      <c r="AA27" s="1264">
        <f t="shared" si="3"/>
        <v>1</v>
      </c>
      <c r="AB27" s="1264">
        <f t="shared" si="4"/>
        <v>0.99009900990099009</v>
      </c>
      <c r="AC27" s="1812">
        <f t="shared" si="5"/>
        <v>1.0101010101010102</v>
      </c>
    </row>
    <row r="28" spans="1:29" s="102" customFormat="1" ht="15.5">
      <c r="A28" s="370"/>
      <c r="B28" s="556" t="s">
        <v>1816</v>
      </c>
      <c r="C28" s="1815" t="s">
        <v>3483</v>
      </c>
      <c r="D28" s="401">
        <v>100</v>
      </c>
      <c r="E28" s="1815" t="s">
        <v>3483</v>
      </c>
      <c r="F28" s="401">
        <f>SUMIF(91:91,E28,92:92)-SUMIF(91:91,C28,92:92)+100</f>
        <v>100</v>
      </c>
      <c r="G28" s="1815" t="s">
        <v>3483</v>
      </c>
      <c r="H28" s="401">
        <f>SUMIF(91:91,G28,92:92)-SUMIF(91:91,C28,92:92)+100</f>
        <v>100</v>
      </c>
      <c r="I28" s="1815" t="s">
        <v>3483</v>
      </c>
      <c r="J28" s="401">
        <f>SUMIF(91:91,I28,92:92)-SUMIF(91:91,C28,92:92)+100</f>
        <v>100</v>
      </c>
      <c r="K28" s="538">
        <v>0.5</v>
      </c>
      <c r="L28" s="2487"/>
      <c r="M28" s="2439"/>
      <c r="N28" s="2439"/>
      <c r="O28" s="2439"/>
      <c r="P28" s="3403"/>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3"/>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5">
      <c r="A33" s="379" t="s">
        <v>1694</v>
      </c>
      <c r="B33" s="60" t="s">
        <v>1817</v>
      </c>
      <c r="C33" s="1764" t="s">
        <v>3481</v>
      </c>
      <c r="D33" s="405">
        <v>100</v>
      </c>
      <c r="E33" s="1764" t="s">
        <v>3481</v>
      </c>
      <c r="F33" s="400">
        <f>SUMIF(101:101,E33,102:102)-SUMIF(101:101,C33,102:102)+100</f>
        <v>100</v>
      </c>
      <c r="G33" s="1764" t="s">
        <v>3481</v>
      </c>
      <c r="H33" s="374">
        <f>SUMIF(101:101,G33,102:102)-SUMIF(101:101,C33,102:102)+100</f>
        <v>100</v>
      </c>
      <c r="I33" s="1764" t="s">
        <v>3481</v>
      </c>
      <c r="J33" s="405">
        <f>SUMIF(101:101,I33,102:102)-SUMIF(101:101,C33,102:102)+100</f>
        <v>100</v>
      </c>
      <c r="K33" s="538">
        <v>2</v>
      </c>
      <c r="L33" s="2491"/>
      <c r="M33" s="2486"/>
      <c r="N33" s="2486"/>
      <c r="O33" s="2486"/>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106.39</v>
      </c>
      <c r="D34" s="119">
        <v>100</v>
      </c>
      <c r="E34" s="369">
        <v>104.29</v>
      </c>
      <c r="F34" s="364">
        <f>LOOKUP(E34,104:104,105:105)-LOOKUP(C34,104:104,105:105)+100</f>
        <v>100</v>
      </c>
      <c r="G34" s="368">
        <v>106.39</v>
      </c>
      <c r="H34" s="119">
        <f>LOOKUP(G34,104:104,105:105)-LOOKUP(C34,104:104,105:105)+100</f>
        <v>100</v>
      </c>
      <c r="I34" s="368">
        <v>104.95</v>
      </c>
      <c r="J34" s="119">
        <f>LOOKUP(I34,104:104,105:105)-LOOKUP(C34,104:104,105:105)+100</f>
        <v>100</v>
      </c>
      <c r="K34" s="539"/>
      <c r="L34" s="2490"/>
      <c r="M34" s="2492"/>
      <c r="N34" s="2492"/>
      <c r="O34" s="2492"/>
      <c r="P34" s="3407"/>
      <c r="Q34" s="531" t="str">
        <f t="shared" si="11"/>
        <v>项目建筑规模</v>
      </c>
      <c r="R34" s="669" t="s">
        <v>14</v>
      </c>
      <c r="S34" s="670">
        <f t="shared" si="12"/>
        <v>100</v>
      </c>
      <c r="T34" s="669" t="s">
        <v>14</v>
      </c>
      <c r="U34" s="670">
        <f t="shared" si="13"/>
        <v>100</v>
      </c>
      <c r="V34" s="669" t="s">
        <v>14</v>
      </c>
      <c r="W34" s="670">
        <f t="shared" si="14"/>
        <v>100</v>
      </c>
      <c r="X34" s="671"/>
      <c r="Y34" s="3409"/>
      <c r="Z34" s="672" t="str">
        <f t="shared" si="15"/>
        <v>项目建筑规模</v>
      </c>
      <c r="AA34" s="1264">
        <f t="shared" si="3"/>
        <v>1</v>
      </c>
      <c r="AB34" s="1264">
        <f t="shared" si="4"/>
        <v>1</v>
      </c>
      <c r="AC34" s="1812">
        <f t="shared" si="5"/>
        <v>1</v>
      </c>
    </row>
    <row r="35" spans="1:29" ht="15.5">
      <c r="A35" s="409"/>
      <c r="B35" s="364" t="s">
        <v>1698</v>
      </c>
      <c r="C35" s="399" t="s">
        <v>3441</v>
      </c>
      <c r="D35" s="374">
        <v>100</v>
      </c>
      <c r="E35" s="399" t="s">
        <v>3441</v>
      </c>
      <c r="F35" s="400">
        <f>SUMIF(106:106,E35,107:107)-SUMIF(106:106,C35,107:107)+100</f>
        <v>100</v>
      </c>
      <c r="G35" s="399" t="s">
        <v>3441</v>
      </c>
      <c r="H35" s="374">
        <f>SUMIF(106:106,G35,107:107)-SUMIF(106:106,C35,107:107)+100</f>
        <v>100</v>
      </c>
      <c r="I35" s="399" t="s">
        <v>3441</v>
      </c>
      <c r="J35" s="374">
        <f>SUMIF(106:106,I35,107:107)-SUMIF(106:106,C35,107:107)+100</f>
        <v>100</v>
      </c>
      <c r="K35" s="538">
        <v>2</v>
      </c>
      <c r="L35" s="2491"/>
      <c r="M35" s="2486"/>
      <c r="N35" s="2486"/>
      <c r="O35" s="2486"/>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5">
      <c r="A36" s="409"/>
      <c r="B36" s="364" t="s">
        <v>1785</v>
      </c>
      <c r="C36" s="399" t="s">
        <v>3464</v>
      </c>
      <c r="D36" s="374">
        <v>100</v>
      </c>
      <c r="E36" s="399" t="s">
        <v>3464</v>
      </c>
      <c r="F36" s="400">
        <f>SUMIF(108:108,E36,109:109)-SUMIF(108:108,C36,109:109)+100</f>
        <v>100</v>
      </c>
      <c r="G36" s="399" t="s">
        <v>3464</v>
      </c>
      <c r="H36" s="374">
        <f>SUMIF(108:108,G36,109:109)-SUMIF(108:108,C36,109:109)+100</f>
        <v>100</v>
      </c>
      <c r="I36" s="399" t="s">
        <v>3464</v>
      </c>
      <c r="J36" s="374">
        <f>SUMIF(108:108,I36,109:109)-SUMIF(108:108,C36,109:109)+100</f>
        <v>100</v>
      </c>
      <c r="K36" s="538">
        <v>2</v>
      </c>
      <c r="L36" s="2491"/>
      <c r="M36" s="2486"/>
      <c r="N36" s="2486"/>
      <c r="O36" s="2486"/>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407"/>
      <c r="Q37" s="1263" t="str">
        <f t="shared" si="11"/>
        <v>成新度</v>
      </c>
      <c r="R37" s="667" t="s">
        <v>14</v>
      </c>
      <c r="S37" s="668">
        <f t="shared" si="12"/>
        <v>100</v>
      </c>
      <c r="T37" s="667" t="s">
        <v>14</v>
      </c>
      <c r="U37" s="668">
        <f t="shared" si="13"/>
        <v>100</v>
      </c>
      <c r="V37" s="667" t="s">
        <v>14</v>
      </c>
      <c r="W37" s="668">
        <f t="shared" si="14"/>
        <v>100</v>
      </c>
      <c r="X37" s="1265"/>
      <c r="Y37" s="3409"/>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5">
      <c r="A40" s="409"/>
      <c r="B40" s="364" t="s">
        <v>1787</v>
      </c>
      <c r="C40" s="399" t="s">
        <v>3471</v>
      </c>
      <c r="D40" s="374">
        <v>100</v>
      </c>
      <c r="E40" s="399" t="s">
        <v>3471</v>
      </c>
      <c r="F40" s="400">
        <f>SUMIF(117:117,E40,118:118)-SUMIF(117:117,C40,118:118)+100</f>
        <v>100</v>
      </c>
      <c r="G40" s="399" t="s">
        <v>3471</v>
      </c>
      <c r="H40" s="374">
        <f>SUMIF(117:117,G40,118:118)-SUMIF(117:117,C40,118:118)+100</f>
        <v>100</v>
      </c>
      <c r="I40" s="399" t="s">
        <v>3471</v>
      </c>
      <c r="J40" s="374">
        <f>SUMIF(117:117,I40,118:118)-SUMIF(117:117,C40,118:118)+100</f>
        <v>100</v>
      </c>
      <c r="K40" s="538">
        <v>1</v>
      </c>
      <c r="L40" s="2491"/>
      <c r="M40" s="2486"/>
      <c r="N40" s="2486"/>
      <c r="O40" s="2486"/>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5">
      <c r="A41" s="409"/>
      <c r="B41" s="364" t="s">
        <v>1789</v>
      </c>
      <c r="C41" s="542" t="s">
        <v>3469</v>
      </c>
      <c r="D41" s="374">
        <v>100</v>
      </c>
      <c r="E41" s="542" t="s">
        <v>3469</v>
      </c>
      <c r="F41" s="400">
        <f>SUMIF(119:119,E41,120:120)-SUMIF(119:119,C41,120:120)+100</f>
        <v>100</v>
      </c>
      <c r="G41" s="542" t="s">
        <v>3469</v>
      </c>
      <c r="H41" s="374">
        <f>SUMIF(119:119,G41,120:120)-SUMIF(119:119,C41,120:120)+100</f>
        <v>100</v>
      </c>
      <c r="I41" s="542" t="s">
        <v>3469</v>
      </c>
      <c r="J41" s="374">
        <f>SUMIF(119:119,I41,120:120)-SUMIF(119:119,C41,120:120)+100</f>
        <v>100</v>
      </c>
      <c r="K41" s="538">
        <v>5</v>
      </c>
      <c r="L41" s="2491"/>
      <c r="M41" s="2486"/>
      <c r="N41" s="2486"/>
      <c r="O41" s="2486"/>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5">
      <c r="A43" s="409"/>
      <c r="B43" s="364" t="s">
        <v>1792</v>
      </c>
      <c r="C43" s="399" t="s">
        <v>3464</v>
      </c>
      <c r="D43" s="374">
        <v>100</v>
      </c>
      <c r="E43" s="399" t="s">
        <v>3464</v>
      </c>
      <c r="F43" s="400">
        <f>SUMIF(123:123,E43,124:124)-SUMIF(123:123,C43,124:124)+100</f>
        <v>100</v>
      </c>
      <c r="G43" s="399" t="s">
        <v>3464</v>
      </c>
      <c r="H43" s="374">
        <f>SUMIF(123:123,G43,124:124)-SUMIF(123:123,C43,124:124)+100</f>
        <v>100</v>
      </c>
      <c r="I43" s="399" t="s">
        <v>3464</v>
      </c>
      <c r="J43" s="374">
        <f>SUMIF(123:123,I43,124:124)-SUMIF(123:123,C43,124:124)+100</f>
        <v>100</v>
      </c>
      <c r="K43" s="538">
        <v>2</v>
      </c>
      <c r="L43" s="2491"/>
      <c r="M43" s="2486"/>
      <c r="N43" s="2486"/>
      <c r="O43" s="2486"/>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28">
      <c r="A44" s="409"/>
      <c r="B44" s="364" t="s">
        <v>1707</v>
      </c>
      <c r="C44" s="399" t="s">
        <v>3437</v>
      </c>
      <c r="D44" s="374">
        <v>100</v>
      </c>
      <c r="E44" s="399" t="s">
        <v>3437</v>
      </c>
      <c r="F44" s="400">
        <f>SUMIF(125:125,E44,126:126)-SUMIF(125:125,C44,126:126)+100</f>
        <v>100</v>
      </c>
      <c r="G44" s="399" t="s">
        <v>3437</v>
      </c>
      <c r="H44" s="374">
        <f>SUMIF(125:125,G44,126:126)-SUMIF(125:125,C44,126:126)+100</f>
        <v>100</v>
      </c>
      <c r="I44" s="399" t="s">
        <v>3437</v>
      </c>
      <c r="J44" s="374">
        <f>SUMIF(125:125,I44,126:126)-SUMIF(125:125,C44,126:126)+100</f>
        <v>100</v>
      </c>
      <c r="K44" s="538">
        <v>2</v>
      </c>
      <c r="L44" s="2491"/>
      <c r="M44" s="2486"/>
      <c r="N44" s="2486"/>
      <c r="O44" s="2486"/>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c r="A48" s="416" t="s">
        <v>1708</v>
      </c>
      <c r="B48" s="417"/>
      <c r="C48" s="1081" t="s">
        <v>0</v>
      </c>
      <c r="D48" s="418"/>
      <c r="E48" s="419">
        <v>13233</v>
      </c>
      <c r="F48" s="420"/>
      <c r="G48" s="421">
        <v>13630</v>
      </c>
      <c r="H48" s="422"/>
      <c r="I48" s="419">
        <v>12864</v>
      </c>
      <c r="J48" s="422"/>
      <c r="K48" s="674"/>
      <c r="L48" s="2493"/>
      <c r="M48" s="2486"/>
      <c r="N48" s="2486"/>
      <c r="O48" s="2486"/>
      <c r="P48" s="3382" t="str">
        <f>A48</f>
        <v>成交单价（元/平方米）</v>
      </c>
      <c r="Q48" s="3411"/>
      <c r="R48" s="3399">
        <f>E48</f>
        <v>13233</v>
      </c>
      <c r="S48" s="3399"/>
      <c r="T48" s="3399">
        <f>G48</f>
        <v>13630</v>
      </c>
      <c r="U48" s="3399"/>
      <c r="V48" s="3399">
        <f>I48</f>
        <v>12864</v>
      </c>
      <c r="W48" s="3399"/>
      <c r="X48" s="385"/>
      <c r="Y48" s="673"/>
      <c r="Z48" s="385"/>
      <c r="AA48" s="385"/>
      <c r="AB48" s="385"/>
      <c r="AC48" s="555"/>
    </row>
    <row r="49" spans="1:29" ht="14.5" thickBot="1">
      <c r="A49" s="423" t="s">
        <v>1793</v>
      </c>
      <c r="B49" s="424"/>
      <c r="C49" s="1082">
        <f>R50</f>
        <v>12981</v>
      </c>
      <c r="D49" s="2141" t="s">
        <v>2138</v>
      </c>
      <c r="E49" s="1083">
        <f>R49</f>
        <v>12974</v>
      </c>
      <c r="F49" s="2142"/>
      <c r="G49" s="1082">
        <f>T49</f>
        <v>13230</v>
      </c>
      <c r="H49" s="2142"/>
      <c r="I49" s="1083">
        <f>V49</f>
        <v>12739</v>
      </c>
      <c r="J49" s="2142"/>
      <c r="K49" s="2144">
        <f>F49+H49+J49</f>
        <v>0</v>
      </c>
      <c r="L49" s="2493"/>
      <c r="M49" s="2486"/>
      <c r="N49" s="2486"/>
      <c r="O49" s="2486"/>
      <c r="P49" s="3382" t="str">
        <f>A49</f>
        <v>比较价值（元/平方米）</v>
      </c>
      <c r="Q49" s="3411"/>
      <c r="R49" s="3399">
        <f>IF(F1="售价",ROUND(PRODUCT(R48,AA7:AA47),0),ROUND(PRODUCT(R48,AA7:AA47),1))</f>
        <v>12974</v>
      </c>
      <c r="S49" s="3399"/>
      <c r="T49" s="3399">
        <f>IF(F1="售价",ROUND(PRODUCT(T48,AB7:AB47),0),ROUND(PRODUCT(T48,AB7:AB47),1))</f>
        <v>13230</v>
      </c>
      <c r="U49" s="3399"/>
      <c r="V49" s="3399">
        <f>IF(F1="售价",ROUND(PRODUCT(V48,AC7:AC47),0),ROUND(PRODUCT(V48,AC7:AC47),1))</f>
        <v>12739</v>
      </c>
      <c r="W49" s="3399"/>
      <c r="X49" s="385"/>
      <c r="Y49" s="385"/>
      <c r="Z49" s="385"/>
      <c r="AA49" s="385"/>
      <c r="AB49" s="385"/>
      <c r="AC49" s="555"/>
    </row>
    <row r="50" spans="1:29" ht="14.5" thickBot="1">
      <c r="A50" s="427" t="s">
        <v>1794</v>
      </c>
      <c r="B50" s="428"/>
      <c r="C50" s="351">
        <f>R50</f>
        <v>12981</v>
      </c>
      <c r="D50" s="351"/>
      <c r="E50" s="351"/>
      <c r="F50" s="351"/>
      <c r="G50" s="351"/>
      <c r="H50" s="351"/>
      <c r="I50" s="351"/>
      <c r="J50" s="429"/>
      <c r="K50" s="675"/>
      <c r="L50" s="2493"/>
      <c r="M50" s="2486"/>
      <c r="N50" s="2486"/>
      <c r="O50" s="2486"/>
      <c r="P50" s="3412" t="str">
        <f>A50</f>
        <v>估价对象XX用房的比较价值（楼面单价，元/平方米）</v>
      </c>
      <c r="Q50" s="3413"/>
      <c r="R50" s="3414">
        <f>IF(F1="售价",ROUND(IF(D49="简单平均",AVERAGE(R49:V49),R49*F49+T49*H49+V49*J49),0),ROUND(IF(D49="简单平均",AVERAGE(R49:V49),R49*F49+T49*H49+V49*J49),1))</f>
        <v>12981</v>
      </c>
      <c r="S50" s="3414"/>
      <c r="T50" s="3414"/>
      <c r="U50" s="3414"/>
      <c r="V50" s="3414"/>
      <c r="W50" s="341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1.9963002928934825E-2</v>
      </c>
      <c r="F53" s="435" t="str">
        <f>IF(OR(E53&gt;=0.3,E53&lt;=-0.3),"超过30%","")</f>
        <v/>
      </c>
      <c r="G53" s="434">
        <f>IF(G48&lt;G49,G49/G48-1,G48/G49-1)</f>
        <v>3.0234315948601598E-2</v>
      </c>
      <c r="H53" s="435" t="str">
        <f>IF(OR(G53&gt;=0.3,G53&lt;=-0.3),"超过30%","")</f>
        <v/>
      </c>
      <c r="I53" s="434">
        <f>IF(I48&lt;I49,I49/I48-1,I48/I49-1)</f>
        <v>9.8123871575477306E-3</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1.9731771234777318E-2</v>
      </c>
      <c r="F54" s="435" t="str">
        <f>IF(OR(E54&gt;=0.2,E54&lt;=-0.2),"超过20%","")</f>
        <v/>
      </c>
      <c r="G54" s="434">
        <f>IF(G49&lt;I49,I49/G49-1,G49/I49-1)</f>
        <v>3.854305675484726E-2</v>
      </c>
      <c r="H54" s="435" t="str">
        <f>IF(OR(G54&gt;=0.2,G54&lt;=-0.2),"超过20%","")</f>
        <v/>
      </c>
      <c r="I54" s="434">
        <f>IF(I49&lt;E49,E49/I49-1,I49/E49-1)</f>
        <v>1.8447287856189654E-2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3.0000755686541147E-2</v>
      </c>
      <c r="F55" s="435" t="str">
        <f>IF(OR(E55&gt;=0.3,E55&lt;=-0.3),"超过30%","")</f>
        <v/>
      </c>
      <c r="G55" s="434">
        <f>IF(G48&lt;I48,I48/G48-1,G48/I48-1)</f>
        <v>5.9546019900497571E-2</v>
      </c>
      <c r="H55" s="435" t="str">
        <f>IF(OR(G55&gt;=0.3,G55&lt;=-0.3),"超过30%","")</f>
        <v/>
      </c>
      <c r="I55" s="434">
        <f>IF(I48&lt;E48,E48/I48-1,I48/E48-1)</f>
        <v>2.8684701492537323E-2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4" t="s">
        <v>3461</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3" t="s">
        <v>3455</v>
      </c>
      <c r="D89" s="3173" t="s">
        <v>3457</v>
      </c>
      <c r="E89" s="3173" t="s">
        <v>3459</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3173" t="s">
        <v>3484</v>
      </c>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99.5</v>
      </c>
      <c r="E92" s="475">
        <f t="shared" si="21"/>
        <v>99</v>
      </c>
      <c r="F92" s="475">
        <f t="shared" si="21"/>
        <v>98.5</v>
      </c>
      <c r="G92" s="475">
        <f t="shared" si="21"/>
        <v>98</v>
      </c>
      <c r="H92" s="475">
        <f t="shared" si="21"/>
        <v>97.5</v>
      </c>
      <c r="I92" s="475">
        <f t="shared" si="21"/>
        <v>97</v>
      </c>
      <c r="J92" s="475">
        <f t="shared" si="21"/>
        <v>96.5</v>
      </c>
      <c r="K92" s="475">
        <f t="shared" si="21"/>
        <v>96</v>
      </c>
      <c r="L92" s="475">
        <f t="shared" si="21"/>
        <v>95.5</v>
      </c>
      <c r="M92" s="475">
        <f t="shared" si="21"/>
        <v>95</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516" t="s">
        <v>3482</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0(含)-150</v>
      </c>
      <c r="D103" s="509" t="str">
        <f t="shared" ref="D103:L103" si="23">D104&amp;"(含)"&amp;"-"&amp;E104</f>
        <v>150(含)-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150</v>
      </c>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3" t="s">
        <v>3477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3173" t="s">
        <v>3465</v>
      </c>
      <c r="D108" s="3173" t="s">
        <v>3466</v>
      </c>
      <c r="E108" s="3173" t="s">
        <v>3467</v>
      </c>
      <c r="F108" s="3512" t="s">
        <v>3468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3173" t="s">
        <v>3475</v>
      </c>
      <c r="D115" s="3173" t="s">
        <v>3476</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3173" t="s">
        <v>3472</v>
      </c>
      <c r="D117" s="3173" t="s">
        <v>3473</v>
      </c>
      <c r="E117" s="3173" t="s">
        <v>3474</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3512" t="s">
        <v>3470</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3173" t="s">
        <v>3465</v>
      </c>
      <c r="D123" s="3173" t="s">
        <v>3466</v>
      </c>
      <c r="E123" s="3173" t="s">
        <v>3467</v>
      </c>
      <c r="F123" s="3512" t="s">
        <v>3468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603</v>
      </c>
      <c r="D1" s="1271" t="s">
        <v>43</v>
      </c>
      <c r="E1" s="1272" t="s">
        <v>678</v>
      </c>
      <c r="F1" s="999">
        <f ca="1">J53</f>
        <v>35.61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74.087699999999998</v>
      </c>
      <c r="C2" s="1289" t="s">
        <v>879</v>
      </c>
      <c r="D2" s="1375">
        <f ca="1">C40+J29+L46</f>
        <v>740877</v>
      </c>
      <c r="E2" s="1295" t="s">
        <v>880</v>
      </c>
      <c r="F2" s="1296"/>
      <c r="G2" s="2477"/>
      <c r="H2" s="2467"/>
      <c r="I2" s="2467"/>
      <c r="J2" s="2467"/>
      <c r="K2" s="2468"/>
      <c r="L2" s="2467"/>
      <c r="M2" s="2467"/>
    </row>
    <row r="3" spans="1:37" ht="18" customHeight="1" thickBot="1">
      <c r="A3" s="1297" t="s">
        <v>881</v>
      </c>
      <c r="B3" s="1298">
        <f ca="1">IF(ISERROR(D2/F43),0,ROUND(D2/F43,0))</f>
        <v>6964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45417</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45360</v>
      </c>
      <c r="D6" s="147" t="s">
        <v>2106</v>
      </c>
      <c r="E6" s="294" t="s">
        <v>696</v>
      </c>
      <c r="F6" s="295">
        <f ca="1">INDIRECT("'数据-取费表'!u"&amp;$G$1)</f>
        <v>4200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v>
      </c>
      <c r="G7" s="1292"/>
      <c r="H7" s="296"/>
      <c r="I7" s="3363"/>
      <c r="J7" s="298"/>
      <c r="K7" s="299"/>
      <c r="L7" s="294" t="s">
        <v>697</v>
      </c>
      <c r="M7" s="295">
        <f ca="1">F7</f>
        <v>1</v>
      </c>
    </row>
    <row r="8" spans="1:37" ht="18" customHeight="1">
      <c r="A8" s="296"/>
      <c r="B8" s="3363"/>
      <c r="C8" s="298"/>
      <c r="D8" s="299"/>
      <c r="E8" s="294" t="s">
        <v>698</v>
      </c>
      <c r="F8" s="295">
        <f ca="1">INDIRECT("'数据-取费表'!ai"&amp;$G$1)</f>
        <v>12</v>
      </c>
      <c r="G8" s="1292"/>
      <c r="H8" s="296"/>
      <c r="I8" s="3363"/>
      <c r="J8" s="298"/>
      <c r="K8" s="299"/>
      <c r="L8" s="294" t="s">
        <v>698</v>
      </c>
      <c r="M8" s="295">
        <f ca="1">INDIRECT("'数据-取费表'!ai"&amp;$G$1)</f>
        <v>12</v>
      </c>
    </row>
    <row r="9" spans="1:37" ht="18" customHeight="1">
      <c r="A9" s="296"/>
      <c r="B9" s="3364"/>
      <c r="C9" s="298"/>
      <c r="D9" s="299"/>
      <c r="E9" s="294" t="s">
        <v>699</v>
      </c>
      <c r="F9" s="304">
        <f ca="1">INDIRECT("'数据-取费表'!w"&amp;$G$1)</f>
        <v>0.1</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57</v>
      </c>
      <c r="D10" s="150" t="s">
        <v>2116</v>
      </c>
      <c r="E10" s="305" t="s">
        <v>701</v>
      </c>
      <c r="F10" s="1053" t="s">
        <v>3440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448797</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372365</v>
      </c>
      <c r="D14" s="1257" t="s">
        <v>708</v>
      </c>
      <c r="E14" s="1255"/>
      <c r="F14" s="311"/>
      <c r="G14" s="1292"/>
      <c r="H14" s="928" t="s">
        <v>398</v>
      </c>
      <c r="I14" s="294" t="s">
        <v>709</v>
      </c>
      <c r="J14" s="21">
        <f ca="1">C29</f>
        <v>547313</v>
      </c>
      <c r="K14" s="12"/>
      <c r="L14" s="759"/>
      <c r="M14" s="760"/>
    </row>
    <row r="15" spans="1:37" s="1304" customFormat="1" ht="18" customHeight="1" thickBot="1">
      <c r="A15" s="928" t="s">
        <v>399</v>
      </c>
      <c r="B15" s="294" t="s">
        <v>710</v>
      </c>
      <c r="C15" s="21">
        <f ca="1">ROUND(C14*F15,0)</f>
        <v>18618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2737</v>
      </c>
      <c r="K16" s="1024" t="s">
        <v>715</v>
      </c>
      <c r="L16" s="1025"/>
      <c r="M16" s="1009"/>
    </row>
    <row r="17" spans="1:37" s="1304" customFormat="1" ht="18" customHeight="1">
      <c r="A17" s="928" t="s">
        <v>681</v>
      </c>
      <c r="B17" s="294" t="s">
        <v>716</v>
      </c>
      <c r="C17" s="21">
        <f ca="1">ROUND(F17*(F43+INDIRECT("'数据-取费表'!S"&amp;$G$1)),0)</f>
        <v>21278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7447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419708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8394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2737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13400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-2737</v>
      </c>
      <c r="K25" s="1032" t="s">
        <v>753</v>
      </c>
      <c r="L25" s="1033"/>
      <c r="M25" s="1034"/>
    </row>
    <row r="26" spans="1:37" ht="18" customHeight="1">
      <c r="A26" s="928" t="s">
        <v>397</v>
      </c>
      <c r="B26" s="294" t="s">
        <v>754</v>
      </c>
      <c r="C26" s="21">
        <f ca="1">ROUND((C19+C20)*F26,0)</f>
        <v>64215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547313</v>
      </c>
      <c r="D29" s="1029"/>
      <c r="E29" s="1027"/>
      <c r="F29" s="1030"/>
      <c r="G29" s="1303"/>
      <c r="H29" s="325" t="s">
        <v>396</v>
      </c>
      <c r="I29" s="326" t="s">
        <v>768</v>
      </c>
      <c r="J29" s="327">
        <f ca="1">ROUND(J26/(1+F40)^F41,0)</f>
        <v>0</v>
      </c>
      <c r="K29" s="328" t="s">
        <v>769</v>
      </c>
      <c r="L29" s="329"/>
      <c r="M29" s="330">
        <f ca="1">INDIRECT("'数据-取费表'!k"&amp;$G$1)</f>
        <v>106.39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6664</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3024</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2737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449</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454</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38753</v>
      </c>
      <c r="D39" s="1032" t="s">
        <v>773</v>
      </c>
      <c r="E39" s="1033"/>
      <c r="F39" s="1034"/>
      <c r="G39" s="1292"/>
      <c r="H39" s="2472">
        <f ca="1">C39/C5</f>
        <v>0.85327080168218949</v>
      </c>
      <c r="I39" s="1305"/>
      <c r="J39" s="1306"/>
      <c r="K39" s="2470"/>
      <c r="L39" s="2472"/>
      <c r="M39" s="2472"/>
    </row>
    <row r="40" spans="1:18" ht="18" customHeight="1">
      <c r="A40" s="291" t="s">
        <v>395</v>
      </c>
      <c r="B40" s="292" t="s">
        <v>774</v>
      </c>
      <c r="C40" s="293">
        <f ca="1">ROUND(C39*(1-((1+F42)/(1+F40))^F41)/(F40-F42),0)</f>
        <v>724211</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35.61</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6807</v>
      </c>
      <c r="D43" s="328" t="s">
        <v>777</v>
      </c>
      <c r="E43" s="329" t="s">
        <v>778</v>
      </c>
      <c r="F43" s="330">
        <f ca="1">INDIRECT("'数据-取费表'!k"&amp;$G$1)</f>
        <v>106.39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-77.353099999999998</v>
      </c>
      <c r="D45" s="3129" t="s">
        <v>3351</v>
      </c>
      <c r="E45" s="1307"/>
      <c r="F45" s="1307"/>
      <c r="O45" s="1310" t="s">
        <v>808</v>
      </c>
      <c r="P45" s="1366"/>
      <c r="Q45" s="1366"/>
      <c r="R45" s="1366"/>
    </row>
    <row r="46" spans="1:18" s="1292" customFormat="1" ht="14" thickBot="1">
      <c r="A46" s="1311" t="s">
        <v>809</v>
      </c>
      <c r="C46" s="1312">
        <f ca="1">ROUND(C45,0)</f>
        <v>-77</v>
      </c>
      <c r="D46" s="1313" t="str">
        <f>C2</f>
        <v>万元</v>
      </c>
      <c r="I46" s="1314" t="s">
        <v>810</v>
      </c>
      <c r="J46" s="1315"/>
      <c r="K46" s="1316"/>
      <c r="L46" s="1317">
        <f ca="1">IF(M47="住宅",0,IF(L48&gt;J51,L60,J60))</f>
        <v>16666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3441</v>
      </c>
      <c r="K47" s="1323" t="s">
        <v>816</v>
      </c>
      <c r="L47" s="1324">
        <f ca="1">INDIRECT("'数据-取费表'!d"&amp;$G$1)</f>
        <v>50</v>
      </c>
      <c r="M47" s="1288" t="str">
        <f>IF(ISNUMBER(FIND("住宅",C1)),"住宅","非住宅")</f>
        <v>非住宅</v>
      </c>
      <c r="O47" s="1325" t="s">
        <v>403</v>
      </c>
      <c r="P47" s="1326" t="s">
        <v>817</v>
      </c>
      <c r="Q47" s="1327">
        <f ca="1">C40+J29</f>
        <v>724211</v>
      </c>
      <c r="R47" s="1327" t="s">
        <v>818</v>
      </c>
    </row>
    <row r="48" spans="1:18" s="1292" customFormat="1" ht="43.5" thickBot="1">
      <c r="A48" s="1047" t="s">
        <v>438</v>
      </c>
      <c r="B48" s="292" t="s">
        <v>692</v>
      </c>
      <c r="C48" s="1268">
        <f ca="1">C49+C53+C55</f>
        <v>0</v>
      </c>
      <c r="D48" s="1049"/>
      <c r="E48" s="1050"/>
      <c r="F48" s="908"/>
      <c r="G48" s="681"/>
      <c r="H48" s="682"/>
      <c r="I48" s="1328" t="s">
        <v>819</v>
      </c>
      <c r="J48" s="1329" t="s">
        <v>3442</v>
      </c>
      <c r="K48" s="1330" t="s">
        <v>820</v>
      </c>
      <c r="L48" s="1331">
        <f ca="1">INDIRECT("'数据-取费表'!f"&amp;$G$1)</f>
        <v>35.61</v>
      </c>
      <c r="O48" s="1325" t="s">
        <v>404</v>
      </c>
      <c r="P48" s="1326" t="s">
        <v>821</v>
      </c>
      <c r="Q48" s="1327">
        <f ca="1">J60</f>
        <v>16666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2014</v>
      </c>
      <c r="K49" s="1330" t="s">
        <v>824</v>
      </c>
      <c r="L49" s="1333"/>
      <c r="O49" s="1334" t="s">
        <v>405</v>
      </c>
      <c r="P49" s="1326" t="s">
        <v>825</v>
      </c>
      <c r="Q49" s="1327">
        <f ca="1">C29</f>
        <v>547313</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133308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35.61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35.61</v>
      </c>
      <c r="K53" s="3360" t="s">
        <v>837</v>
      </c>
      <c r="L53" s="3361"/>
      <c r="O53" s="1325" t="s">
        <v>409</v>
      </c>
      <c r="P53" s="1326" t="s">
        <v>838</v>
      </c>
      <c r="Q53" s="1327">
        <f ca="1">Q47+Q48</f>
        <v>740877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448797</v>
      </c>
      <c r="D56" s="1352"/>
      <c r="E56" s="1353"/>
      <c r="F56" s="1345"/>
      <c r="I56" s="1354" t="s">
        <v>842</v>
      </c>
      <c r="J56" s="1355" t="s">
        <v>3443</v>
      </c>
      <c r="K56" s="1328" t="s">
        <v>843</v>
      </c>
      <c r="L56" s="1331" t="str">
        <f ca="1">IF(L48&lt;J51,"——",L48-J51)</f>
        <v>——</v>
      </c>
      <c r="O56" s="1325" t="s">
        <v>403</v>
      </c>
      <c r="P56" s="1326" t="s">
        <v>817</v>
      </c>
      <c r="Q56" s="1327">
        <f ca="1">C40+J29</f>
        <v>724211</v>
      </c>
      <c r="R56" s="1327" t="s">
        <v>818</v>
      </c>
    </row>
    <row r="57" spans="1:18" s="1292" customFormat="1" ht="26.5" thickBot="1">
      <c r="A57" s="1356"/>
      <c r="B57" s="896" t="s">
        <v>767</v>
      </c>
      <c r="C57" s="230">
        <f ca="1">C29</f>
        <v>547313</v>
      </c>
      <c r="D57" s="1357"/>
      <c r="E57" s="1358"/>
      <c r="F57" s="1359"/>
      <c r="I57" s="1360" t="s">
        <v>844</v>
      </c>
      <c r="J57" s="1361">
        <f ca="1">IF(OR(M47="住宅",J51&lt;L48,J56="是"),"——",J51-L48)</f>
        <v>13.39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3186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218925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16666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724211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2737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449</v>
      </c>
      <c r="D65" s="910" t="s">
        <v>743</v>
      </c>
      <c r="E65" s="896" t="s">
        <v>744</v>
      </c>
      <c r="F65" s="321">
        <f t="shared" ca="1" si="0"/>
        <v>1E-3</v>
      </c>
      <c r="I65" s="1367" t="s">
        <v>867</v>
      </c>
      <c r="J65" s="610">
        <v>40</v>
      </c>
      <c r="K65" s="610">
        <v>30</v>
      </c>
      <c r="L65" s="610">
        <v>50</v>
      </c>
      <c r="M65" s="1369">
        <v>0.02</v>
      </c>
      <c r="O65" s="1325" t="s">
        <v>403</v>
      </c>
      <c r="P65" s="1326" t="s">
        <v>868</v>
      </c>
      <c r="Q65" s="1327">
        <f ca="1">C40+J29</f>
        <v>724211</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-3186</v>
      </c>
      <c r="D67" s="909" t="s">
        <v>753</v>
      </c>
      <c r="E67" s="914"/>
      <c r="F67" s="915"/>
      <c r="O67" s="1334" t="s">
        <v>405</v>
      </c>
      <c r="P67" s="1326" t="s">
        <v>850</v>
      </c>
      <c r="Q67" s="1370">
        <f ca="1">L51</f>
        <v>133308</v>
      </c>
      <c r="R67" s="1327" t="s">
        <v>870</v>
      </c>
    </row>
    <row r="68" spans="1:18" s="1292" customFormat="1" ht="16" thickBot="1">
      <c r="A68" s="893" t="s">
        <v>395</v>
      </c>
      <c r="B68" s="894" t="s">
        <v>774</v>
      </c>
      <c r="C68" s="293">
        <f ca="1">ROUND(C67*(1-((1+F70)/(1+F68))^F69)/(F68-F70),0)</f>
        <v>-49320</v>
      </c>
      <c r="D68" s="911" t="s">
        <v>758</v>
      </c>
      <c r="E68" s="896" t="s">
        <v>759</v>
      </c>
      <c r="F68" s="304">
        <f ca="1">F40</f>
        <v>5.5E-2</v>
      </c>
      <c r="O68" s="1334" t="s">
        <v>406</v>
      </c>
      <c r="P68" s="1371" t="s">
        <v>871</v>
      </c>
      <c r="Q68" s="1327">
        <f ca="1">ROUND(Q69-Q70*Q71,0)</f>
        <v>7337</v>
      </c>
      <c r="R68" s="1327" t="s">
        <v>414</v>
      </c>
    </row>
    <row r="69" spans="1:18" s="1292" customFormat="1" ht="13.5" thickBot="1">
      <c r="A69" s="897"/>
      <c r="B69" s="898"/>
      <c r="C69" s="298"/>
      <c r="D69" s="916" t="s">
        <v>762</v>
      </c>
      <c r="E69" s="896" t="s">
        <v>763</v>
      </c>
      <c r="F69" s="324">
        <f ca="1">F41</f>
        <v>35.61</v>
      </c>
      <c r="O69" s="1334" t="s">
        <v>411</v>
      </c>
      <c r="P69" s="1371" t="s">
        <v>872</v>
      </c>
      <c r="Q69" s="1327">
        <f ca="1">C39</f>
        <v>38753</v>
      </c>
      <c r="R69" s="1327" t="s">
        <v>818</v>
      </c>
    </row>
    <row r="70" spans="1:18" s="1292" customFormat="1" ht="13.5" thickBot="1">
      <c r="A70" s="900"/>
      <c r="B70" s="901"/>
      <c r="C70" s="302"/>
      <c r="D70" s="912"/>
      <c r="E70" s="896" t="s">
        <v>766</v>
      </c>
      <c r="F70" s="991"/>
      <c r="O70" s="1334" t="s">
        <v>412</v>
      </c>
      <c r="P70" s="1371" t="s">
        <v>873</v>
      </c>
      <c r="Q70" s="1327">
        <f ca="1">C13</f>
        <v>448797</v>
      </c>
      <c r="R70" s="1327" t="s">
        <v>818</v>
      </c>
    </row>
    <row r="71" spans="1:18" s="1292" customFormat="1" ht="13.5" thickBot="1">
      <c r="A71" s="917" t="s">
        <v>396</v>
      </c>
      <c r="B71" s="918" t="s">
        <v>776</v>
      </c>
      <c r="C71" s="327">
        <f ca="1">ROUND(C68/F71,0)</f>
        <v>-464</v>
      </c>
      <c r="D71" s="919" t="s">
        <v>777</v>
      </c>
      <c r="E71" s="920" t="s">
        <v>778</v>
      </c>
      <c r="F71" s="330">
        <f ca="1">F43</f>
        <v>106.39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31416</v>
      </c>
      <c r="D75" s="1292"/>
      <c r="E75" s="1292"/>
      <c r="F75" s="1292"/>
      <c r="K75" s="1309"/>
      <c r="L75" s="1292"/>
      <c r="O75" s="1325" t="s">
        <v>409</v>
      </c>
      <c r="P75" s="1326" t="s">
        <v>838</v>
      </c>
      <c r="Q75" s="1327">
        <f ca="1">Q65+Q66</f>
        <v>724211</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0.18899999999999995</v>
      </c>
    </row>
    <row r="80" spans="1:18" ht="13">
      <c r="B80" s="331" t="s">
        <v>800</v>
      </c>
      <c r="C80" s="266">
        <f ca="1">ROUND(C75/C39,3)</f>
        <v>0.81100000000000005</v>
      </c>
    </row>
    <row r="81" spans="2:3" ht="13.5">
      <c r="B81" s="262" t="s">
        <v>801</v>
      </c>
      <c r="C81" s="230"/>
    </row>
    <row r="82" spans="2:3" ht="13">
      <c r="B82" s="265" t="s">
        <v>802</v>
      </c>
      <c r="C82" s="267">
        <f ca="1">1-C83</f>
        <v>0.38</v>
      </c>
    </row>
    <row r="83" spans="2:3" ht="13">
      <c r="B83" s="265" t="s">
        <v>803</v>
      </c>
      <c r="C83" s="266">
        <f ca="1">ROUND(C13/C40,3)</f>
        <v>0.62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B8E46-1AC2-4F78-A1DF-00D9C31F1968}">
  <sheetPr>
    <tabColor rgb="FF7030A0"/>
  </sheetPr>
  <dimension ref="W2:Y4"/>
  <sheetViews>
    <sheetView topLeftCell="C67" workbookViewId="0">
      <selection activeCell="M1" sqref="M1"/>
    </sheetView>
  </sheetViews>
  <sheetFormatPr defaultRowHeight="14"/>
  <sheetData>
    <row r="2" spans="23:25">
      <c r="X2" s="1405" t="s">
        <v>3451</v>
      </c>
    </row>
    <row r="3" spans="23:25">
      <c r="W3">
        <v>104.95</v>
      </c>
      <c r="X3">
        <v>135</v>
      </c>
      <c r="Y3" s="1405" t="s">
        <v>3452</v>
      </c>
    </row>
    <row r="4" spans="23:25">
      <c r="W4" s="1405" t="s">
        <v>654</v>
      </c>
      <c r="X4" s="1405" t="s">
        <v>3453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EA41D-C4C4-44C2-953C-937CB4F09C5F}">
  <sheetPr>
    <tabColor rgb="FF7030A0"/>
  </sheetPr>
  <dimension ref="A1"/>
  <sheetViews>
    <sheetView topLeftCell="A51" workbookViewId="0">
      <selection activeCell="S60" sqref="S60"/>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D1AC2-FEFD-493D-B290-25A2ECED0652}">
  <sheetPr>
    <tabColor rgb="FF7030A0"/>
  </sheetPr>
  <dimension ref="A1"/>
  <sheetViews>
    <sheetView workbookViewId="0">
      <selection activeCell="O2" sqref="O2"/>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F7EC7-31C5-4639-9512-6A15133AD7A8}">
  <sheetPr>
    <tabColor rgb="FF92D050"/>
  </sheetPr>
  <dimension ref="A1"/>
  <sheetViews>
    <sheetView workbookViewId="0"/>
  </sheetViews>
  <sheetFormatPr defaultRowHeight="1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5" t="s">
        <v>2317</v>
      </c>
      <c r="K2" s="3416"/>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17" t="s">
        <v>2327</v>
      </c>
      <c r="K3" s="3418"/>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17" t="s">
        <v>2329</v>
      </c>
      <c r="K4" s="3418"/>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19" t="s">
        <v>2333</v>
      </c>
      <c r="B6" s="3420"/>
      <c r="C6" s="3421"/>
      <c r="D6" s="2620"/>
      <c r="E6" s="2621"/>
      <c r="F6" s="2622"/>
      <c r="G6" s="2623"/>
      <c r="H6" s="2598"/>
      <c r="I6" s="2599"/>
      <c r="J6" s="3422">
        <v>1</v>
      </c>
      <c r="K6" s="3423"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2"/>
      <c r="K7" s="3424"/>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26" t="s">
        <v>2347</v>
      </c>
      <c r="C8" s="3427"/>
      <c r="D8" s="2639" t="s">
        <v>2348</v>
      </c>
      <c r="E8" s="2640" t="s">
        <v>2349</v>
      </c>
      <c r="F8" s="2641" t="s">
        <v>2350</v>
      </c>
      <c r="G8" s="2642"/>
      <c r="H8" s="2598"/>
      <c r="I8" s="2599"/>
      <c r="J8" s="3422"/>
      <c r="K8" s="3424"/>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26" t="s">
        <v>2353</v>
      </c>
      <c r="C9" s="3427"/>
      <c r="D9" s="2639">
        <f>ROUND(D6*E9,0)</f>
        <v>0</v>
      </c>
      <c r="E9" s="2643"/>
      <c r="F9" s="2644" t="s">
        <v>2354</v>
      </c>
      <c r="G9" s="2623"/>
      <c r="H9" s="2598"/>
      <c r="I9" s="2599"/>
      <c r="J9" s="3422"/>
      <c r="K9" s="3424"/>
      <c r="L9" s="2633" t="s">
        <v>2355</v>
      </c>
      <c r="M9" s="2634"/>
      <c r="N9" s="2610"/>
      <c r="O9" s="2635"/>
      <c r="P9" s="2635"/>
      <c r="Q9" s="2636">
        <v>365</v>
      </c>
      <c r="R9" s="2637">
        <f t="shared" si="0"/>
        <v>0</v>
      </c>
      <c r="S9" s="2591"/>
      <c r="T9" s="2591"/>
      <c r="U9" s="2591"/>
      <c r="V9" s="2599"/>
    </row>
    <row r="10" spans="1:22" s="2603" customFormat="1" ht="13.15" customHeight="1">
      <c r="A10" s="2638">
        <v>2</v>
      </c>
      <c r="B10" s="3426" t="s">
        <v>2356</v>
      </c>
      <c r="C10" s="3427"/>
      <c r="D10" s="2639">
        <f>ROUND(D6*E10,0)</f>
        <v>0</v>
      </c>
      <c r="E10" s="2643"/>
      <c r="F10" s="2644" t="s">
        <v>2357</v>
      </c>
      <c r="G10" s="2623"/>
      <c r="H10" s="2598"/>
      <c r="I10" s="2599"/>
      <c r="J10" s="3422"/>
      <c r="K10" s="3424"/>
      <c r="L10" s="2633" t="s">
        <v>2358</v>
      </c>
      <c r="M10" s="2634"/>
      <c r="N10" s="2610"/>
      <c r="O10" s="2635"/>
      <c r="P10" s="2635"/>
      <c r="Q10" s="2636">
        <v>365</v>
      </c>
      <c r="R10" s="2637">
        <f t="shared" si="0"/>
        <v>0</v>
      </c>
      <c r="S10" s="2591"/>
      <c r="T10" s="2591"/>
      <c r="U10" s="2591"/>
      <c r="V10" s="2599"/>
    </row>
    <row r="11" spans="1:22" s="2603" customFormat="1" ht="13.15" customHeight="1">
      <c r="A11" s="2638">
        <v>3</v>
      </c>
      <c r="B11" s="3426" t="s">
        <v>2359</v>
      </c>
      <c r="C11" s="3427"/>
      <c r="D11" s="2639">
        <f>D12+D14+D15+D16</f>
        <v>0</v>
      </c>
      <c r="E11" s="2645" t="e">
        <f>D11/D6</f>
        <v>#DIV/0!</v>
      </c>
      <c r="F11" s="2641"/>
      <c r="G11" s="2642"/>
      <c r="H11" s="2598"/>
      <c r="I11" s="2599"/>
      <c r="J11" s="3422"/>
      <c r="K11" s="3424"/>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8" t="s">
        <v>2362</v>
      </c>
      <c r="C12" s="3429"/>
      <c r="D12" s="2647">
        <f>ROUND(D13*1.2%*(1-30%),0)</f>
        <v>0</v>
      </c>
      <c r="E12" s="2648">
        <v>1.2E-2</v>
      </c>
      <c r="F12" s="2641" t="s">
        <v>2363</v>
      </c>
      <c r="G12" s="2642"/>
      <c r="H12" s="2598"/>
      <c r="I12" s="2599"/>
      <c r="J12" s="3422"/>
      <c r="K12" s="3424"/>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2"/>
      <c r="K13" s="3424"/>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8" t="s">
        <v>2368</v>
      </c>
      <c r="C14" s="3429"/>
      <c r="D14" s="2647">
        <f>ROUND(E14*B5/10000,0)</f>
        <v>0</v>
      </c>
      <c r="E14" s="2636"/>
      <c r="F14" s="2641" t="s">
        <v>2369</v>
      </c>
      <c r="G14" s="2642"/>
      <c r="H14" s="2598"/>
      <c r="I14" s="2599"/>
      <c r="J14" s="3422"/>
      <c r="K14" s="3425"/>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8" t="s">
        <v>2372</v>
      </c>
      <c r="C15" s="3429"/>
      <c r="D15" s="2647">
        <f>ROUND(D6*E15,0)</f>
        <v>0</v>
      </c>
      <c r="E15" s="2648">
        <v>5.5E-2</v>
      </c>
      <c r="F15" s="2641" t="s">
        <v>2373</v>
      </c>
      <c r="G15" s="2623"/>
      <c r="H15" s="2598"/>
      <c r="I15" s="2599"/>
      <c r="J15" s="3422">
        <v>2</v>
      </c>
      <c r="K15" s="3423"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8" t="s">
        <v>2381</v>
      </c>
      <c r="C16" s="3429"/>
      <c r="D16" s="2658">
        <f>D6*E16</f>
        <v>0</v>
      </c>
      <c r="E16" s="2659"/>
      <c r="F16" s="2644" t="s">
        <v>2382</v>
      </c>
      <c r="G16" s="2623"/>
      <c r="H16" s="2598"/>
      <c r="I16" s="2599"/>
      <c r="J16" s="3422"/>
      <c r="K16" s="3424"/>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0" t="s">
        <v>2384</v>
      </c>
      <c r="C17" s="3431"/>
      <c r="D17" s="2661">
        <f>ROUND(D6*E17,0)</f>
        <v>0</v>
      </c>
      <c r="E17" s="2662"/>
      <c r="F17" s="2663" t="s">
        <v>2385</v>
      </c>
      <c r="G17" s="2623"/>
      <c r="H17" s="2598"/>
      <c r="I17" s="2599"/>
      <c r="J17" s="3422"/>
      <c r="K17" s="3424"/>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2"/>
      <c r="K18" s="3424"/>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2"/>
      <c r="K19" s="3425"/>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2">
        <v>3</v>
      </c>
      <c r="K20" s="3423"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2"/>
      <c r="K21" s="3424"/>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2"/>
      <c r="K22" s="3424"/>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2"/>
      <c r="K23" s="3424"/>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2"/>
      <c r="K24" s="3425"/>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5" t="s">
        <v>2317</v>
      </c>
      <c r="K32" s="3416"/>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17" t="s">
        <v>2327</v>
      </c>
      <c r="K33" s="3418"/>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17" t="s">
        <v>2329</v>
      </c>
      <c r="K34" s="341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2">
        <v>1</v>
      </c>
      <c r="K36" s="3423"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2"/>
      <c r="K37" s="3424"/>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2"/>
      <c r="K38" s="3424"/>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2"/>
      <c r="K39" s="3424"/>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2"/>
      <c r="K40" s="3425"/>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74.087699999999998</v>
      </c>
      <c r="C2" s="1729" t="s">
        <v>1651</v>
      </c>
      <c r="D2" s="1730" t="s">
        <v>1652</v>
      </c>
      <c r="E2" s="2392">
        <f>SUM(E6:E13)</f>
        <v>106.39</v>
      </c>
      <c r="F2" s="2478"/>
      <c r="G2" s="459"/>
      <c r="H2" s="459"/>
      <c r="I2" s="459"/>
      <c r="J2" s="459"/>
      <c r="K2" s="459"/>
      <c r="L2" s="459"/>
      <c r="M2" s="459"/>
      <c r="N2" s="459"/>
      <c r="O2" s="459"/>
      <c r="P2" s="459"/>
      <c r="Q2" s="459"/>
      <c r="R2" s="459"/>
      <c r="S2" s="459"/>
    </row>
    <row r="3" spans="1:22" ht="15.5">
      <c r="A3" s="1728" t="s">
        <v>686</v>
      </c>
      <c r="B3" s="2386">
        <f ca="1">ROUND(B2*10000/E2,0)</f>
        <v>6964</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4" t="s">
        <v>1654</v>
      </c>
      <c r="C5" s="3435"/>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74.087699999999998</v>
      </c>
      <c r="C6" s="1729" t="s">
        <v>1651</v>
      </c>
      <c r="D6" s="2478"/>
      <c r="E6" s="2391">
        <f>IF(OR(A6=0,F6="否"),0,'数据-取费表'!K6+'数据-取费表'!S6)</f>
        <v>106.39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受贵公司委托，我公司对北京市顺义区天承环路8号院27号楼6层603房地产抵押价值进行了预评估。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估价对象为北京市顺义区天承环路8号院27号楼6层603房地产，为王淑红所有。根据《国有土地使用证》[]，估价对象（分摊）出让国有建设用地使用权面积为0平方米，建筑面积为106.39平方米。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2025年12月11日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106.39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86" t="s">
        <v>1667</v>
      </c>
      <c r="D4" s="3387"/>
      <c r="E4" s="3388" t="s">
        <v>1668</v>
      </c>
      <c r="F4" s="3389"/>
      <c r="G4" s="3386" t="s">
        <v>1669</v>
      </c>
      <c r="H4" s="3387"/>
      <c r="I4" s="3386" t="s">
        <v>1670</v>
      </c>
      <c r="J4" s="3387"/>
      <c r="K4" s="1744" t="s">
        <v>1671</v>
      </c>
      <c r="L4" s="2485"/>
      <c r="M4" s="2486"/>
      <c r="N4" s="2486"/>
      <c r="O4" s="2486"/>
      <c r="P4" s="3439" t="s">
        <v>1672</v>
      </c>
      <c r="Q4" s="3440"/>
      <c r="R4" s="3437" t="s">
        <v>1668</v>
      </c>
      <c r="S4" s="3438"/>
      <c r="T4" s="3437" t="s">
        <v>1669</v>
      </c>
      <c r="U4" s="3438"/>
      <c r="V4" s="3399" t="s">
        <v>1670</v>
      </c>
      <c r="W4" s="3399"/>
      <c r="X4" s="1265"/>
      <c r="Y4" s="3437" t="s">
        <v>1672</v>
      </c>
      <c r="Z4" s="3438"/>
      <c r="AA4" s="3436" t="s">
        <v>1668</v>
      </c>
      <c r="AB4" s="3436" t="s">
        <v>1669</v>
      </c>
      <c r="AC4" s="3436" t="s">
        <v>1670</v>
      </c>
    </row>
    <row r="5" spans="1:29">
      <c r="A5" s="348"/>
      <c r="B5" s="349"/>
      <c r="C5" s="3376" t="s">
        <v>1673</v>
      </c>
      <c r="D5" s="3377"/>
      <c r="E5" s="3374" t="s">
        <v>1674</v>
      </c>
      <c r="F5" s="3375"/>
      <c r="G5" s="3376" t="s">
        <v>1675</v>
      </c>
      <c r="H5" s="3377"/>
      <c r="I5" s="3376" t="s">
        <v>1676</v>
      </c>
      <c r="J5" s="3377"/>
      <c r="K5" s="1745"/>
      <c r="L5" s="2485"/>
      <c r="M5" s="2486"/>
      <c r="N5" s="2486"/>
      <c r="O5" s="2486"/>
      <c r="P5" s="3441"/>
      <c r="Q5" s="3393"/>
      <c r="R5" s="3372"/>
      <c r="S5" s="3373"/>
      <c r="T5" s="3372"/>
      <c r="U5" s="3373"/>
      <c r="V5" s="3399"/>
      <c r="W5" s="3399"/>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1745" t="s">
        <v>1678</v>
      </c>
      <c r="L6" s="2485"/>
      <c r="M6" s="2486"/>
      <c r="N6" s="2486"/>
      <c r="O6" s="2486"/>
      <c r="P6" s="3442"/>
      <c r="Q6" s="3395"/>
      <c r="R6" s="3372"/>
      <c r="S6" s="3373"/>
      <c r="T6" s="3396"/>
      <c r="U6" s="3397"/>
      <c r="V6" s="3399"/>
      <c r="W6" s="3399"/>
      <c r="X6" s="1265"/>
      <c r="Y6" s="3396"/>
      <c r="Z6" s="3397"/>
      <c r="AA6" s="3367"/>
      <c r="AB6" s="3367"/>
      <c r="AC6" s="3367"/>
    </row>
    <row r="7" spans="1:29" s="102" customFormat="1" ht="14.5" thickBot="1">
      <c r="A7" s="352" t="s">
        <v>1679</v>
      </c>
      <c r="B7" s="353"/>
      <c r="C7" s="354">
        <f>'数据-取费表'!B2</f>
        <v>46002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68" t="s">
        <v>1680</v>
      </c>
      <c r="Q7" s="3401"/>
      <c r="R7" s="664" t="s">
        <v>20</v>
      </c>
      <c r="S7" s="665">
        <f t="shared" ref="S7:S15" si="0">F7</f>
        <v>0</v>
      </c>
      <c r="T7" s="664" t="s">
        <v>20</v>
      </c>
      <c r="U7" s="665">
        <f t="shared" ref="U7:U15" si="1">H7</f>
        <v>0</v>
      </c>
      <c r="V7" s="664" t="s">
        <v>20</v>
      </c>
      <c r="W7" s="665">
        <f t="shared" ref="W7:W15" si="2">J7</f>
        <v>0</v>
      </c>
      <c r="X7" s="666"/>
      <c r="Y7" s="3368" t="s">
        <v>1680</v>
      </c>
      <c r="Z7" s="3369"/>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68" t="s">
        <v>1683</v>
      </c>
      <c r="Q8" s="3369"/>
      <c r="R8" s="664" t="s">
        <v>20</v>
      </c>
      <c r="S8" s="665">
        <f t="shared" si="0"/>
        <v>100</v>
      </c>
      <c r="T8" s="664" t="s">
        <v>20</v>
      </c>
      <c r="U8" s="665">
        <f t="shared" si="1"/>
        <v>100</v>
      </c>
      <c r="V8" s="664" t="s">
        <v>20</v>
      </c>
      <c r="W8" s="665">
        <f t="shared" si="2"/>
        <v>100</v>
      </c>
      <c r="X8" s="666"/>
      <c r="Y8" s="3368" t="s">
        <v>1683</v>
      </c>
      <c r="Z8" s="336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2"/>
      <c r="Q11" s="530" t="str">
        <f t="shared" si="6"/>
        <v>容积率</v>
      </c>
      <c r="R11" s="664" t="s">
        <v>18</v>
      </c>
      <c r="S11" s="665" t="e">
        <f t="shared" si="0"/>
        <v>#N/A</v>
      </c>
      <c r="T11" s="664" t="s">
        <v>18</v>
      </c>
      <c r="U11" s="665" t="e">
        <f t="shared" si="1"/>
        <v>#N/A</v>
      </c>
      <c r="V11" s="664" t="s">
        <v>18</v>
      </c>
      <c r="W11" s="665" t="e">
        <f t="shared" si="2"/>
        <v>#N/A</v>
      </c>
      <c r="X11" s="666"/>
      <c r="Y11" s="3333"/>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2"/>
      <c r="Q12" s="530">
        <f t="shared" si="6"/>
        <v>111</v>
      </c>
      <c r="R12" s="664" t="s">
        <v>18</v>
      </c>
      <c r="S12" s="665">
        <f t="shared" si="0"/>
        <v>100</v>
      </c>
      <c r="T12" s="664" t="s">
        <v>18</v>
      </c>
      <c r="U12" s="665">
        <f t="shared" si="1"/>
        <v>100</v>
      </c>
      <c r="V12" s="664" t="s">
        <v>18</v>
      </c>
      <c r="W12" s="665">
        <f t="shared" si="2"/>
        <v>100</v>
      </c>
      <c r="X12" s="666"/>
      <c r="Y12" s="333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2"/>
      <c r="Q13" s="530">
        <f t="shared" si="6"/>
        <v>111</v>
      </c>
      <c r="R13" s="664" t="s">
        <v>18</v>
      </c>
      <c r="S13" s="665">
        <f t="shared" si="0"/>
        <v>100</v>
      </c>
      <c r="T13" s="664" t="s">
        <v>18</v>
      </c>
      <c r="U13" s="665">
        <f t="shared" si="1"/>
        <v>100</v>
      </c>
      <c r="V13" s="664" t="s">
        <v>18</v>
      </c>
      <c r="W13" s="665">
        <f t="shared" si="2"/>
        <v>100</v>
      </c>
      <c r="X13" s="666"/>
      <c r="Y13" s="3333"/>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2"/>
      <c r="Q14" s="530">
        <f t="shared" si="6"/>
        <v>111</v>
      </c>
      <c r="R14" s="664" t="s">
        <v>18</v>
      </c>
      <c r="S14" s="665">
        <f t="shared" si="0"/>
        <v>100</v>
      </c>
      <c r="T14" s="664" t="s">
        <v>18</v>
      </c>
      <c r="U14" s="665">
        <f t="shared" si="1"/>
        <v>100</v>
      </c>
      <c r="V14" s="664" t="s">
        <v>18</v>
      </c>
      <c r="W14" s="665">
        <f t="shared" si="2"/>
        <v>100</v>
      </c>
      <c r="X14" s="666"/>
      <c r="Y14" s="3333"/>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2"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3"/>
      <c r="Q16" s="1263"/>
      <c r="R16" s="667"/>
      <c r="S16" s="668"/>
      <c r="T16" s="667"/>
      <c r="U16" s="668"/>
      <c r="V16" s="667"/>
      <c r="W16" s="668"/>
      <c r="X16" s="1265"/>
      <c r="Y16" s="340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3"/>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3"/>
      <c r="Q18" s="1263"/>
      <c r="R18" s="667"/>
      <c r="S18" s="668"/>
      <c r="T18" s="667"/>
      <c r="U18" s="668"/>
      <c r="V18" s="667"/>
      <c r="W18" s="668"/>
      <c r="X18" s="1265"/>
      <c r="Y18" s="340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3"/>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3"/>
      <c r="Q20" s="1263"/>
      <c r="R20" s="667"/>
      <c r="S20" s="668"/>
      <c r="T20" s="667"/>
      <c r="U20" s="668"/>
      <c r="V20" s="667"/>
      <c r="W20" s="668"/>
      <c r="X20" s="1265"/>
      <c r="Y20" s="340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3"/>
      <c r="Q22" s="1263"/>
      <c r="R22" s="667"/>
      <c r="S22" s="668"/>
      <c r="T22" s="667"/>
      <c r="U22" s="668"/>
      <c r="V22" s="667"/>
      <c r="W22" s="668"/>
      <c r="X22" s="1265"/>
      <c r="Y22" s="340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3"/>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3"/>
      <c r="Q24" s="1263"/>
      <c r="R24" s="667"/>
      <c r="S24" s="668"/>
      <c r="T24" s="667"/>
      <c r="U24" s="668"/>
      <c r="V24" s="667"/>
      <c r="W24" s="668"/>
      <c r="X24" s="1265"/>
      <c r="Y24" s="340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3"/>
      <c r="Q26" s="1263" t="str">
        <f t="shared" si="11"/>
        <v>朝向</v>
      </c>
      <c r="R26" s="667" t="s">
        <v>18</v>
      </c>
      <c r="S26" s="668">
        <f t="shared" si="12"/>
        <v>100</v>
      </c>
      <c r="T26" s="667" t="s">
        <v>18</v>
      </c>
      <c r="U26" s="668">
        <f t="shared" si="13"/>
        <v>100</v>
      </c>
      <c r="V26" s="667" t="s">
        <v>18</v>
      </c>
      <c r="W26" s="668">
        <f t="shared" si="14"/>
        <v>100</v>
      </c>
      <c r="X26" s="1265"/>
      <c r="Y26" s="340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3"/>
      <c r="Q27" s="530">
        <f t="shared" si="11"/>
        <v>111</v>
      </c>
      <c r="R27" s="664" t="s">
        <v>18</v>
      </c>
      <c r="S27" s="665">
        <f t="shared" si="12"/>
        <v>100</v>
      </c>
      <c r="T27" s="664" t="s">
        <v>18</v>
      </c>
      <c r="U27" s="665">
        <f t="shared" si="13"/>
        <v>100</v>
      </c>
      <c r="V27" s="664" t="s">
        <v>18</v>
      </c>
      <c r="W27" s="665">
        <f t="shared" si="14"/>
        <v>100</v>
      </c>
      <c r="X27" s="666"/>
      <c r="Y27" s="340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3"/>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3"/>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3"/>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3"/>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7"/>
      <c r="Q33" s="531" t="str">
        <f t="shared" si="11"/>
        <v>项目建筑规模</v>
      </c>
      <c r="R33" s="669" t="s">
        <v>18</v>
      </c>
      <c r="S33" s="670" t="e">
        <f t="shared" si="12"/>
        <v>#N/A</v>
      </c>
      <c r="T33" s="669" t="s">
        <v>18</v>
      </c>
      <c r="U33" s="670" t="e">
        <f t="shared" si="13"/>
        <v>#N/A</v>
      </c>
      <c r="V33" s="669" t="s">
        <v>18</v>
      </c>
      <c r="W33" s="670" t="e">
        <f t="shared" si="14"/>
        <v>#N/A</v>
      </c>
      <c r="X33" s="671"/>
      <c r="Y33" s="340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7"/>
      <c r="Q37" s="530" t="str">
        <f t="shared" si="11"/>
        <v>成新度</v>
      </c>
      <c r="R37" s="664" t="s">
        <v>18</v>
      </c>
      <c r="S37" s="665" t="e">
        <f t="shared" si="12"/>
        <v>#N/A</v>
      </c>
      <c r="T37" s="664" t="s">
        <v>18</v>
      </c>
      <c r="U37" s="665" t="e">
        <f t="shared" si="13"/>
        <v>#N/A</v>
      </c>
      <c r="V37" s="664" t="s">
        <v>18</v>
      </c>
      <c r="W37" s="665" t="e">
        <f t="shared" si="14"/>
        <v>#N/A</v>
      </c>
      <c r="X37" s="666"/>
      <c r="Y37" s="340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1" t="str">
        <f>A47</f>
        <v>成交单价（元/平方米）</v>
      </c>
      <c r="Q47" s="3411"/>
      <c r="R47" s="3399">
        <f>E47</f>
        <v>0</v>
      </c>
      <c r="S47" s="3399"/>
      <c r="T47" s="3399">
        <f>G47</f>
        <v>0</v>
      </c>
      <c r="U47" s="3399"/>
      <c r="V47" s="3399">
        <f>I47</f>
        <v>0</v>
      </c>
      <c r="W47" s="3399"/>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1" t="str">
        <f>A48</f>
        <v>比较价值（元/平方米）</v>
      </c>
      <c r="Q48" s="3411"/>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106.39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86" t="s">
        <v>1770</v>
      </c>
      <c r="D4" s="3387"/>
      <c r="E4" s="3388" t="s">
        <v>1771</v>
      </c>
      <c r="F4" s="3389"/>
      <c r="G4" s="3386" t="s">
        <v>1772</v>
      </c>
      <c r="H4" s="3387"/>
      <c r="I4" s="3386" t="s">
        <v>1773</v>
      </c>
      <c r="J4" s="3387"/>
      <c r="K4" s="537" t="s">
        <v>1774</v>
      </c>
      <c r="L4" s="2485"/>
      <c r="M4" s="2486"/>
      <c r="N4" s="2486"/>
      <c r="O4" s="2486"/>
      <c r="P4" s="3439" t="s">
        <v>1775</v>
      </c>
      <c r="Q4" s="3440"/>
      <c r="R4" s="3437" t="s">
        <v>1771</v>
      </c>
      <c r="S4" s="3438"/>
      <c r="T4" s="3437" t="s">
        <v>1772</v>
      </c>
      <c r="U4" s="3438"/>
      <c r="V4" s="3399" t="s">
        <v>1773</v>
      </c>
      <c r="W4" s="3399"/>
      <c r="X4" s="1265"/>
      <c r="Y4" s="3437" t="s">
        <v>1775</v>
      </c>
      <c r="Z4" s="3438"/>
      <c r="AA4" s="3436" t="s">
        <v>1771</v>
      </c>
      <c r="AB4" s="3399" t="s">
        <v>1772</v>
      </c>
      <c r="AC4" s="3436" t="s">
        <v>1773</v>
      </c>
    </row>
    <row r="5" spans="1:29">
      <c r="A5" s="348"/>
      <c r="B5" s="349"/>
      <c r="C5" s="3376" t="s">
        <v>1673</v>
      </c>
      <c r="D5" s="3377"/>
      <c r="E5" s="3374" t="s">
        <v>1674</v>
      </c>
      <c r="F5" s="3375"/>
      <c r="G5" s="3376" t="s">
        <v>1675</v>
      </c>
      <c r="H5" s="3377"/>
      <c r="I5" s="3376" t="s">
        <v>1676</v>
      </c>
      <c r="J5" s="3377"/>
      <c r="K5" s="537"/>
      <c r="L5" s="2485"/>
      <c r="M5" s="2486"/>
      <c r="N5" s="2486"/>
      <c r="O5" s="2486"/>
      <c r="P5" s="3441"/>
      <c r="Q5" s="3393"/>
      <c r="R5" s="3372"/>
      <c r="S5" s="3373"/>
      <c r="T5" s="3372"/>
      <c r="U5" s="3373"/>
      <c r="V5" s="3399"/>
      <c r="W5" s="3399"/>
      <c r="X5" s="1265"/>
      <c r="Y5" s="3372"/>
      <c r="Z5" s="3373"/>
      <c r="AA5" s="3366"/>
      <c r="AB5" s="3399"/>
      <c r="AC5" s="3366"/>
    </row>
    <row r="6" spans="1:29" ht="15" thickBot="1">
      <c r="A6" s="350"/>
      <c r="B6" s="351"/>
      <c r="C6" s="3378" t="s">
        <v>1677</v>
      </c>
      <c r="D6" s="3379"/>
      <c r="E6" s="3380" t="s">
        <v>1677</v>
      </c>
      <c r="F6" s="3381"/>
      <c r="G6" s="3378" t="s">
        <v>1677</v>
      </c>
      <c r="H6" s="3379"/>
      <c r="I6" s="3378" t="s">
        <v>1677</v>
      </c>
      <c r="J6" s="3379"/>
      <c r="K6" s="537" t="s">
        <v>1678</v>
      </c>
      <c r="L6" s="2485"/>
      <c r="M6" s="2486"/>
      <c r="N6" s="2486"/>
      <c r="O6" s="2486"/>
      <c r="P6" s="3442"/>
      <c r="Q6" s="3395"/>
      <c r="R6" s="3372"/>
      <c r="S6" s="3373"/>
      <c r="T6" s="3396"/>
      <c r="U6" s="3397"/>
      <c r="V6" s="3399"/>
      <c r="W6" s="3399"/>
      <c r="X6" s="1265"/>
      <c r="Y6" s="3396"/>
      <c r="Z6" s="3397"/>
      <c r="AA6" s="3367"/>
      <c r="AB6" s="3399"/>
      <c r="AC6" s="3367"/>
    </row>
    <row r="7" spans="1:29" s="102" customFormat="1" ht="14.5" thickBot="1">
      <c r="A7" s="352" t="s">
        <v>1679</v>
      </c>
      <c r="B7" s="353"/>
      <c r="C7" s="354">
        <f>'数据-取费表'!B2</f>
        <v>46002</v>
      </c>
      <c r="D7" s="355">
        <v>100</v>
      </c>
      <c r="E7" s="356"/>
      <c r="F7" s="357">
        <f>SUMIF(58:58,YEAR(E7)&amp;"-"&amp;MONTH(E7),59:59)</f>
        <v>0</v>
      </c>
      <c r="G7" s="356"/>
      <c r="H7" s="355">
        <f>SUMIF(58:58,YEAR(G7)&amp;"-"&amp;MONTH(G7),59:59)</f>
        <v>0</v>
      </c>
      <c r="I7" s="356"/>
      <c r="J7" s="355">
        <f>SUMIF(58:58,YEAR(I7)&amp;"-"&amp;MONTH(I7),59:59)</f>
        <v>0</v>
      </c>
      <c r="K7" s="38"/>
      <c r="L7" s="2487"/>
      <c r="M7" s="2439"/>
      <c r="N7" s="2439"/>
      <c r="O7" s="2439"/>
      <c r="P7" s="3368" t="s">
        <v>1680</v>
      </c>
      <c r="Q7" s="3401"/>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68" t="s">
        <v>1683</v>
      </c>
      <c r="Q8" s="3369"/>
      <c r="R8" s="664" t="s">
        <v>14</v>
      </c>
      <c r="S8" s="665">
        <f t="shared" si="0"/>
        <v>100</v>
      </c>
      <c r="T8" s="664" t="s">
        <v>14</v>
      </c>
      <c r="U8" s="665">
        <f t="shared" si="1"/>
        <v>100</v>
      </c>
      <c r="V8" s="664" t="s">
        <v>14</v>
      </c>
      <c r="W8" s="665">
        <f t="shared" si="2"/>
        <v>100</v>
      </c>
      <c r="X8" s="666"/>
      <c r="Y8" s="3368" t="s">
        <v>1683</v>
      </c>
      <c r="Z8" s="336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2"/>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2"/>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2"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03"/>
      <c r="Q16" s="1263"/>
      <c r="R16" s="667"/>
      <c r="S16" s="668"/>
      <c r="T16" s="667"/>
      <c r="U16" s="668"/>
      <c r="V16" s="667"/>
      <c r="W16" s="668"/>
      <c r="X16" s="1265"/>
      <c r="Y16" s="340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03"/>
      <c r="Q18" s="1263"/>
      <c r="R18" s="667"/>
      <c r="S18" s="668"/>
      <c r="T18" s="667"/>
      <c r="U18" s="668"/>
      <c r="V18" s="667"/>
      <c r="W18" s="668"/>
      <c r="X18" s="1265"/>
      <c r="Y18" s="340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3"/>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03"/>
      <c r="Q20" s="1263"/>
      <c r="R20" s="667"/>
      <c r="S20" s="668"/>
      <c r="T20" s="667"/>
      <c r="U20" s="668"/>
      <c r="V20" s="667"/>
      <c r="W20" s="668"/>
      <c r="X20" s="1265"/>
      <c r="Y20" s="340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03"/>
      <c r="Q22" s="1263"/>
      <c r="R22" s="667"/>
      <c r="S22" s="668"/>
      <c r="T22" s="667"/>
      <c r="U22" s="668"/>
      <c r="V22" s="667"/>
      <c r="W22" s="668"/>
      <c r="X22" s="1265"/>
      <c r="Y22" s="340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3"/>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03"/>
      <c r="Q24" s="1263"/>
      <c r="R24" s="667"/>
      <c r="S24" s="668"/>
      <c r="T24" s="667"/>
      <c r="U24" s="668"/>
      <c r="V24" s="667"/>
      <c r="W24" s="668"/>
      <c r="X24" s="1265"/>
      <c r="Y24" s="340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3"/>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3"/>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3"/>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3"/>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3"/>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3"/>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11" t="str">
        <f>A47</f>
        <v>成交单价（元/平方米）</v>
      </c>
      <c r="Q47" s="3411"/>
      <c r="R47" s="3399">
        <f>E47</f>
        <v>0</v>
      </c>
      <c r="S47" s="3399"/>
      <c r="T47" s="3399">
        <f>G47</f>
        <v>0</v>
      </c>
      <c r="U47" s="3399"/>
      <c r="V47" s="3399">
        <f>I47</f>
        <v>0</v>
      </c>
      <c r="W47" s="3399"/>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1" t="str">
        <f>A48</f>
        <v>比较价值（元/平方米）</v>
      </c>
      <c r="Q48" s="3411"/>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106.39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860"/>
      <c r="M4" s="861"/>
      <c r="N4" s="861"/>
      <c r="O4" s="861"/>
      <c r="P4" s="3439" t="s">
        <v>1775</v>
      </c>
      <c r="Q4" s="3440"/>
      <c r="R4" s="3437" t="s">
        <v>1771</v>
      </c>
      <c r="S4" s="3438"/>
      <c r="T4" s="3437" t="s">
        <v>1772</v>
      </c>
      <c r="U4" s="3438"/>
      <c r="V4" s="3399" t="s">
        <v>1773</v>
      </c>
      <c r="W4" s="3399"/>
      <c r="X4" s="1265"/>
      <c r="Y4" s="3437" t="s">
        <v>1775</v>
      </c>
      <c r="Z4" s="3438"/>
      <c r="AA4" s="3436" t="s">
        <v>1771</v>
      </c>
      <c r="AB4" s="3366" t="s">
        <v>1772</v>
      </c>
      <c r="AC4" s="3436" t="s">
        <v>1773</v>
      </c>
    </row>
    <row r="5" spans="1:29">
      <c r="A5" s="348"/>
      <c r="B5" s="349"/>
      <c r="C5" s="3376" t="s">
        <v>1673</v>
      </c>
      <c r="D5" s="3377"/>
      <c r="E5" s="3374" t="s">
        <v>1674</v>
      </c>
      <c r="F5" s="3375"/>
      <c r="G5" s="3376" t="s">
        <v>1675</v>
      </c>
      <c r="H5" s="3377"/>
      <c r="I5" s="3376" t="s">
        <v>1676</v>
      </c>
      <c r="J5" s="3377"/>
      <c r="K5" s="537"/>
      <c r="L5" s="860"/>
      <c r="M5" s="861"/>
      <c r="N5" s="861"/>
      <c r="O5" s="861"/>
      <c r="P5" s="3441"/>
      <c r="Q5" s="3393"/>
      <c r="R5" s="3372"/>
      <c r="S5" s="3373"/>
      <c r="T5" s="3372"/>
      <c r="U5" s="3373"/>
      <c r="V5" s="3399"/>
      <c r="W5" s="3399"/>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537" t="s">
        <v>1678</v>
      </c>
      <c r="L6" s="860"/>
      <c r="M6" s="861"/>
      <c r="N6" s="861"/>
      <c r="O6" s="861"/>
      <c r="P6" s="3442"/>
      <c r="Q6" s="3395"/>
      <c r="R6" s="3372"/>
      <c r="S6" s="3373"/>
      <c r="T6" s="3396"/>
      <c r="U6" s="3397"/>
      <c r="V6" s="3399"/>
      <c r="W6" s="3399"/>
      <c r="X6" s="1265"/>
      <c r="Y6" s="3396"/>
      <c r="Z6" s="3397"/>
      <c r="AA6" s="3367"/>
      <c r="AB6" s="3367"/>
      <c r="AC6" s="3367"/>
    </row>
    <row r="7" spans="1:29" s="102" customFormat="1" ht="14.5" thickBot="1">
      <c r="A7" s="352" t="s">
        <v>1679</v>
      </c>
      <c r="B7" s="353"/>
      <c r="C7" s="354">
        <f>'数据-取费表'!B2</f>
        <v>46002</v>
      </c>
      <c r="D7" s="355">
        <v>100</v>
      </c>
      <c r="E7" s="356"/>
      <c r="F7" s="357">
        <f>SUMIF(52:52,YEAR(E7)&amp;"-"&amp;MONTH(E7),53:53)</f>
        <v>0</v>
      </c>
      <c r="G7" s="356"/>
      <c r="H7" s="355">
        <f>SUMIF(52:52,YEAR(G7)&amp;"-"&amp;MONTH(G7),53:53)</f>
        <v>0</v>
      </c>
      <c r="I7" s="356"/>
      <c r="J7" s="355">
        <f>SUMIF(52:52,YEAR(I7)&amp;"-"&amp;MONTH(I7),53:53)</f>
        <v>0</v>
      </c>
      <c r="K7" s="38"/>
      <c r="L7" s="862"/>
      <c r="M7" s="863"/>
      <c r="N7" s="863"/>
      <c r="O7" s="863"/>
      <c r="P7" s="3368" t="s">
        <v>1680</v>
      </c>
      <c r="Q7" s="3401"/>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8" t="s">
        <v>1683</v>
      </c>
      <c r="Q8" s="3369"/>
      <c r="R8" s="664" t="s">
        <v>14</v>
      </c>
      <c r="S8" s="665">
        <f t="shared" si="0"/>
        <v>100</v>
      </c>
      <c r="T8" s="664" t="s">
        <v>14</v>
      </c>
      <c r="U8" s="665">
        <f t="shared" si="1"/>
        <v>100</v>
      </c>
      <c r="V8" s="664" t="s">
        <v>14</v>
      </c>
      <c r="W8" s="665">
        <f t="shared" si="2"/>
        <v>100</v>
      </c>
      <c r="X8" s="666"/>
      <c r="Y8" s="3368" t="s">
        <v>1683</v>
      </c>
      <c r="Z8" s="336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1" t="str">
        <f>A41</f>
        <v>成交单价（元/平方米）</v>
      </c>
      <c r="Q41" s="3411"/>
      <c r="R41" s="3399">
        <f>E41</f>
        <v>0</v>
      </c>
      <c r="S41" s="3399"/>
      <c r="T41" s="3399">
        <f>G41</f>
        <v>0</v>
      </c>
      <c r="U41" s="3399"/>
      <c r="V41" s="3399">
        <f>I41</f>
        <v>0</v>
      </c>
      <c r="W41" s="3399"/>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5"/>
      <c r="M4" s="2486"/>
      <c r="N4" s="2486"/>
      <c r="O4" s="2486"/>
      <c r="P4" s="3439" t="s">
        <v>1775</v>
      </c>
      <c r="Q4" s="3440"/>
      <c r="R4" s="3437" t="s">
        <v>1771</v>
      </c>
      <c r="S4" s="3438"/>
      <c r="T4" s="3437" t="s">
        <v>1772</v>
      </c>
      <c r="U4" s="3438"/>
      <c r="V4" s="3399" t="s">
        <v>1773</v>
      </c>
      <c r="W4" s="3399"/>
      <c r="X4" s="1265"/>
      <c r="Y4" s="3437" t="s">
        <v>1775</v>
      </c>
      <c r="Z4" s="3438"/>
      <c r="AA4" s="3436" t="s">
        <v>1771</v>
      </c>
      <c r="AB4" s="3366" t="s">
        <v>1772</v>
      </c>
      <c r="AC4" s="3436" t="s">
        <v>1773</v>
      </c>
    </row>
    <row r="5" spans="1:29">
      <c r="A5" s="348"/>
      <c r="B5" s="349"/>
      <c r="C5" s="3376" t="s">
        <v>1673</v>
      </c>
      <c r="D5" s="3377"/>
      <c r="E5" s="3374" t="s">
        <v>1674</v>
      </c>
      <c r="F5" s="3375"/>
      <c r="G5" s="3376" t="s">
        <v>1675</v>
      </c>
      <c r="H5" s="3377"/>
      <c r="I5" s="3376" t="s">
        <v>1676</v>
      </c>
      <c r="J5" s="3377"/>
      <c r="K5" s="537"/>
      <c r="L5" s="2485"/>
      <c r="M5" s="2486"/>
      <c r="N5" s="2486"/>
      <c r="O5" s="2486"/>
      <c r="P5" s="3441"/>
      <c r="Q5" s="3393"/>
      <c r="R5" s="3372"/>
      <c r="S5" s="3373"/>
      <c r="T5" s="3372"/>
      <c r="U5" s="3373"/>
      <c r="V5" s="3399"/>
      <c r="W5" s="3399"/>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537" t="s">
        <v>1678</v>
      </c>
      <c r="L6" s="2485"/>
      <c r="M6" s="2486"/>
      <c r="N6" s="2486"/>
      <c r="O6" s="2486"/>
      <c r="P6" s="3442"/>
      <c r="Q6" s="3395"/>
      <c r="R6" s="3372"/>
      <c r="S6" s="3373"/>
      <c r="T6" s="3396"/>
      <c r="U6" s="3397"/>
      <c r="V6" s="3399"/>
      <c r="W6" s="3399"/>
      <c r="X6" s="1265"/>
      <c r="Y6" s="3396"/>
      <c r="Z6" s="3397"/>
      <c r="AA6" s="3367"/>
      <c r="AB6" s="3367"/>
      <c r="AC6" s="3367"/>
    </row>
    <row r="7" spans="1:29" s="102" customFormat="1" ht="14.5" thickBot="1">
      <c r="A7" s="352" t="s">
        <v>1679</v>
      </c>
      <c r="B7" s="353"/>
      <c r="C7" s="354">
        <f>'数据-取费表'!B2</f>
        <v>46002</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8" t="s">
        <v>1680</v>
      </c>
      <c r="Q7" s="3401"/>
      <c r="R7" s="664" t="s">
        <v>14</v>
      </c>
      <c r="S7" s="665">
        <f t="shared" ref="S7:S14" si="0">F7</f>
        <v>0</v>
      </c>
      <c r="T7" s="664" t="s">
        <v>14</v>
      </c>
      <c r="U7" s="665">
        <f t="shared" ref="U7:U14" si="1">H7</f>
        <v>0</v>
      </c>
      <c r="V7" s="664" t="s">
        <v>14</v>
      </c>
      <c r="W7" s="665">
        <f t="shared" ref="W7:W14" si="2">J7</f>
        <v>0</v>
      </c>
      <c r="X7" s="666"/>
      <c r="Y7" s="3368" t="s">
        <v>1680</v>
      </c>
      <c r="Z7" s="3369"/>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8" t="s">
        <v>1683</v>
      </c>
      <c r="Q8" s="3369"/>
      <c r="R8" s="664" t="s">
        <v>14</v>
      </c>
      <c r="S8" s="665">
        <f t="shared" si="0"/>
        <v>100</v>
      </c>
      <c r="T8" s="664" t="s">
        <v>14</v>
      </c>
      <c r="U8" s="665">
        <f t="shared" si="1"/>
        <v>100</v>
      </c>
      <c r="V8" s="664" t="s">
        <v>14</v>
      </c>
      <c r="W8" s="665">
        <f t="shared" si="2"/>
        <v>100</v>
      </c>
      <c r="X8" s="666"/>
      <c r="Y8" s="3368" t="s">
        <v>1683</v>
      </c>
      <c r="Z8" s="336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5"/>
      <c r="Q15" s="1263"/>
      <c r="R15" s="667"/>
      <c r="S15" s="668"/>
      <c r="T15" s="667"/>
      <c r="U15" s="668"/>
      <c r="V15" s="667"/>
      <c r="W15" s="668"/>
      <c r="X15" s="1265"/>
      <c r="Y15" s="340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5"/>
      <c r="Q17" s="1263"/>
      <c r="R17" s="667"/>
      <c r="S17" s="668"/>
      <c r="T17" s="667"/>
      <c r="U17" s="668"/>
      <c r="V17" s="667"/>
      <c r="W17" s="668"/>
      <c r="X17" s="1265"/>
      <c r="Y17" s="340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5"/>
      <c r="Q19" s="1263"/>
      <c r="R19" s="667"/>
      <c r="S19" s="668"/>
      <c r="T19" s="667"/>
      <c r="U19" s="668"/>
      <c r="V19" s="667"/>
      <c r="W19" s="668"/>
      <c r="X19" s="1265"/>
      <c r="Y19" s="340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5"/>
      <c r="Q21" s="1263"/>
      <c r="R21" s="667"/>
      <c r="S21" s="668"/>
      <c r="T21" s="667"/>
      <c r="U21" s="668"/>
      <c r="V21" s="667"/>
      <c r="W21" s="668"/>
      <c r="X21" s="1265"/>
      <c r="Y21" s="340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11" t="str">
        <f>A37</f>
        <v>成交单价</v>
      </c>
      <c r="Q37" s="3411"/>
      <c r="R37" s="3399">
        <f>E37</f>
        <v>0</v>
      </c>
      <c r="S37" s="3399"/>
      <c r="T37" s="3399">
        <f>G37</f>
        <v>0</v>
      </c>
      <c r="U37" s="3399"/>
      <c r="V37" s="3399">
        <f>I37</f>
        <v>0</v>
      </c>
      <c r="W37" s="3399"/>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1" t="str">
        <f>A38</f>
        <v>比较价值（元/平方米）</v>
      </c>
      <c r="Q38" s="3411"/>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43" t="str">
        <f>A39</f>
        <v>估价对象XX用房的比较价值（楼面单价，元/平方米）</v>
      </c>
      <c r="Q39" s="3444"/>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5"/>
      <c r="M4" s="2486"/>
      <c r="N4" s="2486"/>
      <c r="O4" s="2486"/>
      <c r="P4" s="3439" t="s">
        <v>1775</v>
      </c>
      <c r="Q4" s="3440"/>
      <c r="R4" s="3437" t="s">
        <v>1771</v>
      </c>
      <c r="S4" s="3438"/>
      <c r="T4" s="3437" t="s">
        <v>1772</v>
      </c>
      <c r="U4" s="3438"/>
      <c r="V4" s="3399" t="s">
        <v>1773</v>
      </c>
      <c r="W4" s="3399"/>
      <c r="X4" s="1265"/>
      <c r="Y4" s="3437" t="s">
        <v>1775</v>
      </c>
      <c r="Z4" s="3438"/>
      <c r="AA4" s="3436" t="s">
        <v>1771</v>
      </c>
      <c r="AB4" s="3366" t="s">
        <v>1772</v>
      </c>
      <c r="AC4" s="3436" t="s">
        <v>1773</v>
      </c>
    </row>
    <row r="5" spans="1:29">
      <c r="A5" s="348"/>
      <c r="B5" s="349"/>
      <c r="C5" s="3376" t="s">
        <v>1673</v>
      </c>
      <c r="D5" s="3377"/>
      <c r="E5" s="3374" t="s">
        <v>1674</v>
      </c>
      <c r="F5" s="3375"/>
      <c r="G5" s="3376" t="s">
        <v>1675</v>
      </c>
      <c r="H5" s="3377"/>
      <c r="I5" s="3376" t="s">
        <v>1676</v>
      </c>
      <c r="J5" s="3377"/>
      <c r="K5" s="537"/>
      <c r="L5" s="2485"/>
      <c r="M5" s="2486"/>
      <c r="N5" s="2486"/>
      <c r="O5" s="2486"/>
      <c r="P5" s="3441"/>
      <c r="Q5" s="3393"/>
      <c r="R5" s="3372"/>
      <c r="S5" s="3373"/>
      <c r="T5" s="3372"/>
      <c r="U5" s="3373"/>
      <c r="V5" s="3399"/>
      <c r="W5" s="3399"/>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537" t="s">
        <v>1678</v>
      </c>
      <c r="L6" s="2485"/>
      <c r="M6" s="2486"/>
      <c r="N6" s="2486"/>
      <c r="O6" s="2486"/>
      <c r="P6" s="3442"/>
      <c r="Q6" s="3395"/>
      <c r="R6" s="3372"/>
      <c r="S6" s="3373"/>
      <c r="T6" s="3396"/>
      <c r="U6" s="3397"/>
      <c r="V6" s="3399"/>
      <c r="W6" s="3399"/>
      <c r="X6" s="1265"/>
      <c r="Y6" s="3396"/>
      <c r="Z6" s="3397"/>
      <c r="AA6" s="3367"/>
      <c r="AB6" s="3367"/>
      <c r="AC6" s="3367"/>
    </row>
    <row r="7" spans="1:29" s="102" customFormat="1" ht="14.5" thickBot="1">
      <c r="A7" s="352" t="s">
        <v>1679</v>
      </c>
      <c r="B7" s="353"/>
      <c r="C7" s="354">
        <f>'数据-取费表'!B2</f>
        <v>46002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68" t="s">
        <v>1680</v>
      </c>
      <c r="Q7" s="3401"/>
      <c r="R7" s="664" t="s">
        <v>14</v>
      </c>
      <c r="S7" s="665">
        <f t="shared" ref="S7:S14" si="0">F7</f>
        <v>0</v>
      </c>
      <c r="T7" s="664" t="s">
        <v>14</v>
      </c>
      <c r="U7" s="665">
        <f t="shared" ref="U7:U14" si="1">H7</f>
        <v>0</v>
      </c>
      <c r="V7" s="664" t="s">
        <v>14</v>
      </c>
      <c r="W7" s="665">
        <f t="shared" ref="W7:W14" si="2">J7</f>
        <v>0</v>
      </c>
      <c r="X7" s="666"/>
      <c r="Y7" s="3368" t="s">
        <v>1680</v>
      </c>
      <c r="Z7" s="336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8" t="s">
        <v>1683</v>
      </c>
      <c r="Q8" s="3369"/>
      <c r="R8" s="664" t="s">
        <v>14</v>
      </c>
      <c r="S8" s="665">
        <f t="shared" si="0"/>
        <v>100</v>
      </c>
      <c r="T8" s="664" t="s">
        <v>14</v>
      </c>
      <c r="U8" s="665">
        <f t="shared" si="1"/>
        <v>100</v>
      </c>
      <c r="V8" s="664" t="s">
        <v>14</v>
      </c>
      <c r="W8" s="665">
        <f t="shared" si="2"/>
        <v>100</v>
      </c>
      <c r="X8" s="666"/>
      <c r="Y8" s="3368" t="s">
        <v>1683</v>
      </c>
      <c r="Z8" s="336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5"/>
      <c r="Q15" s="1263"/>
      <c r="R15" s="667"/>
      <c r="S15" s="668"/>
      <c r="T15" s="667"/>
      <c r="U15" s="668"/>
      <c r="V15" s="667"/>
      <c r="W15" s="668"/>
      <c r="X15" s="1265"/>
      <c r="Y15" s="340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5"/>
      <c r="Q17" s="1263"/>
      <c r="R17" s="667"/>
      <c r="S17" s="668"/>
      <c r="T17" s="667"/>
      <c r="U17" s="668"/>
      <c r="V17" s="667"/>
      <c r="W17" s="668"/>
      <c r="X17" s="1265"/>
      <c r="Y17" s="340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5"/>
      <c r="Q19" s="1263"/>
      <c r="R19" s="667"/>
      <c r="S19" s="668"/>
      <c r="T19" s="667"/>
      <c r="U19" s="668"/>
      <c r="V19" s="667"/>
      <c r="W19" s="668"/>
      <c r="X19" s="1265"/>
      <c r="Y19" s="340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5"/>
      <c r="Q21" s="1263"/>
      <c r="R21" s="667"/>
      <c r="S21" s="668"/>
      <c r="T21" s="667"/>
      <c r="U21" s="668"/>
      <c r="V21" s="667"/>
      <c r="W21" s="668"/>
      <c r="X21" s="1265"/>
      <c r="Y21" s="340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1" t="str">
        <f>A35</f>
        <v>成交单价（元/平方米）</v>
      </c>
      <c r="Q35" s="3411"/>
      <c r="R35" s="3399">
        <f>E35</f>
        <v>0</v>
      </c>
      <c r="S35" s="3399"/>
      <c r="T35" s="3399">
        <f>G35</f>
        <v>0</v>
      </c>
      <c r="U35" s="3399"/>
      <c r="V35" s="3399">
        <f>I35</f>
        <v>0</v>
      </c>
      <c r="W35" s="3399"/>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1" t="str">
        <f>A36</f>
        <v>比较价值（元/平方米）</v>
      </c>
      <c r="Q36" s="3411"/>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43" t="str">
        <f>A37</f>
        <v>估价对象XX用房的比较价值（楼面单价，元/平方米）</v>
      </c>
      <c r="Q37" s="3444"/>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5"/>
      <c r="M4" s="2486"/>
      <c r="N4" s="2486"/>
      <c r="O4" s="2486"/>
      <c r="P4" s="3439" t="s">
        <v>1775</v>
      </c>
      <c r="Q4" s="3440"/>
      <c r="R4" s="3437" t="s">
        <v>1771</v>
      </c>
      <c r="S4" s="3438"/>
      <c r="T4" s="3437" t="s">
        <v>1772</v>
      </c>
      <c r="U4" s="3438"/>
      <c r="V4" s="3399" t="s">
        <v>1773</v>
      </c>
      <c r="W4" s="3399"/>
      <c r="X4" s="1265"/>
      <c r="Y4" s="3437" t="s">
        <v>1775</v>
      </c>
      <c r="Z4" s="3438"/>
      <c r="AA4" s="3436" t="s">
        <v>1771</v>
      </c>
      <c r="AB4" s="3366" t="s">
        <v>1772</v>
      </c>
      <c r="AC4" s="3436" t="s">
        <v>1773</v>
      </c>
    </row>
    <row r="5" spans="1:29">
      <c r="A5" s="348"/>
      <c r="B5" s="349"/>
      <c r="C5" s="3376" t="s">
        <v>1673</v>
      </c>
      <c r="D5" s="3377"/>
      <c r="E5" s="3374" t="s">
        <v>1674</v>
      </c>
      <c r="F5" s="3375"/>
      <c r="G5" s="3376" t="s">
        <v>1675</v>
      </c>
      <c r="H5" s="3377"/>
      <c r="I5" s="3376" t="s">
        <v>1676</v>
      </c>
      <c r="J5" s="3377"/>
      <c r="K5" s="537"/>
      <c r="L5" s="2485"/>
      <c r="M5" s="2486"/>
      <c r="N5" s="2486"/>
      <c r="O5" s="2486"/>
      <c r="P5" s="3441"/>
      <c r="Q5" s="3393"/>
      <c r="R5" s="3372"/>
      <c r="S5" s="3373"/>
      <c r="T5" s="3372"/>
      <c r="U5" s="3373"/>
      <c r="V5" s="3399"/>
      <c r="W5" s="3399"/>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537" t="s">
        <v>1678</v>
      </c>
      <c r="L6" s="2485"/>
      <c r="M6" s="2486"/>
      <c r="N6" s="2486"/>
      <c r="O6" s="2486"/>
      <c r="P6" s="3442"/>
      <c r="Q6" s="3395"/>
      <c r="R6" s="3372"/>
      <c r="S6" s="3373"/>
      <c r="T6" s="3396"/>
      <c r="U6" s="3397"/>
      <c r="V6" s="3399"/>
      <c r="W6" s="3399"/>
      <c r="X6" s="1265"/>
      <c r="Y6" s="3396"/>
      <c r="Z6" s="3397"/>
      <c r="AA6" s="3367"/>
      <c r="AB6" s="3367"/>
      <c r="AC6" s="3367"/>
    </row>
    <row r="7" spans="1:29" s="102" customFormat="1" ht="14.5" thickBot="1">
      <c r="A7" s="352" t="s">
        <v>1679</v>
      </c>
      <c r="B7" s="353"/>
      <c r="C7" s="354">
        <f>'数据-取费表'!B2</f>
        <v>46002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68" t="s">
        <v>1680</v>
      </c>
      <c r="Q7" s="3401"/>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8" t="s">
        <v>1683</v>
      </c>
      <c r="Q8" s="3369"/>
      <c r="R8" s="664" t="s">
        <v>14</v>
      </c>
      <c r="S8" s="665">
        <f t="shared" si="0"/>
        <v>0</v>
      </c>
      <c r="T8" s="664" t="s">
        <v>14</v>
      </c>
      <c r="U8" s="665">
        <f t="shared" si="1"/>
        <v>0</v>
      </c>
      <c r="V8" s="664" t="s">
        <v>14</v>
      </c>
      <c r="W8" s="665">
        <f t="shared" si="2"/>
        <v>0</v>
      </c>
      <c r="X8" s="666"/>
      <c r="Y8" s="3368" t="s">
        <v>1683</v>
      </c>
      <c r="Z8" s="336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411"/>
      <c r="Q10" s="530" t="str">
        <f t="shared" si="6"/>
        <v>土地使用年限（年）</v>
      </c>
      <c r="R10" s="664" t="s">
        <v>14</v>
      </c>
      <c r="S10" s="665">
        <f t="shared" si="0"/>
        <v>111</v>
      </c>
      <c r="T10" s="664" t="s">
        <v>14</v>
      </c>
      <c r="U10" s="665">
        <f t="shared" si="1"/>
        <v>111</v>
      </c>
      <c r="V10" s="664" t="s">
        <v>14</v>
      </c>
      <c r="W10" s="665">
        <f t="shared" si="2"/>
        <v>111</v>
      </c>
      <c r="X10" s="666"/>
      <c r="Y10" s="3333"/>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1"/>
      <c r="Q12" s="530" t="str">
        <f t="shared" si="6"/>
        <v>配建</v>
      </c>
      <c r="R12" s="664" t="s">
        <v>14</v>
      </c>
      <c r="S12" s="665">
        <f t="shared" si="0"/>
        <v>100</v>
      </c>
      <c r="T12" s="664" t="s">
        <v>14</v>
      </c>
      <c r="U12" s="665">
        <f t="shared" si="1"/>
        <v>100</v>
      </c>
      <c r="V12" s="664" t="s">
        <v>14</v>
      </c>
      <c r="W12" s="665">
        <f t="shared" si="2"/>
        <v>100</v>
      </c>
      <c r="X12" s="666"/>
      <c r="Y12" s="3333"/>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1"/>
      <c r="Q13" s="530">
        <f t="shared" si="6"/>
        <v>111</v>
      </c>
      <c r="R13" s="664" t="s">
        <v>14</v>
      </c>
      <c r="S13" s="665">
        <f t="shared" si="0"/>
        <v>100</v>
      </c>
      <c r="T13" s="664" t="s">
        <v>14</v>
      </c>
      <c r="U13" s="665">
        <f t="shared" si="1"/>
        <v>100</v>
      </c>
      <c r="V13" s="664" t="s">
        <v>14</v>
      </c>
      <c r="W13" s="665">
        <f t="shared" si="2"/>
        <v>100</v>
      </c>
      <c r="X13" s="666"/>
      <c r="Y13" s="3333"/>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1"/>
      <c r="Q14" s="530">
        <f t="shared" si="6"/>
        <v>111</v>
      </c>
      <c r="R14" s="664" t="s">
        <v>14</v>
      </c>
      <c r="S14" s="665">
        <f t="shared" si="0"/>
        <v>100</v>
      </c>
      <c r="T14" s="664" t="s">
        <v>14</v>
      </c>
      <c r="U14" s="665">
        <f t="shared" si="1"/>
        <v>100</v>
      </c>
      <c r="V14" s="664" t="s">
        <v>14</v>
      </c>
      <c r="W14" s="665">
        <f t="shared" si="2"/>
        <v>100</v>
      </c>
      <c r="X14" s="666"/>
      <c r="Y14" s="3333"/>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5"/>
      <c r="Q20" s="1263"/>
      <c r="R20" s="667"/>
      <c r="S20" s="668"/>
      <c r="T20" s="667"/>
      <c r="U20" s="668"/>
      <c r="V20" s="667"/>
      <c r="W20" s="668"/>
      <c r="X20" s="1265"/>
      <c r="Y20" s="340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5"/>
      <c r="Q24" s="1263"/>
      <c r="R24" s="667"/>
      <c r="S24" s="668"/>
      <c r="T24" s="667"/>
      <c r="U24" s="668"/>
      <c r="V24" s="667"/>
      <c r="W24" s="668"/>
      <c r="X24" s="1265"/>
      <c r="Y24" s="340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5"/>
      <c r="Q26" s="1263"/>
      <c r="R26" s="667"/>
      <c r="S26" s="668"/>
      <c r="T26" s="667"/>
      <c r="U26" s="668"/>
      <c r="V26" s="667"/>
      <c r="W26" s="668"/>
      <c r="X26" s="1265"/>
      <c r="Y26" s="340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5"/>
      <c r="Q28" s="530"/>
      <c r="R28" s="664"/>
      <c r="S28" s="665"/>
      <c r="T28" s="664"/>
      <c r="U28" s="665"/>
      <c r="V28" s="664"/>
      <c r="W28" s="665"/>
      <c r="X28" s="666"/>
      <c r="Y28" s="340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5"/>
      <c r="Q30" s="530"/>
      <c r="R30" s="664"/>
      <c r="S30" s="665"/>
      <c r="T30" s="664"/>
      <c r="U30" s="665"/>
      <c r="V30" s="664"/>
      <c r="W30" s="665"/>
      <c r="X30" s="666"/>
      <c r="Y30" s="340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5"/>
      <c r="Q33" s="1263"/>
      <c r="R33" s="667"/>
      <c r="S33" s="668"/>
      <c r="T33" s="667"/>
      <c r="U33" s="668"/>
      <c r="V33" s="667"/>
      <c r="W33" s="668"/>
      <c r="X33" s="1265"/>
      <c r="Y33" s="340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6"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1" t="str">
        <f>A46</f>
        <v>成交单价</v>
      </c>
      <c r="Q46" s="3411"/>
      <c r="R46" s="3399">
        <f>E46</f>
        <v>0</v>
      </c>
      <c r="S46" s="3399"/>
      <c r="T46" s="3399">
        <f>G46</f>
        <v>0</v>
      </c>
      <c r="U46" s="3399"/>
      <c r="V46" s="3399">
        <f>I46</f>
        <v>0</v>
      </c>
      <c r="W46" s="3399"/>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1" t="str">
        <f>A47</f>
        <v>比较价值（元/平方米）</v>
      </c>
      <c r="Q47" s="3411"/>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43" t="str">
        <f>A48</f>
        <v>估价对象XX用房的比较价值（楼面单价，元/平方米）</v>
      </c>
      <c r="Q48" s="3444"/>
      <c r="R48" s="3449" t="e">
        <f>ROUND(IF(D47="简单平均",AVERAGE(R47:W47),R47*F47+T47*H47+V47*J47),0)</f>
        <v>#DIV/0!</v>
      </c>
      <c r="S48" s="3449"/>
      <c r="T48" s="3449"/>
      <c r="U48" s="3449"/>
      <c r="V48" s="3449"/>
      <c r="W48" s="344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6" t="s">
        <v>1887</v>
      </c>
      <c r="H55" s="345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106.39</v>
      </c>
      <c r="F56" s="833" t="e">
        <f t="shared" ref="F56:F64" si="15">ROUND(B56*E56/10000,0)</f>
        <v>#DIV/0!</v>
      </c>
      <c r="G56" s="3382"/>
      <c r="H56" s="341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106.39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5"/>
      <c r="M4" s="2486"/>
      <c r="N4" s="2486"/>
      <c r="O4" s="2486"/>
      <c r="P4" s="3439" t="s">
        <v>1775</v>
      </c>
      <c r="Q4" s="3440"/>
      <c r="R4" s="3437" t="s">
        <v>1771</v>
      </c>
      <c r="S4" s="3438"/>
      <c r="T4" s="3437" t="s">
        <v>1772</v>
      </c>
      <c r="U4" s="3438"/>
      <c r="V4" s="3399" t="s">
        <v>1773</v>
      </c>
      <c r="W4" s="3399"/>
      <c r="X4" s="1265"/>
      <c r="Y4" s="3437" t="s">
        <v>1775</v>
      </c>
      <c r="Z4" s="3438"/>
      <c r="AA4" s="3436" t="s">
        <v>1771</v>
      </c>
      <c r="AB4" s="3366" t="s">
        <v>1772</v>
      </c>
      <c r="AC4" s="3436" t="s">
        <v>1773</v>
      </c>
    </row>
    <row r="5" spans="1:29">
      <c r="A5" s="348"/>
      <c r="B5" s="349"/>
      <c r="C5" s="3376" t="s">
        <v>1673</v>
      </c>
      <c r="D5" s="3377"/>
      <c r="E5" s="3374" t="s">
        <v>1674</v>
      </c>
      <c r="F5" s="3375"/>
      <c r="G5" s="3376" t="s">
        <v>1675</v>
      </c>
      <c r="H5" s="3377"/>
      <c r="I5" s="3376" t="s">
        <v>1676</v>
      </c>
      <c r="J5" s="3377"/>
      <c r="K5" s="537"/>
      <c r="L5" s="2485"/>
      <c r="M5" s="2486"/>
      <c r="N5" s="2486"/>
      <c r="O5" s="2486"/>
      <c r="P5" s="3441"/>
      <c r="Q5" s="3393"/>
      <c r="R5" s="3372"/>
      <c r="S5" s="3373"/>
      <c r="T5" s="3372"/>
      <c r="U5" s="3373"/>
      <c r="V5" s="3399"/>
      <c r="W5" s="3399"/>
      <c r="X5" s="1265"/>
      <c r="Y5" s="3372"/>
      <c r="Z5" s="3373"/>
      <c r="AA5" s="3366"/>
      <c r="AB5" s="3366"/>
      <c r="AC5" s="3366"/>
    </row>
    <row r="6" spans="1:29" ht="15" thickBot="1">
      <c r="A6" s="350"/>
      <c r="B6" s="351"/>
      <c r="C6" s="3451" t="s">
        <v>1919</v>
      </c>
      <c r="D6" s="3452"/>
      <c r="E6" s="3453" t="s">
        <v>1919</v>
      </c>
      <c r="F6" s="3454"/>
      <c r="G6" s="3451" t="s">
        <v>1919</v>
      </c>
      <c r="H6" s="3452"/>
      <c r="I6" s="3451" t="s">
        <v>1919</v>
      </c>
      <c r="J6" s="3452"/>
      <c r="K6" s="537" t="s">
        <v>1678</v>
      </c>
      <c r="L6" s="2485"/>
      <c r="M6" s="2486"/>
      <c r="N6" s="2486"/>
      <c r="O6" s="2486"/>
      <c r="P6" s="3442"/>
      <c r="Q6" s="3395"/>
      <c r="R6" s="3372"/>
      <c r="S6" s="3373"/>
      <c r="T6" s="3396"/>
      <c r="U6" s="3397"/>
      <c r="V6" s="3399"/>
      <c r="W6" s="3399"/>
      <c r="X6" s="1265"/>
      <c r="Y6" s="3396"/>
      <c r="Z6" s="3397"/>
      <c r="AA6" s="3367"/>
      <c r="AB6" s="3367"/>
      <c r="AC6" s="3367"/>
    </row>
    <row r="7" spans="1:29" s="102" customFormat="1" ht="14.5" thickBot="1">
      <c r="A7" s="352" t="s">
        <v>1679</v>
      </c>
      <c r="B7" s="353"/>
      <c r="C7" s="354">
        <f>'数据-取费表'!B2</f>
        <v>46002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68" t="s">
        <v>1680</v>
      </c>
      <c r="Q7" s="3401"/>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8" t="s">
        <v>1683</v>
      </c>
      <c r="Q8" s="3369"/>
      <c r="R8" s="664" t="s">
        <v>14</v>
      </c>
      <c r="S8" s="665">
        <f t="shared" si="0"/>
        <v>0</v>
      </c>
      <c r="T8" s="664" t="s">
        <v>14</v>
      </c>
      <c r="U8" s="665">
        <f t="shared" si="1"/>
        <v>0</v>
      </c>
      <c r="V8" s="664" t="s">
        <v>14</v>
      </c>
      <c r="W8" s="665">
        <f t="shared" si="2"/>
        <v>0</v>
      </c>
      <c r="X8" s="666"/>
      <c r="Y8" s="3368" t="s">
        <v>1683</v>
      </c>
      <c r="Z8" s="336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411"/>
      <c r="Q10" s="530" t="str">
        <f t="shared" si="6"/>
        <v>土地使用年限（年）</v>
      </c>
      <c r="R10" s="664" t="s">
        <v>14</v>
      </c>
      <c r="S10" s="665">
        <f t="shared" si="0"/>
        <v>111</v>
      </c>
      <c r="T10" s="664" t="s">
        <v>14</v>
      </c>
      <c r="U10" s="665">
        <f t="shared" si="1"/>
        <v>111</v>
      </c>
      <c r="V10" s="664" t="s">
        <v>14</v>
      </c>
      <c r="W10" s="665">
        <f t="shared" si="2"/>
        <v>111</v>
      </c>
      <c r="X10" s="666"/>
      <c r="Y10" s="3333"/>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5"/>
      <c r="Q20" s="1263"/>
      <c r="R20" s="667"/>
      <c r="S20" s="668"/>
      <c r="T20" s="667"/>
      <c r="U20" s="668"/>
      <c r="V20" s="667"/>
      <c r="W20" s="668"/>
      <c r="X20" s="1265"/>
      <c r="Y20" s="340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5"/>
      <c r="Q24" s="530"/>
      <c r="R24" s="664"/>
      <c r="S24" s="665"/>
      <c r="T24" s="664"/>
      <c r="U24" s="665"/>
      <c r="V24" s="664"/>
      <c r="W24" s="665"/>
      <c r="X24" s="666"/>
      <c r="Y24" s="340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5"/>
      <c r="Q26" s="530"/>
      <c r="R26" s="664"/>
      <c r="S26" s="665"/>
      <c r="T26" s="664"/>
      <c r="U26" s="665"/>
      <c r="V26" s="664"/>
      <c r="W26" s="665"/>
      <c r="X26" s="666"/>
      <c r="Y26" s="340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5"/>
      <c r="Q29" s="1263"/>
      <c r="R29" s="667"/>
      <c r="S29" s="668"/>
      <c r="T29" s="667"/>
      <c r="U29" s="668"/>
      <c r="V29" s="667"/>
      <c r="W29" s="668"/>
      <c r="X29" s="1265"/>
      <c r="Y29" s="340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6"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1" t="str">
        <f>A41</f>
        <v>成交单价</v>
      </c>
      <c r="Q41" s="3411"/>
      <c r="R41" s="3399">
        <f>E41</f>
        <v>0</v>
      </c>
      <c r="S41" s="3399"/>
      <c r="T41" s="3399">
        <f>G41</f>
        <v>0</v>
      </c>
      <c r="U41" s="3399"/>
      <c r="V41" s="3399">
        <f>I41</f>
        <v>0</v>
      </c>
      <c r="W41" s="3399"/>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1" t="str">
        <f>A42</f>
        <v>比较价值（元/平方米）</v>
      </c>
      <c r="Q42" s="3411"/>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43" t="str">
        <f>A43</f>
        <v>估价对象XX用房的比较价值（楼面单价，元/平方米）</v>
      </c>
      <c r="Q43" s="3444"/>
      <c r="R43" s="3449" t="e">
        <f>ROUND(IF(D42="简单平均",AVERAGE(R42:W42),R42*F42+T42*H42+V42*J42),0)</f>
        <v>#DIV/0!</v>
      </c>
      <c r="S43" s="3449"/>
      <c r="T43" s="3449"/>
      <c r="U43" s="3449"/>
      <c r="V43" s="3449"/>
      <c r="W43" s="344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86" t="s">
        <v>1887</v>
      </c>
      <c r="H50" s="345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106.39</v>
      </c>
      <c r="F51" s="611" t="e">
        <f t="shared" ref="F51:F60" si="15">ROUND(B51*E51/10000,0)</f>
        <v>#DIV/0!</v>
      </c>
      <c r="G51" s="3382"/>
      <c r="H51" s="341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50</v>
      </c>
      <c r="C2" s="1984" t="s">
        <v>2074</v>
      </c>
      <c r="D2" s="1984" t="s">
        <v>2075</v>
      </c>
      <c r="E2" s="2397">
        <f ca="1">SUMIF(E6:E13,"&lt;&gt;#ref!",E6:E13)</f>
        <v>106.39</v>
      </c>
      <c r="F2" s="2543"/>
      <c r="G2" s="2543"/>
      <c r="H2" s="2543"/>
      <c r="I2" s="2543"/>
      <c r="J2" s="2543"/>
      <c r="K2" s="2543"/>
      <c r="L2" s="2543"/>
      <c r="M2" s="2543"/>
      <c r="N2" s="2543"/>
      <c r="O2" s="2543"/>
      <c r="P2" s="2543"/>
    </row>
    <row r="3" spans="1:16" ht="15.5">
      <c r="A3" s="1984" t="s">
        <v>2076</v>
      </c>
      <c r="B3" s="2387">
        <f ca="1">ROUND(B2*10000/E2,0)</f>
        <v>4700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50</v>
      </c>
      <c r="C6" s="1984" t="s">
        <v>2074</v>
      </c>
      <c r="D6" s="2543"/>
      <c r="E6" s="2397">
        <f ca="1">SUMIF(INDIRECT("'"&amp;A6&amp;"'"&amp;"!C:C"),"建筑面积",INDIRECT("'"&amp;A6&amp;"'"&amp;"!D:D"))</f>
        <v>106.39</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603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117.2666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11022</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540618</v>
      </c>
      <c r="D5" s="203" t="s">
        <v>1469</v>
      </c>
      <c r="E5" s="204" t="s">
        <v>1470</v>
      </c>
      <c r="F5" s="204" t="s">
        <v>1471</v>
      </c>
      <c r="G5" s="205"/>
    </row>
    <row r="6" spans="1:8" s="206" customFormat="1" ht="13.5" customHeight="1">
      <c r="A6" s="732" t="s">
        <v>1472</v>
      </c>
      <c r="B6" s="207" t="s">
        <v>1473</v>
      </c>
      <c r="C6" s="208">
        <f>ROUND(基准地价修正!D33*基准地价修正!C33,0)</f>
        <v>503969</v>
      </c>
      <c r="D6" s="209"/>
      <c r="E6" s="210"/>
      <c r="F6" s="210"/>
      <c r="G6" s="211"/>
    </row>
    <row r="7" spans="1:8" s="206" customFormat="1" ht="13.5" customHeight="1">
      <c r="A7" s="732" t="s">
        <v>1474</v>
      </c>
      <c r="B7" s="207" t="s">
        <v>1475</v>
      </c>
      <c r="C7" s="212">
        <f>ROUND(C6*F7,0)</f>
        <v>15371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21278</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21278</v>
      </c>
      <c r="D10" s="795">
        <f ca="1">IF(B1="",'数据-汇总表'!E6,IF(INDIRECT("'数据-取费表'!c"&amp;$G$1)="住宅",INDIRECT("'数据-取费表'!s"&amp;$G$1),INDIRECT("'数据-取费表'!k"&amp;$G$1)+INDIRECT("'数据-取费表'!s"&amp;$G$1)))</f>
        <v>106.39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106.39</v>
      </c>
      <c r="E19" s="203">
        <f>'数据-取费表'!B31</f>
        <v>200</v>
      </c>
      <c r="F19" s="223"/>
      <c r="G19" s="1714" t="s">
        <v>3445</v>
      </c>
    </row>
    <row r="20" spans="1:7" s="206" customFormat="1" ht="13.5" customHeight="1">
      <c r="A20" s="247" t="s">
        <v>1574</v>
      </c>
      <c r="B20" s="202" t="s">
        <v>1575</v>
      </c>
      <c r="C20" s="224">
        <f ca="1">ROUND((C5+C19)*F20,0)</f>
        <v>10812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34710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34372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338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82715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82715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723869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419708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372365</v>
      </c>
      <c r="D34" s="209"/>
      <c r="E34" s="212"/>
      <c r="F34" s="249"/>
      <c r="G34" s="211"/>
    </row>
    <row r="35" spans="1:7" ht="13.5" customHeight="1">
      <c r="A35" s="734" t="s">
        <v>351</v>
      </c>
      <c r="B35" s="207" t="s">
        <v>1527</v>
      </c>
      <c r="C35" s="212">
        <f ca="1">ROUND(C34*F35,0)</f>
        <v>18618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21278</v>
      </c>
      <c r="D37" s="209">
        <f ca="1">D19</f>
        <v>106.39</v>
      </c>
      <c r="E37" s="241">
        <f>'数据-取费表'!B35</f>
        <v>200</v>
      </c>
      <c r="F37" s="251"/>
      <c r="G37" s="253"/>
    </row>
    <row r="38" spans="1:7" ht="13.5" customHeight="1">
      <c r="A38" s="734" t="s">
        <v>354</v>
      </c>
      <c r="B38" s="207" t="s">
        <v>1533</v>
      </c>
      <c r="C38" s="212">
        <f ca="1">ROUND(C34*F38,0)</f>
        <v>7447</v>
      </c>
      <c r="D38" s="212"/>
      <c r="E38" s="212"/>
      <c r="F38" s="251">
        <f>'数据-取费表'!B36</f>
        <v>0.02</v>
      </c>
      <c r="G38" s="211" t="s">
        <v>1528</v>
      </c>
    </row>
    <row r="39" spans="1:7" s="206" customFormat="1" ht="13.5" customHeight="1">
      <c r="A39" s="247" t="s">
        <v>1534</v>
      </c>
      <c r="B39" s="202" t="s">
        <v>1535</v>
      </c>
      <c r="C39" s="224">
        <f ca="1">ROUND(C33*F20,0)</f>
        <v>8394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13400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13137</v>
      </c>
      <c r="D42" s="230"/>
      <c r="E42" s="230"/>
      <c r="F42" s="231"/>
      <c r="G42" s="3357" t="s">
        <v>1591</v>
      </c>
    </row>
    <row r="43" spans="1:7" ht="13.5" customHeight="1">
      <c r="A43" s="734" t="s">
        <v>347</v>
      </c>
      <c r="B43" s="207" t="s">
        <v>1545</v>
      </c>
      <c r="C43" s="230">
        <f ca="1">ROUND(IF('数据-取费表'!B22&lt;=1,C39*F22*'数据-取费表'!B20/2,C39*(POWER((1+F22),'数据-取费表'!B20/2)-1)),0)</f>
        <v>263</v>
      </c>
      <c r="D43" s="230"/>
      <c r="E43" s="230"/>
      <c r="F43" s="231"/>
      <c r="G43" s="3358"/>
    </row>
    <row r="44" spans="1:7" ht="13.5" customHeight="1">
      <c r="A44" s="734" t="s">
        <v>348</v>
      </c>
      <c r="B44" s="207" t="s">
        <v>1546</v>
      </c>
      <c r="C44" s="230">
        <f ca="1">ROUND(IF('数据-取费表'!B22&lt;=1,C40*F22*'数据-取费表'!B20/2,C40*(POWER((1+F22),'数据-取费表'!B20/2)-1)),4)</f>
        <v>5.9999999999999995E-4</v>
      </c>
      <c r="D44" s="230"/>
      <c r="E44" s="230"/>
      <c r="F44" s="231"/>
      <c r="G44" s="3359"/>
    </row>
    <row r="45" spans="1:7" s="206" customFormat="1" ht="13.5" customHeight="1">
      <c r="A45" s="247" t="s">
        <v>1547</v>
      </c>
      <c r="B45" s="236" t="s">
        <v>1513</v>
      </c>
      <c r="C45" s="237">
        <f ca="1">C46</f>
        <v>64215</v>
      </c>
      <c r="D45" s="227">
        <f ca="1">C47</f>
        <v>3.0000000000000001E-3</v>
      </c>
      <c r="E45" s="228" t="s">
        <v>1539</v>
      </c>
      <c r="F45" s="238">
        <f ca="1">F27</f>
        <v>0.15</v>
      </c>
      <c r="G45" s="239" t="s">
        <v>1548</v>
      </c>
    </row>
    <row r="46" spans="1:7" s="206" customFormat="1" ht="13.5" customHeight="1">
      <c r="A46" s="734" t="s">
        <v>346</v>
      </c>
      <c r="B46" s="240" t="s">
        <v>1549</v>
      </c>
      <c r="C46" s="241">
        <f ca="1">ROUND((C33+C39)*F27,0)</f>
        <v>64215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547313</v>
      </c>
      <c r="D49" s="224"/>
      <c r="E49" s="224"/>
      <c r="F49" s="256"/>
      <c r="G49" s="226" t="s">
        <v>1554</v>
      </c>
    </row>
    <row r="50" spans="1:7" s="250" customFormat="1" ht="13.5">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448797</v>
      </c>
      <c r="D51" s="224"/>
      <c r="E51" s="224"/>
      <c r="F51" s="256"/>
      <c r="G51" s="226" t="s">
        <v>1560</v>
      </c>
    </row>
    <row r="52" spans="1:7" s="200" customFormat="1" ht="16.5" thickBot="1">
      <c r="A52" s="257" t="s">
        <v>1561</v>
      </c>
      <c r="B52" s="258"/>
      <c r="C52" s="259">
        <f ca="1">C31+C51</f>
        <v>1172666</v>
      </c>
      <c r="D52" s="258"/>
      <c r="E52" s="258"/>
      <c r="F52" s="258"/>
      <c r="G52" s="260"/>
    </row>
    <row r="55" spans="1:7" ht="15.5">
      <c r="B55" s="262" t="s">
        <v>1562</v>
      </c>
      <c r="C55" s="263"/>
    </row>
    <row r="56" spans="1:7" ht="13">
      <c r="B56" s="265" t="s">
        <v>802</v>
      </c>
      <c r="C56" s="267">
        <f ca="1">1-C57</f>
        <v>0.61699999999999999</v>
      </c>
    </row>
    <row r="57" spans="1:7" ht="13">
      <c r="B57" s="265" t="s">
        <v>803</v>
      </c>
      <c r="C57" s="266">
        <f ca="1">ROUND(C51/C52,3)</f>
        <v>0.38300000000000001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8.5" thickBot="1">
      <c r="A4" s="1391"/>
      <c r="B4" s="3179" t="s">
        <v>917</v>
      </c>
      <c r="C4" s="3179"/>
      <c r="D4" s="3179"/>
      <c r="E4" s="1391"/>
    </row>
    <row r="5" spans="1:5" ht="16" thickTop="1">
      <c r="B5" s="3177" t="s">
        <v>909</v>
      </c>
      <c r="C5" s="1392" t="s">
        <v>910</v>
      </c>
      <c r="D5" s="797">
        <f ca="1">结果表!H101</f>
        <v>118.9015</v>
      </c>
    </row>
    <row r="6" spans="1:5" ht="15.5">
      <c r="B6" s="3177"/>
      <c r="C6" s="1392" t="s">
        <v>911</v>
      </c>
      <c r="D6" s="797" t="str">
        <f ca="1">NUMBERSTRING(INT(D5*10000),2)&amp;"元整"</f>
        <v>壹佰壹拾捌万玖仟零壹拾伍元整</v>
      </c>
    </row>
    <row r="7" spans="1:5" ht="15.5">
      <c r="B7" s="3182"/>
      <c r="C7" s="1393" t="s">
        <v>912</v>
      </c>
      <c r="D7" s="798">
        <f ca="1">结果表!H102</f>
        <v>11176</v>
      </c>
    </row>
    <row r="8" spans="1:5" ht="15.5">
      <c r="B8" s="3183" t="str">
        <f>结果表!E103</f>
        <v>2.估价师知悉的法定优先受偿款</v>
      </c>
      <c r="C8" s="1394" t="s">
        <v>913</v>
      </c>
      <c r="D8" s="798">
        <f>结果表!H103</f>
        <v>0</v>
      </c>
    </row>
    <row r="9" spans="1:5" ht="15.5">
      <c r="B9" s="3185"/>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6" t="str">
        <f>结果表!E107</f>
        <v>3.房地产抵押价值</v>
      </c>
      <c r="C13" s="1397" t="s">
        <v>910</v>
      </c>
      <c r="D13" s="800">
        <f ca="1">结果表!H107</f>
        <v>118.9015</v>
      </c>
    </row>
    <row r="14" spans="1:5" ht="15.5">
      <c r="B14" s="3177"/>
      <c r="C14" s="1392" t="s">
        <v>911</v>
      </c>
      <c r="D14" s="797" t="str">
        <f ca="1">NUMBERSTRING(INT(D13*10000),2)&amp;"元整"</f>
        <v>壹佰壹拾捌万玖仟零壹拾伍元整</v>
      </c>
    </row>
    <row r="15" spans="1:5" ht="15.5">
      <c r="B15" s="3182"/>
      <c r="C15" s="1393" t="s">
        <v>921</v>
      </c>
      <c r="D15" s="806">
        <f ca="1">结果表!H108</f>
        <v>11176</v>
      </c>
    </row>
    <row r="16" spans="1:5" ht="15">
      <c r="B16" s="3183" t="str">
        <f>结果表!E109</f>
        <v>——</v>
      </c>
      <c r="C16" s="1397" t="s">
        <v>922</v>
      </c>
      <c r="D16" s="1398" t="str">
        <f>结果表!H109</f>
        <v>——</v>
      </c>
    </row>
    <row r="17" spans="1:5" ht="15.5">
      <c r="B17" s="3184"/>
      <c r="C17" s="1392" t="s">
        <v>923</v>
      </c>
      <c r="D17" s="797" t="e">
        <f>NUMBERSTRING(INT(D16*10000),2)&amp;"元整"</f>
        <v>#VALUE!</v>
      </c>
    </row>
    <row r="18" spans="1:5" ht="15.5">
      <c r="B18" s="3185"/>
      <c r="C18" s="1393" t="s">
        <v>912</v>
      </c>
      <c r="D18" s="806" t="str">
        <f>结果表!H110</f>
        <v>——</v>
      </c>
    </row>
    <row r="19" spans="1:5" ht="15.5">
      <c r="B19" s="3176" t="str">
        <f>结果表!E111</f>
        <v>——</v>
      </c>
      <c r="C19" s="1397" t="s">
        <v>910</v>
      </c>
      <c r="D19" s="798" t="str">
        <f>结果表!H111</f>
        <v>——</v>
      </c>
    </row>
    <row r="20" spans="1:5" ht="15.5">
      <c r="B20" s="3177"/>
      <c r="C20" s="1392" t="s">
        <v>923</v>
      </c>
      <c r="D20" s="797" t="e">
        <f>NUMBERSTRING(INT(D19*10000),2)&amp;"元整"</f>
        <v>#VALUE!</v>
      </c>
    </row>
    <row r="21" spans="1:5" ht="16" thickBot="1">
      <c r="B21" s="3178"/>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106.39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50</v>
      </c>
      <c r="C2" s="1846" t="s">
        <v>1935</v>
      </c>
      <c r="D2" s="162" t="s">
        <v>1936</v>
      </c>
      <c r="E2" s="3119"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Ⅸ-顺5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7303</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4700</v>
      </c>
      <c r="C3" s="1846" t="s">
        <v>1941</v>
      </c>
      <c r="D3" s="162" t="s">
        <v>1942</v>
      </c>
      <c r="E3" s="3117" t="s">
        <v>3409</v>
      </c>
      <c r="F3" s="1848" t="s">
        <v>3430</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5629</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4592</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5270</v>
      </c>
      <c r="D5" s="1252">
        <f>ROUND(C6*C17+C20,0)</f>
        <v>5270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3898</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5270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3552</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2</v>
      </c>
      <c r="AA7" s="1133"/>
      <c r="AB7" s="1133"/>
      <c r="AC7" s="1134"/>
      <c r="AD7" s="1135"/>
      <c r="AE7" s="1135"/>
      <c r="AF7" s="1135"/>
      <c r="AG7" s="1135"/>
      <c r="AH7" s="1135"/>
      <c r="AI7" s="1135"/>
      <c r="AJ7" s="1136"/>
    </row>
    <row r="8" spans="1:36" ht="25">
      <c r="A8" s="3008"/>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5270</v>
      </c>
      <c r="N9" s="813">
        <f>SUMPRODUCT((因素修正幅度!B277:B326=I2)*(因素修正幅度!C3:G3=E2)*(因素修正幅度!C277:G326))</f>
        <v>0.15</v>
      </c>
      <c r="O9" s="1056"/>
      <c r="P9" s="1056"/>
      <c r="Q9" s="1056"/>
      <c r="R9" s="1129">
        <v>8</v>
      </c>
      <c r="S9" s="1130"/>
      <c r="T9" s="3062">
        <f t="shared" si="0"/>
        <v>0</v>
      </c>
      <c r="U9" s="1130"/>
      <c r="V9" s="3062">
        <f t="shared" si="1"/>
        <v>0</v>
      </c>
      <c r="W9" s="3467"/>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2" t="s">
        <v>3254</v>
      </c>
      <c r="B20" s="159" t="s">
        <v>1994</v>
      </c>
      <c r="C20" s="3030">
        <f>ROUND(IF(F21="与级别开发程度一致",0,(G21-E21)/C21),0)</f>
        <v>0</v>
      </c>
      <c r="D20" s="3045" t="s">
        <v>1998</v>
      </c>
      <c r="E20" s="3046"/>
      <c r="F20" s="3478" t="s">
        <v>1995</v>
      </c>
      <c r="G20" s="347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3"/>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46002</v>
      </c>
      <c r="H23" s="3047" t="s">
        <v>3433</v>
      </c>
      <c r="I23" s="3048" t="str">
        <f>IF(H23="季度增幅（自定义）",SUMIF(N25:N28,E2,O25:O28),"")</f>
        <v/>
      </c>
      <c r="J23" s="3140" t="s">
        <v>3434</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0.9143</v>
      </c>
      <c r="D24" s="1902" t="s">
        <v>2007</v>
      </c>
      <c r="E24" s="1248">
        <f>存贷款利率!E28/100</f>
        <v>4.3499999999999997E-2</v>
      </c>
      <c r="F24" s="1902" t="s">
        <v>1999</v>
      </c>
      <c r="G24" s="724">
        <f>SUMIF(M30:Q30,E2,M33:Q33)</f>
        <v>5.5E-2</v>
      </c>
      <c r="H24" s="1902" t="s">
        <v>2008</v>
      </c>
      <c r="I24" s="725">
        <f>SUMIF('数据-取费表'!C6:C15,E2,'数据-取费表'!F6:F15)/COUNTIF('数据-取费表'!C6:C15,E2)</f>
        <v>35.61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1.0007999999999999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50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4737</v>
      </c>
      <c r="D33" s="1940">
        <f>'数据-汇总表'!E19</f>
        <v>106.39</v>
      </c>
      <c r="E33" s="727">
        <f>ROUND(C33*D33/10000,0)</f>
        <v>50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1184</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6"/>
      <c r="B37" s="1955" t="s">
        <v>2036</v>
      </c>
      <c r="C37" s="167">
        <f>ROUND(D5*C22*C23*C24*C28*F37,0)</f>
        <v>2368</v>
      </c>
      <c r="D37" s="1940"/>
      <c r="E37" s="163">
        <f>ROUND(C37*D37/10000,0)</f>
        <v>0</v>
      </c>
      <c r="F37" s="163">
        <f>SUMIF(修正!A59:A70,G2,修正!B59:B70)</f>
        <v>0.5</v>
      </c>
      <c r="G37" s="163">
        <f>ROUND(IF(E2="工业",C37*$M$42,C37*$M$41),0)</f>
        <v>592</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7"/>
      <c r="B38" s="1884" t="s">
        <v>2037</v>
      </c>
      <c r="C38" s="167">
        <f>ROUND(D5*C22*C23*C24*C28*F38,0)</f>
        <v>947</v>
      </c>
      <c r="D38" s="1940"/>
      <c r="E38" s="163">
        <f t="shared" ref="E38:E42" si="4">ROUND(C38*D38/10000,0)</f>
        <v>0</v>
      </c>
      <c r="F38" s="163">
        <f>SUMIF(修正!A59:A70,G2,修正!C59:C70)</f>
        <v>0.2</v>
      </c>
      <c r="G38" s="163">
        <f>ROUND(IF(E2="工业",C38*$M$42,C38*$M$41),0)</f>
        <v>237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3257</v>
      </c>
      <c r="C39" s="167">
        <f>ROUND(D5*C22*C23*C24*C28*F39,0)</f>
        <v>947</v>
      </c>
      <c r="D39" s="1940"/>
      <c r="E39" s="163">
        <f t="shared" si="4"/>
        <v>0</v>
      </c>
      <c r="F39" s="163">
        <f>SUMIF(修正!A59:A70,G2,修正!D59:D70)</f>
        <v>0.2</v>
      </c>
      <c r="G39" s="163">
        <f>ROUND(IF(E2="工业",C39*$M$42,C39*$M$41),0)</f>
        <v>237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947</v>
      </c>
      <c r="D40" s="1940"/>
      <c r="E40" s="163">
        <f t="shared" si="4"/>
        <v>0</v>
      </c>
      <c r="F40" s="167">
        <f>SUMIF(修正!A59:A70,G2,修正!E59:E70)</f>
        <v>0.2</v>
      </c>
      <c r="G40" s="163">
        <f>ROUND(IF(E2="工业",C40*$M$42,C40*$M$41),0)</f>
        <v>237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1.0007999999999999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3435</v>
      </c>
      <c r="D61" s="1002">
        <f t="shared" ref="D61:D69" si="12">SUMIF($J$60:$N$60,C61,J61:N61)</f>
        <v>0</v>
      </c>
      <c r="E61" s="702">
        <f>ROUND(SUM(D61:D69),4)</f>
        <v>8.0000000000000004E-4</v>
      </c>
      <c r="F61" s="1675">
        <f>IF(E2="办公",SUMIF(L1:L12,G2,N1:N12),"——")</f>
        <v>0.15</v>
      </c>
      <c r="G61" s="1000">
        <v>1.8700000000000001E-2</v>
      </c>
      <c r="H61" s="1003">
        <f t="shared" ref="H61:H69" si="13">IFERROR(ROUNDDOWN($F$61*I61/2,4),"——")</f>
        <v>1.8700000000000001E-2</v>
      </c>
      <c r="I61" s="3067">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3435</v>
      </c>
      <c r="D62" s="1002">
        <f t="shared" si="12"/>
        <v>0</v>
      </c>
      <c r="E62" s="703"/>
      <c r="F62" s="1675"/>
      <c r="G62" s="1000">
        <v>1.95E-2</v>
      </c>
      <c r="H62" s="1003">
        <f t="shared" si="13"/>
        <v>1.95E-2</v>
      </c>
      <c r="I62" s="3067">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3435</v>
      </c>
      <c r="D63" s="1002">
        <f t="shared" si="12"/>
        <v>0</v>
      </c>
      <c r="E63" s="703"/>
      <c r="F63" s="1675"/>
      <c r="G63" s="1000">
        <v>8.2000000000000007E-3</v>
      </c>
      <c r="H63" s="1003">
        <f t="shared" si="13"/>
        <v>8.2000000000000007E-3</v>
      </c>
      <c r="I63" s="3067">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3435</v>
      </c>
      <c r="D64" s="1002">
        <f t="shared" si="12"/>
        <v>0</v>
      </c>
      <c r="E64" s="703"/>
      <c r="F64" s="1675"/>
      <c r="G64" s="1000">
        <v>3.7000000000000002E-3</v>
      </c>
      <c r="H64" s="1003">
        <f t="shared" si="13"/>
        <v>3.7000000000000002E-3</v>
      </c>
      <c r="I64" s="3067">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3436</v>
      </c>
      <c r="D65" s="1002">
        <f t="shared" si="12"/>
        <v>-3.7000000000000002E-3</v>
      </c>
      <c r="E65" s="703"/>
      <c r="F65" s="1675"/>
      <c r="G65" s="1000">
        <v>3.7000000000000002E-3</v>
      </c>
      <c r="H65" s="1003">
        <f t="shared" si="13"/>
        <v>3.7000000000000002E-3</v>
      </c>
      <c r="I65" s="3067">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3437</v>
      </c>
      <c r="D66" s="1002">
        <f t="shared" si="12"/>
        <v>4.4999999999999997E-3</v>
      </c>
      <c r="E66" s="703"/>
      <c r="F66" s="1675"/>
      <c r="G66" s="1000">
        <v>4.4999999999999997E-3</v>
      </c>
      <c r="H66" s="1003">
        <f t="shared" si="13"/>
        <v>4.4999999999999997E-3</v>
      </c>
      <c r="I66" s="3067">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3435</v>
      </c>
      <c r="D67" s="1002">
        <f t="shared" si="12"/>
        <v>0</v>
      </c>
      <c r="E67" s="703"/>
      <c r="F67" s="1675"/>
      <c r="G67" s="1000">
        <v>4.4999999999999997E-3</v>
      </c>
      <c r="H67" s="1003">
        <f t="shared" si="13"/>
        <v>4.4999999999999997E-3</v>
      </c>
      <c r="I67" s="3067">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3435</v>
      </c>
      <c r="D68" s="1002">
        <f t="shared" si="12"/>
        <v>0</v>
      </c>
      <c r="E68" s="703"/>
      <c r="F68" s="1675"/>
      <c r="G68" s="1000">
        <v>6.7000000000000002E-3</v>
      </c>
      <c r="H68" s="1003">
        <f t="shared" si="13"/>
        <v>6.7000000000000002E-3</v>
      </c>
      <c r="I68" s="3067">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3435</v>
      </c>
      <c r="D69" s="1002">
        <f t="shared" si="12"/>
        <v>0</v>
      </c>
      <c r="E69" s="704"/>
      <c r="F69" s="1675"/>
      <c r="G69" s="1000">
        <v>5.1999999999999998E-3</v>
      </c>
      <c r="H69" s="1003">
        <f t="shared" si="13"/>
        <v>5.1999999999999998E-3</v>
      </c>
      <c r="I69" s="3068">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74" t="s">
        <v>3292</v>
      </c>
      <c r="B103" s="3474"/>
      <c r="C103" s="3474"/>
      <c r="D103" s="3474"/>
      <c r="E103" s="3474"/>
      <c r="F103" s="3474"/>
      <c r="G103" s="3474"/>
      <c r="H103" s="3474"/>
      <c r="I103" s="3474"/>
      <c r="J103" s="3474"/>
      <c r="K103" s="1667"/>
      <c r="L103" s="1667"/>
      <c r="M103" s="1667"/>
      <c r="N103" s="1667"/>
    </row>
    <row r="104" spans="1:14" ht="13">
      <c r="A104" s="3475" t="s">
        <v>3293</v>
      </c>
      <c r="B104" s="3475" t="s">
        <v>3294</v>
      </c>
      <c r="C104" s="3089" t="s">
        <v>3295</v>
      </c>
      <c r="D104" s="3090"/>
      <c r="E104" s="3090"/>
      <c r="F104" s="3090"/>
      <c r="G104" s="3090"/>
      <c r="H104" s="3090"/>
      <c r="I104" s="3090"/>
      <c r="J104" s="3091"/>
      <c r="K104" s="3092"/>
      <c r="L104" s="3092"/>
      <c r="M104" s="3092"/>
      <c r="N104" s="3092"/>
    </row>
    <row r="105" spans="1:14" ht="13">
      <c r="A105" s="3475"/>
      <c r="B105" s="3475"/>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1"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2"/>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64" t="s">
        <v>3309</v>
      </c>
      <c r="B113" s="3464"/>
      <c r="C113" s="3464"/>
      <c r="D113" s="3464"/>
      <c r="E113" s="3464"/>
      <c r="F113" s="3464"/>
      <c r="G113" s="3464"/>
      <c r="H113" s="3464"/>
      <c r="I113" s="3464"/>
      <c r="J113" s="346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2</v>
      </c>
      <c r="C116" s="3098" t="s">
        <v>3311</v>
      </c>
      <c r="D116" s="3099">
        <f>SUMPRODUCT((A118:A122=F116)*(B117:M117=H116)*B118:M122)</f>
        <v>0.80159999999999998</v>
      </c>
      <c r="E116" s="162" t="s">
        <v>3312</v>
      </c>
      <c r="F116" s="3100" t="str">
        <f>E2</f>
        <v>办公</v>
      </c>
      <c r="G116" s="162" t="s">
        <v>3313</v>
      </c>
      <c r="H116" s="3100" t="str">
        <f>G2</f>
        <v>九级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ht="13">
      <c r="A119" s="3056" t="s">
        <v>3327</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ht="13">
      <c r="A120" s="3056" t="s">
        <v>3328</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5" thickBot="1">
      <c r="A121" s="3109" t="s">
        <v>3329</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ht="13">
      <c r="A122" s="3112" t="s">
        <v>2612</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0" t="s">
        <v>2607</v>
      </c>
      <c r="B20" s="3480" t="s">
        <v>2628</v>
      </c>
      <c r="C20" s="3167" t="s">
        <v>2439</v>
      </c>
      <c r="D20" s="3167"/>
      <c r="E20" s="2843">
        <v>1</v>
      </c>
      <c r="F20" s="2844" t="s">
        <v>2440</v>
      </c>
      <c r="G20" s="2844"/>
    </row>
    <row r="21" spans="1:13" ht="19.5" customHeight="1">
      <c r="A21" s="3491"/>
      <c r="B21" s="3481"/>
      <c r="C21" s="2856" t="s">
        <v>2441</v>
      </c>
      <c r="D21" s="2856"/>
      <c r="E21" s="2847">
        <v>1</v>
      </c>
      <c r="F21" s="2844" t="s">
        <v>2442</v>
      </c>
      <c r="G21" s="2844"/>
    </row>
    <row r="22" spans="1:13" ht="19.5" customHeight="1">
      <c r="A22" s="3491"/>
      <c r="B22" s="3481"/>
      <c r="C22" s="2856" t="s">
        <v>2443</v>
      </c>
      <c r="D22" s="2856"/>
      <c r="E22" s="2847">
        <v>0.9</v>
      </c>
      <c r="F22" s="2844" t="s">
        <v>2444</v>
      </c>
      <c r="G22" s="2844"/>
    </row>
    <row r="23" spans="1:13" ht="19.5" customHeight="1">
      <c r="A23" s="3491"/>
      <c r="B23" s="3481"/>
      <c r="C23" s="2856" t="s">
        <v>2445</v>
      </c>
      <c r="D23" s="2856"/>
      <c r="E23" s="2847">
        <v>0.9</v>
      </c>
      <c r="F23" s="2844" t="s">
        <v>2446</v>
      </c>
      <c r="G23" s="2844"/>
    </row>
    <row r="24" spans="1:13" ht="19.5" customHeight="1">
      <c r="A24" s="3491"/>
      <c r="B24" s="3481"/>
      <c r="C24" s="2856" t="s">
        <v>2447</v>
      </c>
      <c r="D24" s="2856"/>
      <c r="E24" s="2847">
        <v>0.8</v>
      </c>
      <c r="F24" s="2844" t="s">
        <v>2448</v>
      </c>
      <c r="G24" s="2844"/>
    </row>
    <row r="25" spans="1:13" ht="19.5" customHeight="1">
      <c r="A25" s="3491"/>
      <c r="B25" s="3481"/>
      <c r="C25" s="2856" t="s">
        <v>2449</v>
      </c>
      <c r="D25" s="2856"/>
      <c r="E25" s="2847">
        <v>0.8</v>
      </c>
      <c r="F25" s="2844"/>
      <c r="G25" s="2844"/>
    </row>
    <row r="26" spans="1:13" ht="19.5" customHeight="1">
      <c r="A26" s="3491"/>
      <c r="B26" s="3481"/>
      <c r="C26" s="2856" t="s">
        <v>3407</v>
      </c>
      <c r="D26" s="2856"/>
      <c r="E26" s="2847">
        <v>0.43</v>
      </c>
      <c r="F26" s="2844"/>
      <c r="G26" s="2844"/>
    </row>
    <row r="27" spans="1:13" ht="19.5" customHeight="1" thickBot="1">
      <c r="A27" s="3492"/>
      <c r="B27" s="3482"/>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3" t="s">
        <v>2631</v>
      </c>
      <c r="B29" s="3486" t="s">
        <v>2612</v>
      </c>
      <c r="C29" s="2841" t="s">
        <v>2452</v>
      </c>
      <c r="D29" s="2842"/>
      <c r="E29" s="2843">
        <v>1</v>
      </c>
      <c r="F29" s="2844" t="s">
        <v>2453</v>
      </c>
      <c r="G29" s="2844"/>
    </row>
    <row r="30" spans="1:13" ht="19.5" customHeight="1">
      <c r="A30" s="3484"/>
      <c r="B30" s="3487"/>
      <c r="C30" s="2845" t="s">
        <v>2454</v>
      </c>
      <c r="D30" s="2846"/>
      <c r="E30" s="2847">
        <v>1</v>
      </c>
      <c r="F30" s="2844" t="s">
        <v>2455</v>
      </c>
      <c r="G30" s="2844"/>
    </row>
    <row r="31" spans="1:13" ht="19.5" customHeight="1">
      <c r="A31" s="3484"/>
      <c r="B31" s="3487"/>
      <c r="C31" s="2845" t="s">
        <v>2456</v>
      </c>
      <c r="D31" s="2846"/>
      <c r="E31" s="2847">
        <v>0.8</v>
      </c>
      <c r="F31" s="2844" t="s">
        <v>2457</v>
      </c>
      <c r="G31" s="2844"/>
    </row>
    <row r="32" spans="1:13" ht="19.5" customHeight="1">
      <c r="A32" s="3484"/>
      <c r="B32" s="3487"/>
      <c r="C32" s="2845" t="s">
        <v>2458</v>
      </c>
      <c r="D32" s="2846"/>
      <c r="E32" s="2847">
        <v>0.8</v>
      </c>
      <c r="F32" s="2844" t="s">
        <v>2459</v>
      </c>
      <c r="G32" s="2844"/>
    </row>
    <row r="33" spans="1:7" ht="19.5" customHeight="1">
      <c r="A33" s="3484"/>
      <c r="B33" s="3487"/>
      <c r="C33" s="2845" t="s">
        <v>2460</v>
      </c>
      <c r="D33" s="2846"/>
      <c r="E33" s="2847">
        <v>0.8</v>
      </c>
      <c r="F33" s="2844" t="s">
        <v>2461</v>
      </c>
      <c r="G33" s="2844"/>
    </row>
    <row r="34" spans="1:7" ht="19.5" customHeight="1">
      <c r="A34" s="3484"/>
      <c r="B34" s="3487"/>
      <c r="C34" s="2845" t="s">
        <v>2462</v>
      </c>
      <c r="D34" s="2846"/>
      <c r="E34" s="2847">
        <v>0.7</v>
      </c>
      <c r="F34" s="2844" t="s">
        <v>2463</v>
      </c>
      <c r="G34" s="2844"/>
    </row>
    <row r="35" spans="1:7" ht="19.5" customHeight="1">
      <c r="A35" s="3484"/>
      <c r="B35" s="3487"/>
      <c r="C35" s="2845" t="s">
        <v>2464</v>
      </c>
      <c r="D35" s="2846"/>
      <c r="E35" s="2847">
        <v>0.8</v>
      </c>
      <c r="F35" s="2844" t="s">
        <v>2465</v>
      </c>
      <c r="G35" s="2844"/>
    </row>
    <row r="36" spans="1:7" ht="19.5" customHeight="1">
      <c r="A36" s="3484"/>
      <c r="B36" s="3487"/>
      <c r="C36" s="2845" t="s">
        <v>2466</v>
      </c>
      <c r="D36" s="2846"/>
      <c r="E36" s="2847">
        <v>0.6</v>
      </c>
      <c r="F36" s="2844" t="s">
        <v>2467</v>
      </c>
      <c r="G36" s="2844"/>
    </row>
    <row r="37" spans="1:7" ht="19.5" customHeight="1">
      <c r="A37" s="3484"/>
      <c r="B37" s="3487"/>
      <c r="C37" s="2845" t="s">
        <v>2468</v>
      </c>
      <c r="D37" s="2846"/>
      <c r="E37" s="2847">
        <v>0.2</v>
      </c>
      <c r="F37" s="2844" t="s">
        <v>2469</v>
      </c>
      <c r="G37" s="2844"/>
    </row>
    <row r="38" spans="1:7" ht="19.5" customHeight="1">
      <c r="A38" s="3484"/>
      <c r="B38" s="3487"/>
      <c r="C38" s="2845" t="s">
        <v>2470</v>
      </c>
      <c r="D38" s="2846"/>
      <c r="E38" s="2847">
        <v>0.2</v>
      </c>
      <c r="F38" s="2844" t="s">
        <v>2471</v>
      </c>
      <c r="G38" s="2844"/>
    </row>
    <row r="39" spans="1:7" ht="19.5" customHeight="1">
      <c r="A39" s="3484"/>
      <c r="B39" s="3488" t="s">
        <v>2632</v>
      </c>
      <c r="C39" s="2845" t="s">
        <v>2472</v>
      </c>
      <c r="D39" s="2846"/>
      <c r="E39" s="2847">
        <v>0.6</v>
      </c>
      <c r="F39" s="2844" t="s">
        <v>2473</v>
      </c>
      <c r="G39" s="2844"/>
    </row>
    <row r="40" spans="1:7" ht="19.5" customHeight="1">
      <c r="A40" s="3484"/>
      <c r="B40" s="3487"/>
      <c r="C40" s="2845" t="s">
        <v>2474</v>
      </c>
      <c r="D40" s="2846"/>
      <c r="E40" s="2847">
        <v>0.6</v>
      </c>
      <c r="F40" s="2844" t="s">
        <v>2475</v>
      </c>
      <c r="G40" s="2844"/>
    </row>
    <row r="41" spans="1:7" ht="19.5" customHeight="1" thickBot="1">
      <c r="A41" s="3485"/>
      <c r="B41" s="3489"/>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0" t="s">
        <v>2610</v>
      </c>
      <c r="B43" s="3486" t="s">
        <v>2634</v>
      </c>
      <c r="C43" s="2841" t="s">
        <v>2479</v>
      </c>
      <c r="D43" s="2842"/>
      <c r="E43" s="2843">
        <v>1</v>
      </c>
      <c r="F43" s="2844" t="s">
        <v>2480</v>
      </c>
      <c r="G43" s="2844"/>
    </row>
    <row r="44" spans="1:7" ht="19.5" customHeight="1">
      <c r="A44" s="3491"/>
      <c r="B44" s="3487"/>
      <c r="C44" s="2845" t="s">
        <v>2481</v>
      </c>
      <c r="D44" s="2846"/>
      <c r="E44" s="2847">
        <v>1</v>
      </c>
      <c r="F44" s="2844" t="s">
        <v>2482</v>
      </c>
      <c r="G44" s="2844"/>
    </row>
    <row r="45" spans="1:7" ht="19.5" customHeight="1">
      <c r="A45" s="3491"/>
      <c r="B45" s="3493"/>
      <c r="C45" s="2845" t="s">
        <v>2483</v>
      </c>
      <c r="D45" s="2846"/>
      <c r="E45" s="2847">
        <v>1.5</v>
      </c>
      <c r="F45" s="2844" t="s">
        <v>2484</v>
      </c>
      <c r="G45" s="2844"/>
    </row>
    <row r="46" spans="1:7" ht="19.5" customHeight="1">
      <c r="A46" s="3491"/>
      <c r="B46" s="2856" t="s">
        <v>2635</v>
      </c>
      <c r="C46" s="2845" t="s">
        <v>2636</v>
      </c>
      <c r="D46" s="2846"/>
      <c r="E46" s="2847">
        <v>2</v>
      </c>
      <c r="F46" s="2844" t="s">
        <v>2485</v>
      </c>
      <c r="G46" s="2844"/>
    </row>
    <row r="47" spans="1:7" ht="19.5" customHeight="1">
      <c r="A47" s="3491"/>
      <c r="B47" s="3488" t="s">
        <v>2637</v>
      </c>
      <c r="C47" s="2845" t="s">
        <v>2486</v>
      </c>
      <c r="D47" s="2846"/>
      <c r="E47" s="2847">
        <v>1</v>
      </c>
      <c r="F47" s="2844" t="s">
        <v>2487</v>
      </c>
      <c r="G47" s="2844"/>
    </row>
    <row r="48" spans="1:7" ht="19.5" customHeight="1">
      <c r="A48" s="3491"/>
      <c r="B48" s="3487"/>
      <c r="C48" s="2845" t="s">
        <v>2488</v>
      </c>
      <c r="D48" s="2846"/>
      <c r="E48" s="2847">
        <v>1</v>
      </c>
      <c r="F48" s="2844" t="s">
        <v>2489</v>
      </c>
      <c r="G48" s="2844"/>
    </row>
    <row r="49" spans="1:7" ht="19.5" customHeight="1">
      <c r="A49" s="3491"/>
      <c r="B49" s="3487"/>
      <c r="C49" s="2845" t="s">
        <v>2490</v>
      </c>
      <c r="D49" s="2846"/>
      <c r="E49" s="2847">
        <v>1</v>
      </c>
      <c r="F49" s="2844" t="s">
        <v>2491</v>
      </c>
      <c r="G49" s="2844"/>
    </row>
    <row r="50" spans="1:7" ht="19.5" customHeight="1">
      <c r="A50" s="3491"/>
      <c r="B50" s="3487"/>
      <c r="C50" s="2845" t="s">
        <v>2492</v>
      </c>
      <c r="D50" s="2846"/>
      <c r="E50" s="2847">
        <v>1</v>
      </c>
      <c r="F50" s="2844" t="s">
        <v>2493</v>
      </c>
      <c r="G50" s="2844"/>
    </row>
    <row r="51" spans="1:7" ht="19.5" customHeight="1">
      <c r="A51" s="3491"/>
      <c r="B51" s="3487"/>
      <c r="C51" s="2845" t="s">
        <v>2494</v>
      </c>
      <c r="D51" s="2846"/>
      <c r="E51" s="2847">
        <v>1</v>
      </c>
      <c r="F51" s="2844" t="s">
        <v>2495</v>
      </c>
      <c r="G51" s="2844"/>
    </row>
    <row r="52" spans="1:7" ht="19.5" customHeight="1">
      <c r="A52" s="3491"/>
      <c r="B52" s="3487"/>
      <c r="C52" s="2845" t="s">
        <v>2496</v>
      </c>
      <c r="D52" s="2846"/>
      <c r="E52" s="2847">
        <v>1</v>
      </c>
      <c r="F52" s="2844" t="s">
        <v>2497</v>
      </c>
      <c r="G52" s="2844"/>
    </row>
    <row r="53" spans="1:7" ht="19.5" customHeight="1" thickBot="1">
      <c r="A53" s="3492"/>
      <c r="B53" s="3489"/>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88" t="s">
        <v>2651</v>
      </c>
      <c r="C75" s="2830" t="s">
        <v>2652</v>
      </c>
      <c r="D75" s="2830" t="s">
        <v>2653</v>
      </c>
      <c r="E75" s="2856">
        <v>0.2</v>
      </c>
      <c r="F75" s="2856">
        <v>25</v>
      </c>
    </row>
    <row r="76" spans="1:7" ht="26">
      <c r="A76" s="2856">
        <v>2</v>
      </c>
      <c r="B76" s="3487"/>
      <c r="C76" s="2830" t="s">
        <v>2654</v>
      </c>
      <c r="D76" s="2830" t="s">
        <v>2655</v>
      </c>
      <c r="E76" s="2856">
        <v>0.2</v>
      </c>
      <c r="F76" s="2856">
        <v>25</v>
      </c>
    </row>
    <row r="77" spans="1:7" ht="26">
      <c r="A77" s="2856">
        <v>3</v>
      </c>
      <c r="B77" s="3487"/>
      <c r="C77" s="2830" t="s">
        <v>2656</v>
      </c>
      <c r="D77" s="2830" t="s">
        <v>2657</v>
      </c>
      <c r="E77" s="2856">
        <v>0.2</v>
      </c>
      <c r="F77" s="2856">
        <v>25</v>
      </c>
    </row>
    <row r="78" spans="1:7" ht="14">
      <c r="A78" s="2856">
        <v>4</v>
      </c>
      <c r="B78" s="3487"/>
      <c r="C78" s="2830" t="s">
        <v>2658</v>
      </c>
      <c r="D78" s="2830" t="s">
        <v>2659</v>
      </c>
      <c r="E78" s="2856">
        <v>0.15</v>
      </c>
      <c r="F78" s="2856">
        <v>20</v>
      </c>
    </row>
    <row r="79" spans="1:7" ht="26">
      <c r="A79" s="2856">
        <v>5</v>
      </c>
      <c r="B79" s="3487"/>
      <c r="C79" s="2830" t="s">
        <v>2660</v>
      </c>
      <c r="D79" s="2830" t="s">
        <v>2661</v>
      </c>
      <c r="E79" s="2856">
        <v>0.15</v>
      </c>
      <c r="F79" s="2856">
        <v>20</v>
      </c>
    </row>
    <row r="80" spans="1:7" ht="26">
      <c r="A80" s="2856">
        <v>6</v>
      </c>
      <c r="B80" s="3487"/>
      <c r="C80" s="2830" t="s">
        <v>2662</v>
      </c>
      <c r="D80" s="2830" t="s">
        <v>2663</v>
      </c>
      <c r="E80" s="2856">
        <v>0.15</v>
      </c>
      <c r="F80" s="2856">
        <v>20</v>
      </c>
    </row>
    <row r="81" spans="1:6" ht="26">
      <c r="A81" s="2856">
        <v>7</v>
      </c>
      <c r="B81" s="3487"/>
      <c r="C81" s="2830" t="s">
        <v>2664</v>
      </c>
      <c r="D81" s="2830" t="s">
        <v>2665</v>
      </c>
      <c r="E81" s="2856">
        <v>0.15</v>
      </c>
      <c r="F81" s="2856">
        <v>20</v>
      </c>
    </row>
    <row r="82" spans="1:6" ht="26">
      <c r="A82" s="2856">
        <v>8</v>
      </c>
      <c r="B82" s="3487"/>
      <c r="C82" s="2830" t="s">
        <v>2666</v>
      </c>
      <c r="D82" s="2830" t="s">
        <v>2667</v>
      </c>
      <c r="E82" s="2856">
        <v>0.1</v>
      </c>
      <c r="F82" s="2856">
        <v>15</v>
      </c>
    </row>
    <row r="83" spans="1:6" ht="26">
      <c r="A83" s="2856">
        <v>9</v>
      </c>
      <c r="B83" s="3487"/>
      <c r="C83" s="2830" t="s">
        <v>2668</v>
      </c>
      <c r="D83" s="2830" t="s">
        <v>2669</v>
      </c>
      <c r="E83" s="2856">
        <v>0.1</v>
      </c>
      <c r="F83" s="2856">
        <v>15</v>
      </c>
    </row>
    <row r="84" spans="1:6" ht="26">
      <c r="A84" s="2856">
        <v>10</v>
      </c>
      <c r="B84" s="3487"/>
      <c r="C84" s="2830" t="s">
        <v>2670</v>
      </c>
      <c r="D84" s="2830" t="s">
        <v>2671</v>
      </c>
      <c r="E84" s="2856">
        <v>0.1</v>
      </c>
      <c r="F84" s="2856">
        <v>15</v>
      </c>
    </row>
    <row r="85" spans="1:6" ht="26">
      <c r="A85" s="2856">
        <v>11</v>
      </c>
      <c r="B85" s="3487"/>
      <c r="C85" s="2830" t="s">
        <v>2672</v>
      </c>
      <c r="D85" s="2830" t="s">
        <v>2673</v>
      </c>
      <c r="E85" s="2856">
        <v>0.1</v>
      </c>
      <c r="F85" s="2856">
        <v>15</v>
      </c>
    </row>
    <row r="86" spans="1:6" ht="26">
      <c r="A86" s="2856">
        <v>12</v>
      </c>
      <c r="B86" s="3487"/>
      <c r="C86" s="2830" t="s">
        <v>2674</v>
      </c>
      <c r="D86" s="2830" t="s">
        <v>2675</v>
      </c>
      <c r="E86" s="2856">
        <v>0.1</v>
      </c>
      <c r="F86" s="2856">
        <v>15</v>
      </c>
    </row>
    <row r="87" spans="1:6" ht="14">
      <c r="A87" s="2856">
        <v>13</v>
      </c>
      <c r="B87" s="3487"/>
      <c r="C87" s="2830" t="s">
        <v>2676</v>
      </c>
      <c r="D87" s="2830" t="s">
        <v>2677</v>
      </c>
      <c r="E87" s="2856">
        <v>0.1</v>
      </c>
      <c r="F87" s="2856">
        <v>15</v>
      </c>
    </row>
    <row r="88" spans="1:6" ht="14">
      <c r="A88" s="2856">
        <v>14</v>
      </c>
      <c r="B88" s="3487"/>
      <c r="C88" s="2830" t="s">
        <v>2678</v>
      </c>
      <c r="D88" s="2830" t="s">
        <v>2679</v>
      </c>
      <c r="E88" s="2856">
        <v>0.1</v>
      </c>
      <c r="F88" s="2856">
        <v>15</v>
      </c>
    </row>
    <row r="89" spans="1:6" ht="14">
      <c r="A89" s="2856">
        <v>15</v>
      </c>
      <c r="B89" s="3487"/>
      <c r="C89" s="2830" t="s">
        <v>2680</v>
      </c>
      <c r="D89" s="2830" t="s">
        <v>2681</v>
      </c>
      <c r="E89" s="2856">
        <v>0.1</v>
      </c>
      <c r="F89" s="2856">
        <v>15</v>
      </c>
    </row>
    <row r="90" spans="1:6" ht="26">
      <c r="A90" s="2856">
        <v>16</v>
      </c>
      <c r="B90" s="3487"/>
      <c r="C90" s="2830" t="s">
        <v>2682</v>
      </c>
      <c r="D90" s="2830" t="s">
        <v>2683</v>
      </c>
      <c r="E90" s="2856">
        <v>0.1</v>
      </c>
      <c r="F90" s="2856">
        <v>15</v>
      </c>
    </row>
    <row r="91" spans="1:6" ht="26">
      <c r="A91" s="2856">
        <v>17</v>
      </c>
      <c r="B91" s="3493"/>
      <c r="C91" s="2830" t="s">
        <v>2684</v>
      </c>
      <c r="D91" s="2830" t="s">
        <v>2685</v>
      </c>
      <c r="E91" s="2856">
        <v>0.1</v>
      </c>
      <c r="F91" s="2856">
        <v>15</v>
      </c>
    </row>
    <row r="92" spans="1:6" ht="14">
      <c r="A92" s="2856">
        <v>18</v>
      </c>
      <c r="B92" s="3488" t="s">
        <v>2686</v>
      </c>
      <c r="C92" s="2830" t="s">
        <v>2687</v>
      </c>
      <c r="D92" s="2830" t="s">
        <v>2688</v>
      </c>
      <c r="E92" s="2856">
        <v>0.2</v>
      </c>
      <c r="F92" s="2856">
        <v>25</v>
      </c>
    </row>
    <row r="93" spans="1:6" ht="26">
      <c r="A93" s="2856">
        <v>19</v>
      </c>
      <c r="B93" s="3487"/>
      <c r="C93" s="2830" t="s">
        <v>2689</v>
      </c>
      <c r="D93" s="2830" t="s">
        <v>2690</v>
      </c>
      <c r="E93" s="2856">
        <v>0.2</v>
      </c>
      <c r="F93" s="2856">
        <v>25</v>
      </c>
    </row>
    <row r="94" spans="1:6" ht="14">
      <c r="A94" s="2856">
        <v>20</v>
      </c>
      <c r="B94" s="3487"/>
      <c r="C94" s="2830" t="s">
        <v>2691</v>
      </c>
      <c r="D94" s="2830" t="s">
        <v>2692</v>
      </c>
      <c r="E94" s="2856">
        <v>0.15</v>
      </c>
      <c r="F94" s="2856">
        <v>20</v>
      </c>
    </row>
    <row r="95" spans="1:6" ht="26">
      <c r="A95" s="2856">
        <v>21</v>
      </c>
      <c r="B95" s="3487"/>
      <c r="C95" s="2830" t="s">
        <v>2693</v>
      </c>
      <c r="D95" s="2830" t="s">
        <v>2694</v>
      </c>
      <c r="E95" s="2856">
        <v>0.15</v>
      </c>
      <c r="F95" s="2856">
        <v>20</v>
      </c>
    </row>
    <row r="96" spans="1:6" ht="26">
      <c r="A96" s="2856">
        <v>22</v>
      </c>
      <c r="B96" s="3487"/>
      <c r="C96" s="2830" t="s">
        <v>2695</v>
      </c>
      <c r="D96" s="2830" t="s">
        <v>2696</v>
      </c>
      <c r="E96" s="2856">
        <v>0.15</v>
      </c>
      <c r="F96" s="2856">
        <v>20</v>
      </c>
    </row>
    <row r="97" spans="1:6" ht="39">
      <c r="A97" s="2856">
        <v>23</v>
      </c>
      <c r="B97" s="3487"/>
      <c r="C97" s="2830" t="s">
        <v>2697</v>
      </c>
      <c r="D97" s="2830" t="s">
        <v>2698</v>
      </c>
      <c r="E97" s="2856">
        <v>0.15</v>
      </c>
      <c r="F97" s="2856">
        <v>20</v>
      </c>
    </row>
    <row r="98" spans="1:6" ht="14">
      <c r="A98" s="2856">
        <v>24</v>
      </c>
      <c r="B98" s="3487"/>
      <c r="C98" s="2830" t="s">
        <v>2699</v>
      </c>
      <c r="D98" s="2830" t="s">
        <v>2700</v>
      </c>
      <c r="E98" s="2856">
        <v>0.1</v>
      </c>
      <c r="F98" s="2856">
        <v>15</v>
      </c>
    </row>
    <row r="99" spans="1:6" ht="26">
      <c r="A99" s="2856">
        <v>25</v>
      </c>
      <c r="B99" s="3487"/>
      <c r="C99" s="2830" t="s">
        <v>2701</v>
      </c>
      <c r="D99" s="2830" t="s">
        <v>2702</v>
      </c>
      <c r="E99" s="2856">
        <v>0.1</v>
      </c>
      <c r="F99" s="2856">
        <v>15</v>
      </c>
    </row>
    <row r="100" spans="1:6" ht="26">
      <c r="A100" s="2856">
        <v>26</v>
      </c>
      <c r="B100" s="3487"/>
      <c r="C100" s="2830" t="s">
        <v>2703</v>
      </c>
      <c r="D100" s="2830" t="s">
        <v>2704</v>
      </c>
      <c r="E100" s="2856">
        <v>0.1</v>
      </c>
      <c r="F100" s="2856">
        <v>15</v>
      </c>
    </row>
    <row r="101" spans="1:6" ht="26">
      <c r="A101" s="2856">
        <v>27</v>
      </c>
      <c r="B101" s="3487"/>
      <c r="C101" s="2830" t="s">
        <v>2705</v>
      </c>
      <c r="D101" s="2830" t="s">
        <v>2706</v>
      </c>
      <c r="E101" s="2856">
        <v>0.1</v>
      </c>
      <c r="F101" s="2856">
        <v>15</v>
      </c>
    </row>
    <row r="102" spans="1:6" ht="26">
      <c r="A102" s="2856">
        <v>28</v>
      </c>
      <c r="B102" s="3487"/>
      <c r="C102" s="2830" t="s">
        <v>2707</v>
      </c>
      <c r="D102" s="2830" t="s">
        <v>2708</v>
      </c>
      <c r="E102" s="2856">
        <v>0.1</v>
      </c>
      <c r="F102" s="2856">
        <v>15</v>
      </c>
    </row>
    <row r="103" spans="1:6" ht="26">
      <c r="A103" s="2856">
        <v>29</v>
      </c>
      <c r="B103" s="3487"/>
      <c r="C103" s="2830" t="s">
        <v>2709</v>
      </c>
      <c r="D103" s="2830" t="s">
        <v>2710</v>
      </c>
      <c r="E103" s="2856">
        <v>0.1</v>
      </c>
      <c r="F103" s="2856">
        <v>15</v>
      </c>
    </row>
    <row r="104" spans="1:6" ht="26">
      <c r="A104" s="2856">
        <v>30</v>
      </c>
      <c r="B104" s="3487"/>
      <c r="C104" s="2830" t="s">
        <v>2711</v>
      </c>
      <c r="D104" s="2830" t="s">
        <v>2712</v>
      </c>
      <c r="E104" s="2856">
        <v>0.1</v>
      </c>
      <c r="F104" s="2856">
        <v>15</v>
      </c>
    </row>
    <row r="105" spans="1:6" ht="26">
      <c r="A105" s="2856">
        <v>31</v>
      </c>
      <c r="B105" s="3487"/>
      <c r="C105" s="2830" t="s">
        <v>2713</v>
      </c>
      <c r="D105" s="2830" t="s">
        <v>2714</v>
      </c>
      <c r="E105" s="2856">
        <v>0.1</v>
      </c>
      <c r="F105" s="2856">
        <v>15</v>
      </c>
    </row>
    <row r="106" spans="1:6" ht="26">
      <c r="A106" s="2856">
        <v>32</v>
      </c>
      <c r="B106" s="3487"/>
      <c r="C106" s="2830" t="s">
        <v>2715</v>
      </c>
      <c r="D106" s="2830" t="s">
        <v>2716</v>
      </c>
      <c r="E106" s="2856">
        <v>0.1</v>
      </c>
      <c r="F106" s="2856">
        <v>15</v>
      </c>
    </row>
    <row r="107" spans="1:6" ht="26">
      <c r="A107" s="2856">
        <v>33</v>
      </c>
      <c r="B107" s="3487"/>
      <c r="C107" s="2830" t="s">
        <v>2717</v>
      </c>
      <c r="D107" s="2830" t="s">
        <v>2718</v>
      </c>
      <c r="E107" s="2856">
        <v>0.1</v>
      </c>
      <c r="F107" s="2856">
        <v>15</v>
      </c>
    </row>
    <row r="108" spans="1:6" ht="26">
      <c r="A108" s="2856">
        <v>34</v>
      </c>
      <c r="B108" s="3493"/>
      <c r="C108" s="2830" t="s">
        <v>2719</v>
      </c>
      <c r="D108" s="2830" t="s">
        <v>2720</v>
      </c>
      <c r="E108" s="2856">
        <v>0.1</v>
      </c>
      <c r="F108" s="2856">
        <v>15</v>
      </c>
    </row>
    <row r="109" spans="1:6" ht="26">
      <c r="A109" s="2856">
        <v>35</v>
      </c>
      <c r="B109" s="3488" t="s">
        <v>2721</v>
      </c>
      <c r="C109" s="2856" t="s">
        <v>2722</v>
      </c>
      <c r="D109" s="2830" t="s">
        <v>2723</v>
      </c>
      <c r="E109" s="2856">
        <v>0.15</v>
      </c>
      <c r="F109" s="2856">
        <v>20</v>
      </c>
    </row>
    <row r="110" spans="1:6" ht="26">
      <c r="A110" s="2856">
        <v>36</v>
      </c>
      <c r="B110" s="3487"/>
      <c r="C110" s="2856" t="s">
        <v>2724</v>
      </c>
      <c r="D110" s="2830" t="s">
        <v>2725</v>
      </c>
      <c r="E110" s="2856">
        <v>0.15</v>
      </c>
      <c r="F110" s="2856">
        <v>20</v>
      </c>
    </row>
    <row r="111" spans="1:6" ht="26">
      <c r="A111" s="2856">
        <v>37</v>
      </c>
      <c r="B111" s="3487"/>
      <c r="C111" s="2856" t="s">
        <v>2726</v>
      </c>
      <c r="D111" s="2830" t="s">
        <v>2727</v>
      </c>
      <c r="E111" s="2856">
        <v>0.15</v>
      </c>
      <c r="F111" s="2856">
        <v>20</v>
      </c>
    </row>
    <row r="112" spans="1:6" ht="14">
      <c r="A112" s="2856">
        <v>38</v>
      </c>
      <c r="B112" s="3487"/>
      <c r="C112" s="2856" t="s">
        <v>2728</v>
      </c>
      <c r="D112" s="2830" t="s">
        <v>2729</v>
      </c>
      <c r="E112" s="2856">
        <v>0.1</v>
      </c>
      <c r="F112" s="2856">
        <v>15</v>
      </c>
    </row>
    <row r="113" spans="1:6" ht="26">
      <c r="A113" s="2856">
        <v>39</v>
      </c>
      <c r="B113" s="3487"/>
      <c r="C113" s="2856" t="s">
        <v>2730</v>
      </c>
      <c r="D113" s="2830" t="s">
        <v>2731</v>
      </c>
      <c r="E113" s="2856">
        <v>0.1</v>
      </c>
      <c r="F113" s="2856">
        <v>15</v>
      </c>
    </row>
    <row r="114" spans="1:6" ht="26">
      <c r="A114" s="2856">
        <v>40</v>
      </c>
      <c r="B114" s="3493"/>
      <c r="C114" s="2856" t="s">
        <v>2732</v>
      </c>
      <c r="D114" s="2830" t="s">
        <v>2733</v>
      </c>
      <c r="E114" s="2856">
        <v>0.1</v>
      </c>
      <c r="F114" s="2856">
        <v>15</v>
      </c>
    </row>
    <row r="115" spans="1:6" ht="26">
      <c r="A115" s="2856">
        <v>41</v>
      </c>
      <c r="B115" s="3481" t="s">
        <v>2734</v>
      </c>
      <c r="C115" s="2856" t="s">
        <v>2735</v>
      </c>
      <c r="D115" s="2830" t="s">
        <v>2736</v>
      </c>
      <c r="E115" s="2856">
        <v>0.1</v>
      </c>
      <c r="F115" s="2856">
        <v>15</v>
      </c>
    </row>
    <row r="116" spans="1:6" ht="14">
      <c r="A116" s="2856">
        <v>42</v>
      </c>
      <c r="B116" s="3481"/>
      <c r="C116" s="2856" t="s">
        <v>2737</v>
      </c>
      <c r="D116" s="2830" t="s">
        <v>2738</v>
      </c>
      <c r="E116" s="2856">
        <v>0.1</v>
      </c>
      <c r="F116" s="2856">
        <v>15</v>
      </c>
    </row>
    <row r="117" spans="1:6" ht="26">
      <c r="A117" s="2856">
        <v>43</v>
      </c>
      <c r="B117" s="3481"/>
      <c r="C117" s="2856" t="s">
        <v>2739</v>
      </c>
      <c r="D117" s="2830" t="s">
        <v>2740</v>
      </c>
      <c r="E117" s="2856">
        <v>0.1</v>
      </c>
      <c r="F117" s="2856">
        <v>15</v>
      </c>
    </row>
    <row r="118" spans="1:6" ht="26">
      <c r="A118" s="2856">
        <v>44</v>
      </c>
      <c r="B118" s="3488" t="s">
        <v>2741</v>
      </c>
      <c r="C118" s="2856" t="s">
        <v>2742</v>
      </c>
      <c r="D118" s="2830" t="s">
        <v>2743</v>
      </c>
      <c r="E118" s="2856">
        <v>0.1</v>
      </c>
      <c r="F118" s="2856">
        <v>15</v>
      </c>
    </row>
    <row r="119" spans="1:6" ht="26">
      <c r="A119" s="2856">
        <v>45</v>
      </c>
      <c r="B119" s="3493"/>
      <c r="C119" s="2830" t="s">
        <v>2744</v>
      </c>
      <c r="D119" s="2830" t="s">
        <v>2745</v>
      </c>
      <c r="E119" s="2856">
        <v>0.1</v>
      </c>
      <c r="F119" s="2856">
        <v>15</v>
      </c>
    </row>
    <row r="120" spans="1:6" ht="26">
      <c r="A120" s="2856">
        <v>46</v>
      </c>
      <c r="B120" s="3488" t="s">
        <v>2746</v>
      </c>
      <c r="C120" s="2856" t="s">
        <v>2747</v>
      </c>
      <c r="D120" s="2830" t="s">
        <v>2748</v>
      </c>
      <c r="E120" s="2856">
        <v>0.1</v>
      </c>
      <c r="F120" s="2856">
        <v>15</v>
      </c>
    </row>
    <row r="121" spans="1:6" ht="26">
      <c r="A121" s="2856">
        <v>47</v>
      </c>
      <c r="B121" s="3493"/>
      <c r="C121" s="2856" t="s">
        <v>2749</v>
      </c>
      <c r="D121" s="2830" t="s">
        <v>2750</v>
      </c>
      <c r="E121" s="2856">
        <v>0.1</v>
      </c>
      <c r="F121" s="2856">
        <v>15</v>
      </c>
    </row>
    <row r="122" spans="1:6" ht="26">
      <c r="A122" s="2856">
        <v>48</v>
      </c>
      <c r="B122" s="3488" t="s">
        <v>2751</v>
      </c>
      <c r="C122" s="2856" t="s">
        <v>2752</v>
      </c>
      <c r="D122" s="2830" t="s">
        <v>2753</v>
      </c>
      <c r="E122" s="2856">
        <v>0.1</v>
      </c>
      <c r="F122" s="2856">
        <v>15</v>
      </c>
    </row>
    <row r="123" spans="1:6" ht="14">
      <c r="A123" s="2856">
        <v>49</v>
      </c>
      <c r="B123" s="3493"/>
      <c r="C123" s="2856" t="s">
        <v>2754</v>
      </c>
      <c r="D123" s="2830" t="s">
        <v>2755</v>
      </c>
      <c r="E123" s="2856">
        <v>0.1</v>
      </c>
      <c r="F123" s="2856">
        <v>15</v>
      </c>
    </row>
    <row r="124" spans="1:6" ht="26">
      <c r="A124" s="2856">
        <v>50</v>
      </c>
      <c r="B124" s="3481" t="s">
        <v>2756</v>
      </c>
      <c r="C124" s="2856" t="s">
        <v>2757</v>
      </c>
      <c r="D124" s="2830" t="s">
        <v>2758</v>
      </c>
      <c r="E124" s="2856">
        <v>0.1</v>
      </c>
      <c r="F124" s="2856">
        <v>15</v>
      </c>
    </row>
    <row r="125" spans="1:6" ht="26">
      <c r="A125" s="2856">
        <v>51</v>
      </c>
      <c r="B125" s="3481"/>
      <c r="C125" s="2856" t="s">
        <v>2759</v>
      </c>
      <c r="D125" s="2830" t="s">
        <v>2760</v>
      </c>
      <c r="E125" s="2856">
        <v>0.1</v>
      </c>
      <c r="F125" s="2856">
        <v>15</v>
      </c>
    </row>
    <row r="126" spans="1:6" ht="26">
      <c r="A126" s="2856">
        <v>52</v>
      </c>
      <c r="B126" s="3481" t="s">
        <v>2761</v>
      </c>
      <c r="C126" s="2856" t="s">
        <v>2762</v>
      </c>
      <c r="D126" s="2830" t="s">
        <v>2763</v>
      </c>
      <c r="E126" s="2856">
        <v>0.1</v>
      </c>
      <c r="F126" s="2856">
        <v>15</v>
      </c>
    </row>
    <row r="127" spans="1:6" ht="26">
      <c r="A127" s="2856">
        <v>53</v>
      </c>
      <c r="B127" s="3481"/>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1" t="s">
        <v>2769</v>
      </c>
      <c r="C129" s="2856" t="s">
        <v>2770</v>
      </c>
      <c r="D129" s="2830" t="s">
        <v>2771</v>
      </c>
      <c r="E129" s="2856">
        <v>0.1</v>
      </c>
      <c r="F129" s="2856">
        <v>15</v>
      </c>
    </row>
    <row r="130" spans="1:6" ht="14">
      <c r="A130" s="2856">
        <v>56</v>
      </c>
      <c r="B130" s="3481"/>
      <c r="C130" s="2856" t="s">
        <v>2772</v>
      </c>
      <c r="D130" s="2830" t="s">
        <v>2773</v>
      </c>
      <c r="E130" s="2856">
        <v>0.1</v>
      </c>
      <c r="F130" s="2856">
        <v>15</v>
      </c>
    </row>
    <row r="131" spans="1:6" ht="26">
      <c r="A131" s="2856">
        <v>57</v>
      </c>
      <c r="B131" s="3481"/>
      <c r="C131" s="2856" t="s">
        <v>2774</v>
      </c>
      <c r="D131" s="2830" t="s">
        <v>2775</v>
      </c>
      <c r="E131" s="2856">
        <v>0.1</v>
      </c>
      <c r="F131" s="2856">
        <v>15</v>
      </c>
    </row>
    <row r="132" spans="1:6" ht="26">
      <c r="A132" s="2856">
        <v>58</v>
      </c>
      <c r="B132" s="3481" t="s">
        <v>2776</v>
      </c>
      <c r="C132" s="2856" t="s">
        <v>2777</v>
      </c>
      <c r="D132" s="2830" t="s">
        <v>2778</v>
      </c>
      <c r="E132" s="2856">
        <v>0.1</v>
      </c>
      <c r="F132" s="2856">
        <v>15</v>
      </c>
    </row>
    <row r="133" spans="1:6" ht="26">
      <c r="A133" s="2856">
        <v>59</v>
      </c>
      <c r="B133" s="3481"/>
      <c r="C133" s="2856" t="s">
        <v>2779</v>
      </c>
      <c r="D133" s="2830" t="s">
        <v>2780</v>
      </c>
      <c r="E133" s="2856">
        <v>0.1</v>
      </c>
      <c r="F133" s="2856">
        <v>15</v>
      </c>
    </row>
    <row r="134" spans="1:6" ht="26">
      <c r="A134" s="2856">
        <v>60</v>
      </c>
      <c r="B134" s="3488" t="s">
        <v>2781</v>
      </c>
      <c r="C134" s="2856" t="s">
        <v>2782</v>
      </c>
      <c r="D134" s="2830" t="s">
        <v>2783</v>
      </c>
      <c r="E134" s="2856">
        <v>0.1</v>
      </c>
      <c r="F134" s="2856">
        <v>15</v>
      </c>
    </row>
    <row r="135" spans="1:6" ht="26">
      <c r="A135" s="2856">
        <v>61</v>
      </c>
      <c r="B135" s="3493"/>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1" t="s">
        <v>2789</v>
      </c>
      <c r="C137" s="2856" t="s">
        <v>2790</v>
      </c>
      <c r="D137" s="2830" t="s">
        <v>2791</v>
      </c>
      <c r="E137" s="2856">
        <v>0.1</v>
      </c>
      <c r="F137" s="2856">
        <v>15</v>
      </c>
    </row>
    <row r="138" spans="1:6" ht="14">
      <c r="A138" s="2856">
        <v>64</v>
      </c>
      <c r="B138" s="3481"/>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0.9103</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27642</v>
      </c>
      <c r="C2" s="2" t="s">
        <v>106</v>
      </c>
      <c r="D2" s="191"/>
      <c r="E2" s="191"/>
      <c r="F2" s="191"/>
      <c r="G2" s="191"/>
    </row>
    <row r="3" spans="1:7" s="192" customFormat="1" ht="18" customHeight="1" thickBot="1">
      <c r="A3" s="195" t="s">
        <v>58</v>
      </c>
      <c r="B3" s="196">
        <f ca="1">ROUND(B2*10000/'数据-汇总表'!E3,0)</f>
        <v>2598177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106.39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106.39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37</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106.39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5.9999999999999995E-4</v>
      </c>
      <c r="D44" s="230"/>
      <c r="E44" s="230"/>
      <c r="F44" s="231"/>
      <c r="G44" s="3359"/>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54</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44</v>
      </c>
      <c r="D51" s="224"/>
      <c r="E51" s="224"/>
      <c r="F51" s="256"/>
      <c r="G51" s="226" t="s">
        <v>37</v>
      </c>
    </row>
    <row r="52" spans="1:7" s="200" customFormat="1" ht="16.5" thickBot="1">
      <c r="A52" s="257" t="s">
        <v>38</v>
      </c>
      <c r="B52" s="258"/>
      <c r="C52" s="259">
        <f ca="1">C31+C51</f>
        <v>27642</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94" t="s">
        <v>3181</v>
      </c>
      <c r="B1" s="3494"/>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95" t="s">
        <v>3232</v>
      </c>
      <c r="B1" s="3495"/>
      <c r="C1" s="3495"/>
      <c r="D1" s="3495"/>
      <c r="E1" s="3495"/>
      <c r="F1" s="3496"/>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46002</v>
      </c>
      <c r="B1" s="2928" t="s">
        <v>3376</v>
      </c>
      <c r="C1" s="2929"/>
      <c r="D1" s="2929"/>
      <c r="E1" s="2929"/>
      <c r="F1" s="2929"/>
      <c r="G1" s="2929"/>
      <c r="H1" s="2929"/>
      <c r="I1" s="2929"/>
      <c r="J1" s="2895"/>
      <c r="K1" s="2929" t="s">
        <v>454</v>
      </c>
      <c r="L1" s="2929"/>
      <c r="M1" s="2929"/>
      <c r="N1" s="2929"/>
      <c r="O1" s="2929"/>
      <c r="P1" s="2929"/>
      <c r="Q1" s="2895"/>
      <c r="R1" s="3497" t="s">
        <v>456</v>
      </c>
      <c r="S1" s="3498"/>
      <c r="T1" s="3498"/>
      <c r="U1" s="3498"/>
      <c r="V1" s="3498"/>
      <c r="W1" s="3498"/>
      <c r="X1" s="2895"/>
      <c r="Y1" s="3497" t="s">
        <v>457</v>
      </c>
      <c r="Z1" s="3498"/>
      <c r="AA1" s="3498"/>
      <c r="AB1" s="3498"/>
      <c r="AC1" s="3498"/>
      <c r="AD1" s="3498"/>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497" t="s">
        <v>2827</v>
      </c>
      <c r="S29" s="3498"/>
      <c r="T29" s="3498"/>
      <c r="U29" s="3498"/>
      <c r="V29" s="3498"/>
      <c r="W29" s="3498"/>
      <c r="X29" s="2895"/>
      <c r="Y29" s="3497" t="s">
        <v>2828</v>
      </c>
      <c r="Z29" s="3498"/>
      <c r="AA29" s="3498"/>
      <c r="AB29" s="3498"/>
      <c r="AC29" s="3498"/>
      <c r="AD29" s="3498"/>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0" t="s">
        <v>2839</v>
      </c>
      <c r="B1" s="3510"/>
      <c r="C1" s="3510"/>
      <c r="D1" s="3510"/>
      <c r="E1" s="3510"/>
      <c r="F1" s="3510"/>
      <c r="G1" s="351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46002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8"/>
      <c r="B3" s="3188"/>
      <c r="C3" s="3188"/>
      <c r="D3" s="801" t="s">
        <v>925</v>
      </c>
      <c r="E3" s="801" t="s">
        <v>931</v>
      </c>
      <c r="F3" s="801" t="s">
        <v>925</v>
      </c>
      <c r="G3" s="801" t="s">
        <v>926</v>
      </c>
      <c r="H3" s="801" t="s">
        <v>925</v>
      </c>
      <c r="I3" s="801" t="s">
        <v>926</v>
      </c>
    </row>
    <row r="4" spans="1:9" ht="31">
      <c r="A4" s="1403" t="str">
        <f>项目基本情况!S2</f>
        <v>北京市顺义区天承环路8号院27号楼6层603房地产</v>
      </c>
      <c r="B4" s="801">
        <f>项目基本情况!C17</f>
        <v>106.39</v>
      </c>
      <c r="C4" s="801">
        <f>项目基本情况!C18</f>
        <v>0</v>
      </c>
      <c r="D4" s="801">
        <f>结果表!D118</f>
        <v>0</v>
      </c>
      <c r="E4" s="801">
        <f>结果表!E118</f>
        <v>0</v>
      </c>
      <c r="F4" s="801">
        <f>结果表!F118</f>
        <v>0</v>
      </c>
      <c r="G4" s="801">
        <f>结果表!G118</f>
        <v>0</v>
      </c>
      <c r="H4" s="801">
        <f ca="1">结果表!H118</f>
        <v>118.9015</v>
      </c>
      <c r="I4" s="801">
        <f ca="1">结果表!I118</f>
        <v>11176</v>
      </c>
    </row>
    <row r="5" spans="1:9" ht="30" customHeight="1">
      <c r="A5" s="3188" t="s">
        <v>927</v>
      </c>
      <c r="B5" s="3188"/>
      <c r="C5" s="3188"/>
      <c r="D5" s="3188" t="str">
        <f>结果表!D119</f>
        <v>零元整</v>
      </c>
      <c r="E5" s="3188"/>
      <c r="F5" s="3188" t="str">
        <f>结果表!F119</f>
        <v>零元整</v>
      </c>
      <c r="G5" s="3188"/>
      <c r="H5" s="3188" t="str">
        <f ca="1">结果表!H119</f>
        <v>壹佰壹拾捌万玖仟零壹拾伍元整</v>
      </c>
      <c r="I5" s="3188"/>
    </row>
    <row r="6" spans="1:9" ht="15.5">
      <c r="A6" s="3189" t="str">
        <f>结果表!A120</f>
        <v>估价师知悉的法定优先受偿款</v>
      </c>
      <c r="B6" s="3189"/>
      <c r="C6" s="3189"/>
      <c r="D6" s="3189">
        <f>结果表!D120</f>
        <v>0</v>
      </c>
      <c r="E6" s="3189"/>
      <c r="F6" s="3189"/>
      <c r="G6" s="3189"/>
      <c r="H6" s="3189"/>
      <c r="I6" s="3189"/>
    </row>
    <row r="7" spans="1:9" ht="15.5">
      <c r="A7" s="3188" t="s">
        <v>927</v>
      </c>
      <c r="B7" s="3188"/>
      <c r="C7" s="3188"/>
      <c r="D7" s="3190" t="str">
        <f>结果表!D121</f>
        <v>零元整</v>
      </c>
      <c r="E7" s="3191"/>
      <c r="F7" s="3191"/>
      <c r="G7" s="3191"/>
      <c r="H7" s="3191"/>
      <c r="I7" s="3192"/>
    </row>
    <row r="8" spans="1:9" ht="15.5">
      <c r="A8" s="3189" t="str">
        <f>结果表!A122</f>
        <v>房地产抵押价值</v>
      </c>
      <c r="B8" s="3189"/>
      <c r="C8" s="3189"/>
      <c r="D8" s="3189">
        <f ca="1">结果表!D122</f>
        <v>118.9015</v>
      </c>
      <c r="E8" s="3189"/>
      <c r="F8" s="3189"/>
      <c r="G8" s="3189"/>
      <c r="H8" s="3189"/>
      <c r="I8" s="3189"/>
    </row>
    <row r="9" spans="1:9" ht="15.5">
      <c r="A9" s="3188" t="s">
        <v>927</v>
      </c>
      <c r="B9" s="3188"/>
      <c r="C9" s="3188"/>
      <c r="D9" s="3188" t="str">
        <f ca="1">结果表!D123</f>
        <v>壹佰壹拾捌万玖仟零壹拾伍元整</v>
      </c>
      <c r="E9" s="3188"/>
      <c r="F9" s="3188"/>
      <c r="G9" s="3188"/>
      <c r="H9" s="3188"/>
      <c r="I9" s="3188"/>
    </row>
    <row r="10" spans="1:9" ht="15.5">
      <c r="A10" s="3189" t="str">
        <f>结果表!A124</f>
        <v/>
      </c>
      <c r="B10" s="3189"/>
      <c r="C10" s="3189"/>
      <c r="D10" s="3189" t="str">
        <f>结果表!D124</f>
        <v>——</v>
      </c>
      <c r="E10" s="3189"/>
      <c r="F10" s="3189"/>
      <c r="G10" s="3189"/>
      <c r="H10" s="3189"/>
      <c r="I10" s="3189"/>
    </row>
    <row r="11" spans="1:9" ht="15.5">
      <c r="A11" s="3188" t="s">
        <v>927</v>
      </c>
      <c r="B11" s="3188"/>
      <c r="C11" s="3188"/>
      <c r="D11" s="3188" t="e">
        <f>结果表!D125</f>
        <v>#VALUE!</v>
      </c>
      <c r="E11" s="3188"/>
      <c r="F11" s="3188"/>
      <c r="G11" s="3188"/>
      <c r="H11" s="3188"/>
      <c r="I11" s="3188"/>
    </row>
    <row r="12" spans="1:9" ht="15.5">
      <c r="A12" s="3189" t="str">
        <f>结果表!A126</f>
        <v/>
      </c>
      <c r="B12" s="3189"/>
      <c r="C12" s="3189"/>
      <c r="D12" s="3189" t="str">
        <f>结果表!D126</f>
        <v>——</v>
      </c>
      <c r="E12" s="3189"/>
      <c r="F12" s="3189"/>
      <c r="G12" s="3189"/>
      <c r="H12" s="3189"/>
      <c r="I12" s="3189"/>
    </row>
    <row r="13" spans="1:9" ht="16" thickBot="1">
      <c r="A13" s="3193" t="s">
        <v>927</v>
      </c>
      <c r="B13" s="3193"/>
      <c r="C13" s="3193"/>
      <c r="D13" s="3193" t="e">
        <f>结果表!D127</f>
        <v>#VALUE!</v>
      </c>
      <c r="E13" s="3193"/>
      <c r="F13" s="3193"/>
      <c r="G13" s="3193"/>
      <c r="H13" s="3193"/>
      <c r="I13" s="3193"/>
    </row>
    <row r="14" spans="1:9" ht="14.5" thickTop="1">
      <c r="A14" s="3194" t="s">
        <v>932</v>
      </c>
      <c r="B14" s="3194"/>
      <c r="C14" s="3194"/>
      <c r="D14" s="3194"/>
      <c r="E14" s="3194"/>
      <c r="F14" s="3194"/>
      <c r="G14" s="3194"/>
      <c r="H14" s="3194"/>
      <c r="I14" s="3194"/>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5" t="s">
        <v>949</v>
      </c>
      <c r="B1" s="3195"/>
      <c r="C1" s="3195"/>
      <c r="D1" s="3195"/>
    </row>
    <row r="2" spans="1:4" ht="18">
      <c r="A2" s="3196" t="s">
        <v>933</v>
      </c>
      <c r="B2" s="3196"/>
      <c r="C2" s="3196"/>
      <c r="D2" s="3196"/>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7"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9" t="s">
        <v>956</v>
      </c>
      <c r="B15" s="3204" t="s">
        <v>109</v>
      </c>
      <c r="C15" s="3205"/>
    </row>
    <row r="16" spans="1:7" ht="14">
      <c r="A16" s="3210"/>
      <c r="B16" s="3204" t="s">
        <v>42</v>
      </c>
      <c r="C16" s="3205"/>
    </row>
    <row r="17" spans="1:3" ht="14">
      <c r="A17" s="3210"/>
      <c r="B17" s="3207" t="s">
        <v>957</v>
      </c>
      <c r="C17" s="1429" t="s">
        <v>956</v>
      </c>
    </row>
    <row r="18" spans="1:3" ht="14">
      <c r="A18" s="3210"/>
      <c r="B18" s="3207"/>
      <c r="C18" s="1429" t="s">
        <v>958</v>
      </c>
    </row>
    <row r="19" spans="1:3" ht="14">
      <c r="A19" s="3210"/>
      <c r="B19" s="3207"/>
      <c r="C19" s="1429" t="s">
        <v>959</v>
      </c>
    </row>
    <row r="20" spans="1:3" ht="14">
      <c r="A20" s="3211"/>
      <c r="B20" s="3206" t="s">
        <v>960</v>
      </c>
      <c r="C20" s="3205"/>
    </row>
    <row r="21" spans="1:3" ht="14">
      <c r="A21" s="1430" t="s">
        <v>961</v>
      </c>
      <c r="B21" s="1431"/>
      <c r="C21" s="1432"/>
    </row>
    <row r="22" spans="1:3" ht="14">
      <c r="A22" s="3208" t="s">
        <v>962</v>
      </c>
      <c r="B22" s="3206" t="s">
        <v>963</v>
      </c>
      <c r="C22" s="3205"/>
    </row>
    <row r="23" spans="1:3" ht="14">
      <c r="A23" s="3208"/>
      <c r="B23" s="3206" t="s">
        <v>964</v>
      </c>
      <c r="C23" s="3205"/>
    </row>
    <row r="24" spans="1:3" ht="14">
      <c r="A24" s="3208"/>
      <c r="B24" s="3206" t="s">
        <v>965</v>
      </c>
      <c r="C24" s="3205"/>
    </row>
    <row r="25" spans="1:3" ht="14">
      <c r="A25" s="3208"/>
      <c r="B25" s="3207" t="s">
        <v>966</v>
      </c>
      <c r="C25" s="1429" t="s">
        <v>967</v>
      </c>
    </row>
    <row r="26" spans="1:3" ht="14">
      <c r="A26" s="3208"/>
      <c r="B26" s="3207"/>
      <c r="C26" s="1429" t="s">
        <v>968</v>
      </c>
    </row>
    <row r="27" spans="1:3" ht="14">
      <c r="A27" s="3208"/>
      <c r="B27" s="3207"/>
      <c r="C27" s="1429" t="s">
        <v>969</v>
      </c>
    </row>
    <row r="28" spans="1:3" ht="14">
      <c r="A28" s="3208"/>
      <c r="B28" s="3207"/>
      <c r="C28" s="1429" t="s">
        <v>970</v>
      </c>
    </row>
    <row r="29" spans="1:3" ht="14">
      <c r="A29" s="3208"/>
      <c r="B29" s="3207"/>
      <c r="C29" s="1429" t="s">
        <v>971</v>
      </c>
    </row>
    <row r="30" spans="1:3" ht="14">
      <c r="A30" s="3208"/>
      <c r="B30" s="3207"/>
      <c r="C30" s="1429" t="s">
        <v>972</v>
      </c>
    </row>
    <row r="31" spans="1:3" ht="14">
      <c r="A31" s="3208"/>
      <c r="B31" s="3207"/>
      <c r="C31" s="1429" t="s">
        <v>973</v>
      </c>
    </row>
    <row r="32" spans="1:3" ht="14">
      <c r="A32" s="3208"/>
      <c r="B32" s="3207"/>
      <c r="C32" s="1429" t="s">
        <v>974</v>
      </c>
    </row>
    <row r="33" spans="1:3" ht="14">
      <c r="A33" s="3208"/>
      <c r="B33" s="3207"/>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46006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售价案例</vt:lpstr>
      <vt:lpstr>租金案例</vt:lpstr>
      <vt:lpstr>建成年代</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2025-12-15T06:26:05Z</dcterms:modified>
</cp:coreProperties>
</file>