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房山区福通路1号院1号楼-2至10层1-1-吴姐询价-报价5200-5300万元\"/>
    </mc:Choice>
  </mc:AlternateContent>
  <xr:revisionPtr revIDLastSave="0" documentId="13_ncr:1_{D187EF00-2157-49FA-8002-1C4E028C7BB6}"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2" sheetId="81"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4" i="9" l="1"/>
  <c r="B14" i="74" l="1"/>
  <c r="K13" i="3" l="1"/>
  <c r="E3" i="81"/>
  <c r="I13" i="3" s="1"/>
  <c r="F19" i="6" s="1"/>
  <c r="D33" i="43" s="1"/>
  <c r="S59" i="81"/>
  <c r="Y6" i="1"/>
  <c r="B59" i="1"/>
  <c r="B21" i="1"/>
  <c r="G19" i="6"/>
  <c r="D40" i="43" s="1"/>
  <c r="I13" i="4"/>
  <c r="E27" i="45"/>
  <c r="E5" i="81" l="1"/>
  <c r="F5" i="8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D35" i="79"/>
  <c r="AD34"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5" i="79"/>
  <c r="T34" i="79"/>
  <c r="S34" i="79"/>
  <c r="AG34" i="79" s="1"/>
  <c r="S33" i="79"/>
  <c r="AG33" i="79" s="1"/>
  <c r="S35" i="79"/>
  <c r="AG35"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F93" i="43" l="1"/>
  <c r="H100" i="43" s="1"/>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H99" i="43" l="1"/>
  <c r="H94" i="43"/>
  <c r="H101" i="43"/>
  <c r="H95" i="43"/>
  <c r="H93" i="43"/>
  <c r="H97" i="43"/>
  <c r="H96" i="43"/>
  <c r="H98"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L13" i="3" s="1"/>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U30" i="37"/>
  <c r="W31" i="37"/>
  <c r="E103" i="37"/>
  <c r="F103" i="37" s="1"/>
  <c r="G103" i="37" s="1"/>
  <c r="H103" i="37" s="1"/>
  <c r="I103" i="37" s="1"/>
  <c r="J103" i="37" s="1"/>
  <c r="K103" i="37" s="1"/>
  <c r="L103" i="37" s="1"/>
  <c r="M103" i="37" s="1"/>
  <c r="F29" i="36"/>
  <c r="AA29" i="36" s="1"/>
  <c r="F16" i="36"/>
  <c r="AA16" i="36" s="1"/>
  <c r="W28" i="36"/>
  <c r="H22" i="35"/>
  <c r="AB22" i="35"/>
  <c r="W28" i="35"/>
  <c r="U31" i="35"/>
  <c r="W22" i="35"/>
  <c r="U34" i="35"/>
  <c r="F36" i="34"/>
  <c r="J35" i="34"/>
  <c r="U34" i="34"/>
  <c r="H39" i="33"/>
  <c r="AB39" i="33" s="1"/>
  <c r="U33" i="33"/>
  <c r="U35" i="33"/>
  <c r="W33"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U46" i="33"/>
  <c r="AA14" i="33"/>
  <c r="J36" i="37"/>
  <c r="AC36" i="37" s="1"/>
  <c r="J10" i="36"/>
  <c r="AC10" i="36" s="1"/>
  <c r="AB30" i="21"/>
  <c r="AA14" i="37"/>
  <c r="S11" i="36"/>
  <c r="AB46" i="34"/>
  <c r="S45" i="33"/>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C46" i="36" s="1"/>
  <c r="D46" i="36" s="1"/>
  <c r="E46" i="36" s="1"/>
  <c r="F46" i="36" s="1"/>
  <c r="G46" i="36" s="1"/>
  <c r="H46" i="36" s="1"/>
  <c r="I46" i="36" s="1"/>
  <c r="A118" i="9"/>
  <c r="J11" i="39"/>
  <c r="W11" i="39" s="1"/>
  <c r="F11" i="39"/>
  <c r="S11" i="39" s="1"/>
  <c r="AA11" i="39"/>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55" i="3"/>
  <c r="AZ144" i="3"/>
  <c r="AZ168" i="3"/>
  <c r="AZ176"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AZ392" i="3" s="1"/>
  <c r="G393" i="3"/>
  <c r="AZ275" i="3"/>
  <c r="BO5" i="3"/>
  <c r="BM5" i="3"/>
  <c r="BJ5" i="3"/>
  <c r="BH5" i="3"/>
  <c r="BF5" i="3"/>
  <c r="BD5" i="3"/>
  <c r="AZ325" i="3"/>
  <c r="AZ341" i="3"/>
  <c r="AC5" i="3"/>
  <c r="AZ506" i="3"/>
  <c r="AZ496" i="3"/>
  <c r="G548" i="3"/>
  <c r="G538" i="3"/>
  <c r="G520" i="3"/>
  <c r="G502" i="3"/>
  <c r="BN5" i="3"/>
  <c r="BI5" i="3"/>
  <c r="BE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F23" i="39"/>
  <c r="AA23" i="39"/>
  <c r="H27" i="36"/>
  <c r="U27" i="36" s="1"/>
  <c r="F27" i="36"/>
  <c r="AA27" i="36" s="1"/>
  <c r="H33" i="34"/>
  <c r="U33" i="34"/>
  <c r="F32" i="37"/>
  <c r="S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33" i="3"/>
  <c r="W12" i="33"/>
  <c r="AC12" i="33"/>
  <c r="AA32" i="36"/>
  <c r="S32" i="36"/>
  <c r="AZ437" i="3"/>
  <c r="BL14" i="3"/>
  <c r="U30" i="33"/>
  <c r="AC13" i="34"/>
  <c r="AA47" i="34"/>
  <c r="W28" i="37"/>
  <c r="S19" i="39"/>
  <c r="F12" i="33"/>
  <c r="S12" i="33" s="1"/>
  <c r="H12" i="39"/>
  <c r="AB12" i="39"/>
  <c r="F39" i="40"/>
  <c r="BA14" i="3"/>
  <c r="AZ14" i="3" s="1"/>
  <c r="AZ36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AA39" i="40"/>
  <c r="S39" i="40"/>
  <c r="AA12" i="33"/>
  <c r="J32" i="39"/>
  <c r="W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AB23" i="33"/>
  <c r="U23" i="33"/>
  <c r="F23" i="33"/>
  <c r="AA19" i="33"/>
  <c r="H19" i="33"/>
  <c r="G81" i="33"/>
  <c r="H17" i="33"/>
  <c r="U17" i="33" s="1"/>
  <c r="F17" i="33"/>
  <c r="S17" i="33" s="1"/>
  <c r="W17" i="33"/>
  <c r="AC17" i="33"/>
  <c r="S37" i="21"/>
  <c r="AB15" i="21"/>
  <c r="J23" i="21"/>
  <c r="AC23" i="21" s="1"/>
  <c r="F85" i="21"/>
  <c r="G85" i="21" s="1"/>
  <c r="H23" i="21"/>
  <c r="S13" i="21"/>
  <c r="D6" i="52"/>
  <c r="AP7" i="1"/>
  <c r="AB9" i="21"/>
  <c r="U9" i="21"/>
  <c r="W9" i="21"/>
  <c r="AC9" i="21"/>
  <c r="U32" i="39"/>
  <c r="AC32" i="39"/>
  <c r="W23" i="37"/>
  <c r="AC23" i="37"/>
  <c r="J11" i="37"/>
  <c r="AC11" i="37" s="1"/>
  <c r="J11" i="34"/>
  <c r="W11" i="34" s="1"/>
  <c r="W27" i="33"/>
  <c r="AC27" i="33"/>
  <c r="W25" i="33"/>
  <c r="AB19" i="33"/>
  <c r="U19" i="33"/>
  <c r="AA17"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67"/>
  <c r="B8" i="76"/>
  <c r="F7" i="67"/>
  <c r="E2" i="68"/>
  <c r="B11" i="76"/>
  <c r="B7" i="76"/>
  <c r="F36" i="67"/>
  <c r="M26" i="67"/>
  <c r="B10" i="76"/>
  <c r="E9" i="76"/>
  <c r="F37" i="15"/>
  <c r="F40" i="15"/>
  <c r="F9" i="15"/>
  <c r="F42" i="67"/>
  <c r="J15" i="15"/>
  <c r="M9" i="67"/>
  <c r="M23" i="67"/>
  <c r="F9" i="67"/>
  <c r="M29" i="15"/>
  <c r="C76" i="15"/>
  <c r="L48" i="67"/>
  <c r="M9" i="15"/>
  <c r="M24" i="15"/>
  <c r="M26" i="15"/>
  <c r="AO13" i="1"/>
  <c r="L48" i="15"/>
  <c r="F7" i="15"/>
  <c r="B12" i="76"/>
  <c r="E2" i="69"/>
  <c r="M29" i="67"/>
  <c r="F6" i="73"/>
  <c r="F13" i="15"/>
  <c r="M22" i="15"/>
  <c r="C76" i="67"/>
  <c r="F43" i="67"/>
  <c r="F38" i="15"/>
  <c r="F4" i="73"/>
  <c r="F26" i="67"/>
  <c r="F8" i="15"/>
  <c r="E12" i="76"/>
  <c r="F26" i="15"/>
  <c r="E11" i="76"/>
  <c r="B9" i="76"/>
  <c r="F43" i="15"/>
  <c r="F20" i="31"/>
  <c r="M6" i="67"/>
  <c r="L47" i="67"/>
  <c r="D6" i="73"/>
  <c r="B13" i="76"/>
  <c r="E10" i="76"/>
  <c r="L47" i="15"/>
  <c r="E8" i="76"/>
  <c r="M6" i="15"/>
  <c r="F6" i="67"/>
  <c r="F16" i="15"/>
  <c r="M8" i="67"/>
  <c r="F5" i="73"/>
  <c r="M28" i="15"/>
  <c r="M28" i="67"/>
  <c r="F42" i="15"/>
  <c r="F37" i="67"/>
  <c r="M23" i="15"/>
  <c r="F40" i="67"/>
  <c r="J15" i="67"/>
  <c r="F6" i="15"/>
  <c r="F7" i="73"/>
  <c r="M8" i="15"/>
  <c r="E13" i="76"/>
  <c r="F16" i="67"/>
  <c r="F8" i="67"/>
  <c r="F3" i="73"/>
  <c r="E7" i="76"/>
  <c r="F36" i="15"/>
  <c r="F28" i="15" l="1"/>
  <c r="F32" i="67"/>
  <c r="F60" i="67" s="1"/>
  <c r="BA13" i="3"/>
  <c r="BP5" i="3"/>
  <c r="G29" i="6" s="1"/>
  <c r="G13" i="3"/>
  <c r="BC5" i="3"/>
  <c r="A2" i="9"/>
  <c r="A4" i="52"/>
  <c r="B41" i="72" s="1"/>
  <c r="B13" i="53"/>
  <c r="B29" i="72" s="1"/>
  <c r="M47" i="9"/>
  <c r="C7" i="35"/>
  <c r="C48" i="35" s="1"/>
  <c r="D48" i="35" s="1"/>
  <c r="C7" i="21"/>
  <c r="C21" i="71"/>
  <c r="D21" i="71" s="1"/>
  <c r="M18" i="15"/>
  <c r="M18" i="67"/>
  <c r="F30" i="11"/>
  <c r="C48" i="11" s="1"/>
  <c r="AB36" i="33"/>
  <c r="U32" i="21"/>
  <c r="S32" i="21"/>
  <c r="AB45" i="21"/>
  <c r="S21" i="39"/>
  <c r="F54" i="9"/>
  <c r="F32" i="15"/>
  <c r="F60" i="15" s="1"/>
  <c r="F52" i="9"/>
  <c r="F30" i="68"/>
  <c r="F48" i="68" s="1"/>
  <c r="AC37" i="33"/>
  <c r="S20" i="36"/>
  <c r="S15" i="39"/>
  <c r="U37" i="39"/>
  <c r="AC34" i="33"/>
  <c r="F29" i="6"/>
  <c r="AZ391" i="3"/>
  <c r="AZ349" i="3"/>
  <c r="AZ318" i="3"/>
  <c r="AZ364" i="3"/>
  <c r="AZ329" i="3"/>
  <c r="AZ304" i="3"/>
  <c r="AZ306" i="3"/>
  <c r="W35" i="40"/>
  <c r="U11" i="33"/>
  <c r="AA13" i="33"/>
  <c r="AZ535" i="3"/>
  <c r="AZ557" i="3"/>
  <c r="AZ513" i="3"/>
  <c r="AZ575" i="3"/>
  <c r="AZ528" i="3"/>
  <c r="AZ574" i="3"/>
  <c r="AZ540" i="3"/>
  <c r="AZ502" i="3"/>
  <c r="S28" i="34"/>
  <c r="J33" i="36"/>
  <c r="AC33" i="36" s="1"/>
  <c r="W25" i="37"/>
  <c r="G585" i="3"/>
  <c r="W23" i="21"/>
  <c r="D68" i="9"/>
  <c r="F30" i="69"/>
  <c r="F48" i="69" s="1"/>
  <c r="F31" i="12"/>
  <c r="AB20" i="35"/>
  <c r="AA19" i="40"/>
  <c r="AA32" i="37"/>
  <c r="AZ357" i="3"/>
  <c r="AZ322" i="3"/>
  <c r="AZ160" i="3"/>
  <c r="S14" i="40"/>
  <c r="AA25" i="21"/>
  <c r="AZ519" i="3"/>
  <c r="AZ531" i="3"/>
  <c r="AZ573" i="3"/>
  <c r="AZ583" i="3"/>
  <c r="AZ568" i="3"/>
  <c r="AZ576" i="3"/>
  <c r="AA14" i="34"/>
  <c r="W40" i="39"/>
  <c r="J27" i="21"/>
  <c r="F27" i="21"/>
  <c r="F9" i="34"/>
  <c r="AA9" i="34" s="1"/>
  <c r="J9" i="34"/>
  <c r="H36" i="35"/>
  <c r="G570" i="3"/>
  <c r="AZ407" i="3"/>
  <c r="AZ579" i="3"/>
  <c r="BL585" i="3"/>
  <c r="B72" i="43"/>
  <c r="C15" i="39"/>
  <c r="J12" i="34"/>
  <c r="H12" i="34"/>
  <c r="H25" i="37"/>
  <c r="F25" i="37"/>
  <c r="U8" i="39"/>
  <c r="AB8" i="39"/>
  <c r="AC39" i="34"/>
  <c r="AA34" i="33"/>
  <c r="AZ387" i="3"/>
  <c r="AZ338" i="3"/>
  <c r="AZ371" i="3"/>
  <c r="AZ305" i="3"/>
  <c r="AZ360" i="3"/>
  <c r="AZ529" i="3"/>
  <c r="AZ537" i="3"/>
  <c r="AZ546" i="3"/>
  <c r="AZ585" i="3"/>
  <c r="F26" i="33"/>
  <c r="H26" i="33"/>
  <c r="AB31" i="36"/>
  <c r="U31" i="36"/>
  <c r="S9" i="40"/>
  <c r="AA9" i="40"/>
  <c r="G551" i="3"/>
  <c r="BL550" i="3"/>
  <c r="G542" i="3"/>
  <c r="BL15" i="3"/>
  <c r="AZ15" i="3" s="1"/>
  <c r="BA398" i="3"/>
  <c r="AZ398" i="3" s="1"/>
  <c r="BA399" i="3"/>
  <c r="AZ399" i="3" s="1"/>
  <c r="BL401" i="3"/>
  <c r="BL404" i="3"/>
  <c r="BL405" i="3"/>
  <c r="BL407" i="3"/>
  <c r="BA412" i="3"/>
  <c r="AZ412" i="3" s="1"/>
  <c r="BA414" i="3"/>
  <c r="AZ414" i="3" s="1"/>
  <c r="BA415" i="3"/>
  <c r="AZ415" i="3" s="1"/>
  <c r="BA416" i="3"/>
  <c r="AZ416" i="3" s="1"/>
  <c r="AZ421" i="3"/>
  <c r="AZ454" i="3"/>
  <c r="AZ462" i="3"/>
  <c r="AZ483" i="3"/>
  <c r="BL587" i="3"/>
  <c r="AZ587" i="3" s="1"/>
  <c r="BL586" i="3"/>
  <c r="AZ586" i="3" s="1"/>
  <c r="G574" i="3"/>
  <c r="BL16" i="3"/>
  <c r="AZ16" i="3" s="1"/>
  <c r="BA401" i="3"/>
  <c r="AZ401" i="3" s="1"/>
  <c r="BA403" i="3"/>
  <c r="AZ403" i="3" s="1"/>
  <c r="BA404" i="3"/>
  <c r="BA405" i="3"/>
  <c r="AZ405" i="3" s="1"/>
  <c r="G409" i="3"/>
  <c r="BL410" i="3"/>
  <c r="G412" i="3"/>
  <c r="G418" i="3"/>
  <c r="G419" i="3"/>
  <c r="BA422" i="3"/>
  <c r="G429" i="3"/>
  <c r="G430" i="3"/>
  <c r="BL431" i="3"/>
  <c r="G433" i="3"/>
  <c r="BL434" i="3"/>
  <c r="G437" i="3"/>
  <c r="BL438" i="3"/>
  <c r="BL439" i="3"/>
  <c r="BA441" i="3"/>
  <c r="AZ441" i="3" s="1"/>
  <c r="AZ451" i="3"/>
  <c r="BL452" i="3"/>
  <c r="G455" i="3"/>
  <c r="G458" i="3"/>
  <c r="BA460" i="3"/>
  <c r="BA461" i="3"/>
  <c r="AZ461" i="3" s="1"/>
  <c r="BL467" i="3"/>
  <c r="BL468" i="3"/>
  <c r="BA473" i="3"/>
  <c r="AZ473" i="3" s="1"/>
  <c r="BA482" i="3"/>
  <c r="BA484" i="3"/>
  <c r="AZ484" i="3" s="1"/>
  <c r="BL487" i="3"/>
  <c r="W31" i="40"/>
  <c r="S31" i="35"/>
  <c r="F39" i="37"/>
  <c r="S39" i="37" s="1"/>
  <c r="J44" i="39"/>
  <c r="G587" i="3"/>
  <c r="J12" i="35"/>
  <c r="BA551" i="3"/>
  <c r="AZ551" i="3" s="1"/>
  <c r="BA550" i="3"/>
  <c r="AZ550" i="3" s="1"/>
  <c r="BL548" i="3"/>
  <c r="AZ548" i="3" s="1"/>
  <c r="G398" i="3"/>
  <c r="BL400" i="3"/>
  <c r="BL408" i="3"/>
  <c r="AZ408" i="3" s="1"/>
  <c r="BL411" i="3"/>
  <c r="BL413" i="3"/>
  <c r="AZ413" i="3" s="1"/>
  <c r="G415" i="3"/>
  <c r="BL417" i="3"/>
  <c r="BL418" i="3"/>
  <c r="AZ418" i="3" s="1"/>
  <c r="BL420" i="3"/>
  <c r="BL424" i="3"/>
  <c r="BL428" i="3"/>
  <c r="BL429" i="3"/>
  <c r="BL432" i="3"/>
  <c r="BL435" i="3"/>
  <c r="AZ435" i="3" s="1"/>
  <c r="BL436" i="3"/>
  <c r="BA439" i="3"/>
  <c r="BA440" i="3"/>
  <c r="AZ440" i="3" s="1"/>
  <c r="BA442" i="3"/>
  <c r="BL444" i="3"/>
  <c r="AZ444" i="3" s="1"/>
  <c r="BL449" i="3"/>
  <c r="BL450" i="3"/>
  <c r="BL453" i="3"/>
  <c r="BL454" i="3"/>
  <c r="AZ487" i="3"/>
  <c r="AZ400" i="3"/>
  <c r="AZ402" i="3"/>
  <c r="AZ406" i="3"/>
  <c r="AZ411" i="3"/>
  <c r="BA417" i="3"/>
  <c r="AZ417" i="3" s="1"/>
  <c r="BL421" i="3"/>
  <c r="BL422" i="3"/>
  <c r="BL425" i="3"/>
  <c r="AZ425" i="3" s="1"/>
  <c r="BL426" i="3"/>
  <c r="BA428" i="3"/>
  <c r="AZ428" i="3" s="1"/>
  <c r="BA429" i="3"/>
  <c r="AZ429" i="3" s="1"/>
  <c r="BA430" i="3"/>
  <c r="AZ430" i="3" s="1"/>
  <c r="BA432" i="3"/>
  <c r="BA434" i="3"/>
  <c r="BA436" i="3"/>
  <c r="BA438" i="3"/>
  <c r="G442" i="3"/>
  <c r="BA443" i="3"/>
  <c r="AZ443" i="3" s="1"/>
  <c r="BL445" i="3"/>
  <c r="BL446" i="3"/>
  <c r="BA449" i="3"/>
  <c r="BL455" i="3"/>
  <c r="BA457" i="3"/>
  <c r="BA464" i="3"/>
  <c r="AZ464" i="3" s="1"/>
  <c r="BL469" i="3"/>
  <c r="AZ469" i="3" s="1"/>
  <c r="BL470" i="3"/>
  <c r="BA486" i="3"/>
  <c r="G489" i="3"/>
  <c r="BL273" i="3"/>
  <c r="BA277" i="3"/>
  <c r="AZ277" i="3" s="1"/>
  <c r="BL277" i="3"/>
  <c r="BA279" i="3"/>
  <c r="BL300"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BL271" i="3"/>
  <c r="BA274" i="3"/>
  <c r="AZ274" i="3" s="1"/>
  <c r="BL274" i="3"/>
  <c r="BA276" i="3"/>
  <c r="BL280" i="3"/>
  <c r="BA284" i="3"/>
  <c r="AZ284" i="3" s="1"/>
  <c r="BL286" i="3"/>
  <c r="AZ286" i="3" s="1"/>
  <c r="BA291" i="3"/>
  <c r="AZ291" i="3" s="1"/>
  <c r="BL293" i="3"/>
  <c r="BL294" i="3"/>
  <c r="BA297" i="3"/>
  <c r="AZ297" i="3" s="1"/>
  <c r="BL297" i="3"/>
  <c r="G443" i="3"/>
  <c r="BA446" i="3"/>
  <c r="BA450" i="3"/>
  <c r="BA453" i="3"/>
  <c r="BA455" i="3"/>
  <c r="AZ455" i="3" s="1"/>
  <c r="BL457" i="3"/>
  <c r="BL460" i="3"/>
  <c r="BL461" i="3"/>
  <c r="BL463" i="3"/>
  <c r="G465" i="3"/>
  <c r="BA471" i="3"/>
  <c r="AZ471" i="3" s="1"/>
  <c r="G486" i="3"/>
  <c r="G488" i="3"/>
  <c r="BL317" i="3"/>
  <c r="G318" i="3"/>
  <c r="BA349" i="3"/>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L278" i="3"/>
  <c r="G280" i="3"/>
  <c r="BA282" i="3"/>
  <c r="BL282" i="3"/>
  <c r="BA288" i="3"/>
  <c r="BA290" i="3"/>
  <c r="G302" i="3"/>
  <c r="BL113" i="3"/>
  <c r="BL115" i="3"/>
  <c r="AZ11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70" i="3"/>
  <c r="BL270" i="3"/>
  <c r="AZ270" i="3" s="1"/>
  <c r="AZ301" i="3"/>
  <c r="AZ302" i="3"/>
  <c r="BA117" i="3"/>
  <c r="BA130" i="3"/>
  <c r="AZ130" i="3" s="1"/>
  <c r="BL130" i="3"/>
  <c r="BA137" i="3"/>
  <c r="BL138" i="3"/>
  <c r="BA140" i="3"/>
  <c r="AZ140" i="3" s="1"/>
  <c r="BA142" i="3"/>
  <c r="BL149" i="3"/>
  <c r="AZ149" i="3" s="1"/>
  <c r="BL150" i="3"/>
  <c r="BA152" i="3"/>
  <c r="AZ152" i="3" s="1"/>
  <c r="BA154" i="3"/>
  <c r="AZ154" i="3" s="1"/>
  <c r="BA160" i="3"/>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47" i="3"/>
  <c r="BL48" i="3"/>
  <c r="BA51" i="3"/>
  <c r="G55" i="3"/>
  <c r="BL74" i="3"/>
  <c r="BL79" i="3"/>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BA33" i="3"/>
  <c r="BA36" i="3"/>
  <c r="BL38" i="3"/>
  <c r="BA39" i="3"/>
  <c r="BA41" i="3"/>
  <c r="AZ41" i="3" s="1"/>
  <c r="BA42" i="3"/>
  <c r="BL45" i="3"/>
  <c r="BA48" i="3"/>
  <c r="BA49" i="3"/>
  <c r="AZ49" i="3" s="1"/>
  <c r="BL57" i="3"/>
  <c r="BL67" i="3"/>
  <c r="AZ67" i="3" s="1"/>
  <c r="BA70" i="3"/>
  <c r="AZ70" i="3" s="1"/>
  <c r="D31" i="71"/>
  <c r="C32" i="71"/>
  <c r="C55" i="71"/>
  <c r="D54" i="71"/>
  <c r="G269" i="3"/>
  <c r="BA273" i="3"/>
  <c r="BA278" i="3"/>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G38" i="3"/>
  <c r="BA38" i="3"/>
  <c r="BL40" i="3"/>
  <c r="BL41" i="3"/>
  <c r="G51" i="3"/>
  <c r="BA52" i="3"/>
  <c r="AZ52" i="3" s="1"/>
  <c r="BA53" i="3"/>
  <c r="AZ53" i="3" s="1"/>
  <c r="BA54" i="3"/>
  <c r="BA62" i="3"/>
  <c r="AZ62" i="3" s="1"/>
  <c r="BL65" i="3"/>
  <c r="AZ65" i="3" s="1"/>
  <c r="BL86" i="3"/>
  <c r="N67" i="71"/>
  <c r="B66" i="71"/>
  <c r="F66" i="71"/>
  <c r="Q67" i="71"/>
  <c r="C44" i="71"/>
  <c r="D43" i="71"/>
  <c r="C52" i="71"/>
  <c r="D51" i="71"/>
  <c r="V24" i="71"/>
  <c r="E23" i="71"/>
  <c r="E22" i="71" s="1"/>
  <c r="E21" i="71" s="1"/>
  <c r="E20" i="71" s="1"/>
  <c r="G57" i="3"/>
  <c r="G58" i="3"/>
  <c r="BA59" i="3"/>
  <c r="AZ59" i="3" s="1"/>
  <c r="G61" i="3"/>
  <c r="BL61" i="3"/>
  <c r="AZ61" i="3" s="1"/>
  <c r="G64" i="3"/>
  <c r="BA64" i="3"/>
  <c r="AZ64" i="3" s="1"/>
  <c r="G67" i="3"/>
  <c r="BL68" i="3"/>
  <c r="BA69" i="3"/>
  <c r="AZ69" i="3" s="1"/>
  <c r="G72" i="3"/>
  <c r="BL73" i="3"/>
  <c r="BA74" i="3"/>
  <c r="AZ74" i="3" s="1"/>
  <c r="BA75" i="3"/>
  <c r="G81" i="3"/>
  <c r="G85" i="3"/>
  <c r="BL85" i="3"/>
  <c r="BA86" i="3"/>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G43" i="3"/>
  <c r="G44" i="3"/>
  <c r="BA45" i="3"/>
  <c r="AZ45" i="3" s="1"/>
  <c r="BA46" i="3"/>
  <c r="BL49" i="3"/>
  <c r="BL50" i="3"/>
  <c r="AZ50" i="3" s="1"/>
  <c r="BL51" i="3"/>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C21" i="37"/>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C27" i="67"/>
  <c r="F71" i="67"/>
  <c r="C27" i="15"/>
  <c r="F65" i="15"/>
  <c r="N59" i="67"/>
  <c r="L59" i="67"/>
  <c r="L58" i="67"/>
  <c r="M59" i="67"/>
  <c r="B13" i="70"/>
  <c r="M7" i="67"/>
  <c r="J6" i="67" s="1"/>
  <c r="F50" i="67"/>
  <c r="F68" i="67"/>
  <c r="F64" i="67"/>
  <c r="F68" i="15"/>
  <c r="D9" i="69"/>
  <c r="C36" i="69"/>
  <c r="D5" i="73"/>
  <c r="D7" i="73"/>
  <c r="M24" i="67"/>
  <c r="C16" i="67"/>
  <c r="M22" i="67"/>
  <c r="D4" i="73"/>
  <c r="C16" i="15"/>
  <c r="C36" i="68"/>
  <c r="F38" i="67"/>
  <c r="D3" i="73"/>
  <c r="D9" i="68"/>
  <c r="C30" i="11" l="1"/>
  <c r="C48" i="69"/>
  <c r="N94" i="46"/>
  <c r="J26" i="43"/>
  <c r="G26" i="43"/>
  <c r="N370" i="46"/>
  <c r="F26" i="43"/>
  <c r="D26" i="43" s="1"/>
  <c r="C25" i="43" s="1"/>
  <c r="E26" i="43"/>
  <c r="H16" i="1"/>
  <c r="E29" i="6"/>
  <c r="K15" i="1" s="1"/>
  <c r="K16" i="1" s="1"/>
  <c r="G30" i="6"/>
  <c r="G31" i="6" s="1"/>
  <c r="P6" i="1"/>
  <c r="C13" i="12" s="1"/>
  <c r="Q16" i="1"/>
  <c r="F27" i="69" s="1"/>
  <c r="D17" i="53"/>
  <c r="B36" i="72" s="1"/>
  <c r="F66" i="67"/>
  <c r="C40" i="71"/>
  <c r="D39" i="71"/>
  <c r="T52" i="71"/>
  <c r="D52" i="71"/>
  <c r="AZ457" i="3"/>
  <c r="W12" i="35"/>
  <c r="AC12" i="35"/>
  <c r="AB26" i="33"/>
  <c r="U26" i="33"/>
  <c r="W12" i="34"/>
  <c r="AC12" i="34"/>
  <c r="AC9" i="34"/>
  <c r="W9" i="34"/>
  <c r="C70" i="71"/>
  <c r="D70" i="71" s="1"/>
  <c r="D71" i="71"/>
  <c r="AZ39" i="3"/>
  <c r="AZ353" i="3"/>
  <c r="AZ244" i="3"/>
  <c r="AZ239" i="3"/>
  <c r="AZ397" i="3"/>
  <c r="AZ460" i="3"/>
  <c r="S26" i="33"/>
  <c r="AA26" i="33"/>
  <c r="AA25" i="37"/>
  <c r="S25" i="37"/>
  <c r="T28" i="71"/>
  <c r="D28" i="71"/>
  <c r="U28" i="71" s="1"/>
  <c r="C27" i="71"/>
  <c r="D79" i="71"/>
  <c r="C78" i="71"/>
  <c r="D78" i="71" s="1"/>
  <c r="D44" i="71"/>
  <c r="T44" i="71"/>
  <c r="N65" i="71"/>
  <c r="N66" i="71"/>
  <c r="AZ150" i="3"/>
  <c r="AZ5" i="3" s="1"/>
  <c r="AZ294" i="3"/>
  <c r="AZ278" i="3"/>
  <c r="C56" i="71"/>
  <c r="D55" i="71"/>
  <c r="AZ38" i="3"/>
  <c r="AZ182" i="3"/>
  <c r="AZ137" i="3"/>
  <c r="AZ282" i="3"/>
  <c r="AZ453" i="3"/>
  <c r="AZ271" i="3"/>
  <c r="AZ432" i="3"/>
  <c r="W44" i="39"/>
  <c r="AC44" i="39"/>
  <c r="AZ404" i="3"/>
  <c r="U25" i="37"/>
  <c r="AB25" i="37"/>
  <c r="AA27" i="21"/>
  <c r="S27" i="21"/>
  <c r="G5" i="3"/>
  <c r="B3" i="3" s="1"/>
  <c r="E575" i="3" s="1"/>
  <c r="D83" i="71"/>
  <c r="C82" i="71"/>
  <c r="D82" i="71" s="1"/>
  <c r="O65" i="71"/>
  <c r="D66" i="71"/>
  <c r="O66" i="71"/>
  <c r="AZ86" i="3"/>
  <c r="AZ75" i="3"/>
  <c r="AZ273" i="3"/>
  <c r="T32" i="71"/>
  <c r="D32" i="71"/>
  <c r="AZ51" i="3"/>
  <c r="AZ422" i="3"/>
  <c r="U12" i="34"/>
  <c r="AB12" i="34"/>
  <c r="AB36" i="35"/>
  <c r="U36" i="35"/>
  <c r="W27" i="21"/>
  <c r="AC27" i="21"/>
  <c r="G16" i="1"/>
  <c r="F10" i="39" s="1"/>
  <c r="AA10" i="39" s="1"/>
  <c r="J7" i="37"/>
  <c r="K1" i="73"/>
  <c r="E255" i="3"/>
  <c r="E241" i="3"/>
  <c r="E249" i="3"/>
  <c r="E63" i="3"/>
  <c r="E96" i="3"/>
  <c r="E22" i="3"/>
  <c r="E13" i="3"/>
  <c r="E225" i="3"/>
  <c r="E158" i="3"/>
  <c r="E105" i="3"/>
  <c r="J6" i="3"/>
  <c r="E178" i="3"/>
  <c r="E15" i="3"/>
  <c r="E299" i="3"/>
  <c r="E340" i="3"/>
  <c r="E176" i="3"/>
  <c r="E460" i="3"/>
  <c r="E521" i="3"/>
  <c r="E500" i="3"/>
  <c r="E138" i="3"/>
  <c r="E297" i="3"/>
  <c r="E341" i="3"/>
  <c r="AD6" i="3"/>
  <c r="E154" i="3"/>
  <c r="E136" i="3"/>
  <c r="E313" i="3"/>
  <c r="E168" i="3"/>
  <c r="E93" i="3"/>
  <c r="E547" i="3"/>
  <c r="E126" i="3"/>
  <c r="E328" i="3"/>
  <c r="E97" i="3"/>
  <c r="E304" i="3"/>
  <c r="E302" i="3"/>
  <c r="E402" i="3"/>
  <c r="E280" i="3"/>
  <c r="E128" i="3"/>
  <c r="E177" i="3"/>
  <c r="E424" i="3"/>
  <c r="E429" i="3"/>
  <c r="E256" i="3"/>
  <c r="E394" i="3"/>
  <c r="I6" i="3"/>
  <c r="E236" i="3"/>
  <c r="E576" i="3"/>
  <c r="AG6" i="3"/>
  <c r="E443" i="3"/>
  <c r="E558" i="3"/>
  <c r="E404" i="3"/>
  <c r="E88" i="3"/>
  <c r="E295" i="3"/>
  <c r="E316" i="3"/>
  <c r="E480" i="3"/>
  <c r="E125" i="3"/>
  <c r="E282" i="3"/>
  <c r="N6" i="3"/>
  <c r="E569" i="3"/>
  <c r="E396" i="3"/>
  <c r="E358" i="3"/>
  <c r="E559" i="3"/>
  <c r="E407" i="3"/>
  <c r="E320" i="3"/>
  <c r="E130" i="3"/>
  <c r="E114"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41" i="67"/>
  <c r="AE6" i="1"/>
  <c r="F27" i="68"/>
  <c r="J10" i="40" l="1"/>
  <c r="AC10" i="40" s="1"/>
  <c r="S10" i="39"/>
  <c r="H10" i="40"/>
  <c r="AB10" i="40" s="1"/>
  <c r="H10" i="39"/>
  <c r="U10" i="39" s="1"/>
  <c r="J10" i="39"/>
  <c r="W10" i="39" s="1"/>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03" i="3"/>
  <c r="E481" i="3"/>
  <c r="E434" i="3"/>
  <c r="E303" i="3"/>
  <c r="E298" i="3"/>
  <c r="E501" i="3"/>
  <c r="E548" i="3"/>
  <c r="E471" i="3"/>
  <c r="E82" i="3"/>
  <c r="E66" i="3"/>
  <c r="E464" i="3"/>
  <c r="E312" i="3"/>
  <c r="E552" i="3"/>
  <c r="E123" i="3"/>
  <c r="E473" i="3"/>
  <c r="E440" i="3"/>
  <c r="E232" i="3"/>
  <c r="E497" i="3"/>
  <c r="E18" i="3"/>
  <c r="E267" i="3"/>
  <c r="E449" i="3"/>
  <c r="F10" i="40"/>
  <c r="S10" i="40" s="1"/>
  <c r="E415" i="3"/>
  <c r="E294" i="3"/>
  <c r="E551" i="3"/>
  <c r="E229" i="3"/>
  <c r="E239" i="3"/>
  <c r="E366" i="3"/>
  <c r="E334" i="3"/>
  <c r="E121" i="3"/>
  <c r="E581" i="3"/>
  <c r="E448" i="3"/>
  <c r="E252" i="3"/>
  <c r="E580" i="3"/>
  <c r="E496" i="3"/>
  <c r="E330" i="3"/>
  <c r="AA6" i="3"/>
  <c r="E221" i="3"/>
  <c r="E523" i="3"/>
  <c r="E317" i="3"/>
  <c r="E207" i="3"/>
  <c r="E474" i="3"/>
  <c r="E187" i="3"/>
  <c r="E374" i="3"/>
  <c r="E48" i="3"/>
  <c r="E24" i="3"/>
  <c r="E365" i="3"/>
  <c r="E392" i="3"/>
  <c r="E276" i="3"/>
  <c r="E393" i="3"/>
  <c r="E412" i="3"/>
  <c r="E205" i="3"/>
  <c r="E81" i="3"/>
  <c r="E292" i="3"/>
  <c r="E73" i="3"/>
  <c r="AE6" i="3"/>
  <c r="E437" i="3"/>
  <c r="E120" i="3"/>
  <c r="E238" i="3"/>
  <c r="E353" i="3"/>
  <c r="E159" i="3"/>
  <c r="E213" i="3"/>
  <c r="E321" i="3"/>
  <c r="E285" i="3"/>
  <c r="E319" i="3"/>
  <c r="E92" i="3"/>
  <c r="E411" i="3"/>
  <c r="E14" i="3"/>
  <c r="E537" i="3"/>
  <c r="E224" i="3"/>
  <c r="E127" i="3"/>
  <c r="E87" i="3"/>
  <c r="E163" i="3"/>
  <c r="E584" i="3"/>
  <c r="E149" i="3"/>
  <c r="E446" i="3"/>
  <c r="E244" i="3"/>
  <c r="E58" i="3"/>
  <c r="E141" i="3"/>
  <c r="E62" i="3"/>
  <c r="E112" i="3"/>
  <c r="E234" i="3"/>
  <c r="E60" i="3"/>
  <c r="E463" i="3"/>
  <c r="E422" i="3"/>
  <c r="E188" i="3"/>
  <c r="E324" i="3"/>
  <c r="E115" i="3"/>
  <c r="E456" i="3"/>
  <c r="E206" i="3"/>
  <c r="E281" i="3"/>
  <c r="E33" i="3"/>
  <c r="E484" i="3"/>
  <c r="E479" i="3"/>
  <c r="E499" i="3"/>
  <c r="E274" i="3"/>
  <c r="E55" i="3"/>
  <c r="E344" i="3"/>
  <c r="Q6" i="3"/>
  <c r="E262" i="3"/>
  <c r="E156" i="3"/>
  <c r="AN6" i="3"/>
  <c r="E254" i="3"/>
  <c r="E565" i="3"/>
  <c r="E506" i="3"/>
  <c r="O6" i="3"/>
  <c r="AM6" i="3"/>
  <c r="E403" i="3"/>
  <c r="E145" i="3"/>
  <c r="E208" i="3"/>
  <c r="E438" i="3"/>
  <c r="E352" i="3"/>
  <c r="E504" i="3"/>
  <c r="E459" i="3"/>
  <c r="E39" i="3"/>
  <c r="E375" i="3"/>
  <c r="E284" i="3"/>
  <c r="E520" i="3"/>
  <c r="E250" i="3"/>
  <c r="E90" i="3"/>
  <c r="E524" i="3"/>
  <c r="E364" i="3"/>
  <c r="AQ6" i="3"/>
  <c r="E170" i="3"/>
  <c r="E346" i="3"/>
  <c r="E401" i="3"/>
  <c r="E427" i="3"/>
  <c r="E326" i="3"/>
  <c r="E220" i="3"/>
  <c r="E26" i="3"/>
  <c r="E405" i="3"/>
  <c r="E34" i="3"/>
  <c r="E198" i="3"/>
  <c r="E67" i="3"/>
  <c r="E409" i="3"/>
  <c r="E417" i="3"/>
  <c r="AY6" i="3"/>
  <c r="AY87" i="3" s="1"/>
  <c r="E3" i="6"/>
  <c r="D14" i="12" s="1"/>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R36" i="36"/>
  <c r="E451" i="3"/>
  <c r="E525" i="3"/>
  <c r="E113" i="3"/>
  <c r="E383" i="3"/>
  <c r="E42" i="3"/>
  <c r="E513" i="3"/>
  <c r="E355" i="3"/>
  <c r="E492" i="3"/>
  <c r="E46" i="3"/>
  <c r="E544" i="3"/>
  <c r="E152" i="3"/>
  <c r="E517" i="3"/>
  <c r="E466" i="3"/>
  <c r="E212" i="3"/>
  <c r="T42" i="37"/>
  <c r="G42" i="37" s="1"/>
  <c r="E38" i="3"/>
  <c r="L6" i="3"/>
  <c r="E108" i="3"/>
  <c r="AH6" i="3"/>
  <c r="E543" i="3"/>
  <c r="E16" i="3"/>
  <c r="E49" i="3"/>
  <c r="E428" i="3"/>
  <c r="E420" i="3"/>
  <c r="E408" i="3"/>
  <c r="E173" i="3"/>
  <c r="E102" i="3"/>
  <c r="E235" i="3"/>
  <c r="AL6" i="3"/>
  <c r="E309" i="3"/>
  <c r="E233" i="3"/>
  <c r="E310" i="3"/>
  <c r="E64" i="3"/>
  <c r="E389" i="3"/>
  <c r="E95" i="3"/>
  <c r="E554" i="3"/>
  <c r="E442" i="3"/>
  <c r="E536" i="3"/>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19" i="11"/>
  <c r="C19" i="11" s="1"/>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67"/>
  <c r="M27" i="15"/>
  <c r="F41" i="15"/>
  <c r="AC6" i="3" l="1"/>
  <c r="D37" i="11"/>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B10" i="39"/>
  <c r="D3" i="37"/>
  <c r="D3" i="33"/>
  <c r="D3" i="34"/>
  <c r="E6" i="6"/>
  <c r="D3" i="21"/>
  <c r="C17" i="4"/>
  <c r="B4" i="52" s="1"/>
  <c r="B43" i="72" s="1"/>
  <c r="AA10" i="40"/>
  <c r="H6" i="3"/>
  <c r="E6" i="3"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C17" i="15"/>
  <c r="C17" i="67"/>
  <c r="D10" i="68"/>
  <c r="C14" i="67"/>
  <c r="D30" i="6" l="1"/>
  <c r="H21" i="6"/>
  <c r="C44" i="68"/>
  <c r="D41" i="68" s="1"/>
  <c r="H25" i="6"/>
  <c r="C26" i="11"/>
  <c r="D22" i="11" s="1"/>
  <c r="C44" i="11"/>
  <c r="D41" i="11" s="1"/>
  <c r="C26" i="68"/>
  <c r="D22" i="68" s="1"/>
  <c r="C25" i="11"/>
  <c r="C24" i="11"/>
  <c r="C44" i="69"/>
  <c r="D41" i="69" s="1"/>
  <c r="C26" i="69"/>
  <c r="D22" i="69" s="1"/>
  <c r="C16" i="71"/>
  <c r="D17" i="7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34" i="68"/>
  <c r="C14" i="15"/>
  <c r="B3" i="43" l="1"/>
  <c r="C7" i="68"/>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10"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B3" i="68"/>
  <c r="C102" i="9" l="1"/>
  <c r="D22" i="9"/>
  <c r="G19" i="9"/>
  <c r="G21" i="9" s="1"/>
  <c r="C21" i="9"/>
  <c r="C57" i="68"/>
  <c r="C56" i="68" s="1"/>
  <c r="C20" i="9"/>
  <c r="G20" i="9" l="1"/>
  <c r="C32" i="9" s="1"/>
  <c r="D35" i="9" s="1"/>
  <c r="C103" i="9"/>
  <c r="C35" i="9"/>
  <c r="G118" i="9"/>
  <c r="G4" i="52" s="1"/>
  <c r="B52" i="72" s="1"/>
  <c r="I118" i="9"/>
  <c r="I4" i="52" s="1"/>
  <c r="C34" i="9" l="1"/>
  <c r="H118" i="9"/>
  <c r="C104" i="9" s="1"/>
  <c r="E118" i="9"/>
  <c r="E4" i="52" s="1"/>
  <c r="B48" i="72" s="1"/>
  <c r="C105" i="9"/>
  <c r="F118" i="9"/>
  <c r="H102" i="9"/>
  <c r="D34" i="9"/>
  <c r="H4" i="52" l="1"/>
  <c r="D14" i="74"/>
  <c r="G14" i="74" s="1"/>
  <c r="B6" i="74" s="1"/>
  <c r="D6" i="74" s="1"/>
  <c r="H119" i="9"/>
  <c r="H5" i="52" s="1"/>
  <c r="H101" i="9"/>
  <c r="M48" i="9" s="1"/>
  <c r="D118" i="9"/>
  <c r="D4" i="52" s="1"/>
  <c r="B47" i="72" s="1"/>
  <c r="F4" i="52"/>
  <c r="B51" i="72" s="1"/>
  <c r="F119" i="9"/>
  <c r="F5" i="52" s="1"/>
  <c r="B53" i="72" s="1"/>
  <c r="D7" i="53"/>
  <c r="B21" i="72" s="1"/>
  <c r="D5" i="53" l="1"/>
  <c r="B20" i="72" s="1"/>
  <c r="H107" i="9"/>
  <c r="D122" i="9" s="1"/>
  <c r="E14" i="74"/>
  <c r="B5" i="74"/>
  <c r="F14" i="74"/>
  <c r="D45" i="9"/>
  <c r="C93" i="9" s="1"/>
  <c r="C86" i="9" s="1"/>
  <c r="D119" i="9"/>
  <c r="D5" i="52" s="1"/>
  <c r="B49" i="72" s="1"/>
  <c r="H108" i="9"/>
  <c r="D6" i="53" l="1"/>
  <c r="B22" i="72" s="1"/>
  <c r="C78" i="9"/>
  <c r="C73" i="9" s="1"/>
  <c r="M49" i="9"/>
  <c r="L63" i="9" s="1"/>
  <c r="M63" i="9" s="1"/>
  <c r="D13" i="53"/>
  <c r="D14" i="53" s="1"/>
  <c r="B32" i="72" s="1"/>
  <c r="D52" i="9"/>
  <c r="C72" i="9"/>
  <c r="D53" i="9"/>
  <c r="D5" i="74"/>
  <c r="C5" i="74"/>
  <c r="C85" i="9"/>
  <c r="C64" i="9"/>
  <c r="C63" i="9" s="1"/>
  <c r="C67" i="9" s="1"/>
  <c r="C68" i="9" s="1"/>
  <c r="D54" i="9" s="1"/>
  <c r="D55" i="9"/>
  <c r="M53" i="9" s="1"/>
  <c r="L66" i="9"/>
  <c r="M66" i="9" s="1"/>
  <c r="L67" i="9"/>
  <c r="M67" i="9" s="1"/>
  <c r="B30" i="72"/>
  <c r="C79" i="9"/>
  <c r="D123" i="9"/>
  <c r="D9" i="52" s="1"/>
  <c r="D8" i="52"/>
  <c r="C95" i="9"/>
  <c r="D15" i="53"/>
  <c r="B31" i="72" s="1"/>
  <c r="C6" i="74"/>
  <c r="L65" i="9" l="1"/>
  <c r="M65" i="9" s="1"/>
  <c r="L64" i="9"/>
  <c r="M64" i="9" s="1"/>
  <c r="M69" i="9" s="1"/>
  <c r="N69" i="9" s="1"/>
  <c r="L68" i="9"/>
  <c r="M68" i="9" s="1"/>
  <c r="D59" i="9"/>
  <c r="M55" i="9" s="1"/>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<sst xmlns="http://schemas.openxmlformats.org/spreadsheetml/2006/main" count="7913" uniqueCount="3461">
  <si>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</si>
  <si>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</si>
  <si>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</si>
  <si>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</si>
  <si>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</si>
  <si>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</si>
  <si>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</si>
  <si>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</si>
  <si>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</si>
  <si>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</si>
  <si>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</si>
  <si>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</si>
  <si>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</si>
  <si>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</si>
  <si>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</si>
  <si>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</si>
  <si>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</si>
  <si>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</si>
  <si>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</si>
  <si>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</si>
  <si>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</si>
  <si>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</si>
  <si>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</si>
  <si>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</si>
  <si>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</si>
  <si>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</si>
  <si>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</si>
  <si>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</si>
  <si>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</si>
  <si>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</si>
  <si>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</si>
  <si>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</si>
  <si>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</si>
  <si>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</si>
  <si>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</si>
  <si>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</si>
  <si>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</si>
  <si>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</si>
  <si>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</si>
  <si>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</si>
  <si>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</si>
  <si>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</si>
  <si>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</si>
  <si>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</si>
  <si>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</si>
  <si>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</si>
  <si>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</si>
  <si>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</si>
  <si>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</si>
  <si>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</si>
  <si>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</si>
  <si>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</si>
  <si>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</si>
  <si>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</si>
  <si>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</si>
  <si>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</si>
  <si>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</si>
  <si>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</si>
  <si>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</si>
  <si>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</si>
  <si>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</si>
  <si>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</si>
  <si>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</si>
  <si>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</si>
  <si>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</si>
  <si>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</si>
  <si>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</si>
  <si>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</si>
  <si>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</si>
  <si>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</si>
  <si>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</si>
  <si>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</si>
  <si>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</si>
  <si>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</si>
  <si>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</si>
  <si>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</si>
  <si>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</si>
  <si>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</si>
  <si>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</si>
  <si>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</si>
  <si>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</si>
  <si>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</si>
  <si>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</si>
  <si>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</si>
  <si>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</si>
  <si>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</si>
  <si>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</si>
  <si>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</si>
  <si>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</si>
  <si>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</si>
  <si>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</si>
  <si>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</si>
  <si>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</si>
  <si>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</si>
  <si>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</si>
  <si>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</si>
  <si>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</si>
  <si>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</si>
  <si>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</si>
  <si>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</si>
  <si>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</si>
  <si>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</si>
  <si>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</si>
  <si>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</si>
  <si>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</si>
  <si>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</si>
  <si>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</si>
  <si>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</si>
  <si>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</si>
  <si>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</si>
  <si>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</si>
  <si>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</si>
  <si>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</si>
  <si>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</si>
  <si>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</si>
  <si>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</si>
  <si>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</si>
  <si>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</si>
  <si>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</si>
  <si>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</si>
  <si>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</si>
  <si>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</si>
  <si>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</si>
  <si>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</si>
  <si>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</si>
  <si>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</si>
  <si>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</si>
  <si>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</si>
  <si>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</si>
  <si>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</si>
  <si>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</si>
  <si>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</si>
  <si>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</si>
  <si>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</si>
  <si>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</si>
  <si>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</si>
  <si>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</si>
  <si>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</si>
  <si>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</si>
  <si>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</si>
  <si>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</si>
  <si>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</si>
  <si>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</si>
  <si>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</si>
  <si>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</si>
  <si>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</si>
  <si>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</si>
  <si>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</si>
  <si>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</si>
  <si>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</si>
  <si>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</si>
  <si>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</si>
  <si>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</si>
  <si>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</si>
  <si>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</si>
  <si>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</si>
  <si>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</si>
  <si>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</si>
  <si>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</si>
  <si>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</si>
  <si>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</si>
  <si>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</si>
  <si>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</si>
  <si>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</si>
  <si>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</si>
  <si>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</si>
  <si>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</si>
  <si>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</si>
  <si>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</si>
  <si>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</si>
  <si>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</si>
  <si>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</si>
  <si>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</si>
  <si>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</si>
  <si>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</si>
  <si>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</si>
  <si>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</si>
  <si>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</si>
  <si>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</si>
  <si>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</si>
  <si>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</si>
  <si>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</si>
  <si>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</si>
  <si>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</si>
  <si>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</si>
  <si>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</si>
  <si>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</si>
  <si>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</si>
  <si>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</si>
  <si>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</si>
  <si>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</si>
  <si>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</si>
  <si>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</si>
  <si>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</si>
  <si>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</si>
  <si>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</si>
  <si>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</si>
  <si>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</si>
  <si>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</si>
  <si>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</si>
  <si>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</si>
  <si>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</si>
  <si>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</si>
  <si>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</si>
  <si>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</si>
  <si>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</si>
  <si>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</si>
  <si>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</si>
  <si>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</si>
  <si>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</si>
  <si>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</si>
  <si>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</si>
  <si>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</si>
  <si>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</si>
  <si>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</si>
  <si>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</si>
  <si>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</si>
  <si>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</si>
  <si>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</si>
  <si>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</si>
  <si>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</si>
  <si>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</si>
  <si>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</si>
  <si>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</si>
  <si>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</si>
  <si>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</si>
  <si>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</si>
  <si>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</si>
  <si>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</si>
  <si>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</si>
  <si>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</si>
  <si>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</si>
  <si>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</si>
  <si>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</si>
  <si>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</si>
  <si>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</si>
  <si>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</si>
  <si>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</si>
  <si>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</si>
  <si>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</si>
  <si>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</si>
  <si>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</si>
  <si>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</si>
  <si>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</si>
  <si>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</si>
  <si>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</si>
  <si>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</si>
  <si>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</si>
  <si>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</si>
  <si>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</si>
  <si>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</si>
  <si>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</si>
  <si>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</si>
  <si>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</si>
  <si>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</si>
  <si>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</si>
  <si>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</si>
  <si>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</si>
  <si>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</si>
  <si>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</si>
  <si>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</si>
  <si>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</si>
  <si>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</si>
  <si>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</si>
  <si>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</si>
  <si>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</si>
  <si>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</si>
  <si>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</si>
  <si>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</si>
  <si>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</si>
  <si>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</si>
  <si>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</si>
  <si>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</si>
  <si>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</si>
  <si>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</si>
  <si>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</si>
  <si>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</si>
  <si>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</si>
  <si>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</si>
  <si>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</si>
  <si>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</si>
  <si>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</si>
  <si>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</si>
  <si>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</si>
  <si>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</si>
  <si>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</si>
  <si>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</si>
  <si>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</si>
  <si>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</si>
  <si>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</si>
  <si>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</si>
  <si>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</si>
  <si>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</si>
  <si>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</si>
  <si>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</si>
  <si>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</si>
  <si>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</si>
  <si>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</si>
  <si>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</si>
  <si>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</si>
  <si>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</si>
  <si>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</si>
  <si>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</si>
  <si>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</si>
  <si>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</si>
  <si>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</si>
  <si>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</si>
  <si>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</si>
  <si>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</si>
  <si>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</si>
  <si>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</si>
  <si>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</si>
  <si>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</si>
  <si>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</si>
  <si>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</si>
  <si>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</si>
  <si>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</si>
  <si>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</si>
  <si>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</si>
  <si>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</si>
  <si>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</si>
  <si>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</si>
  <si>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</si>
  <si>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</si>
  <si>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</si>
  <si>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</si>
  <si>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</si>
  <si>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</si>
  <si>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</si>
  <si>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</si>
  <si>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</si>
  <si>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</si>
  <si>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</si>
  <si>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</si>
  <si>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</si>
  <si>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</si>
  <si>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</si>
  <si>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</si>
  <si>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</si>
  <si>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</si>
  <si>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</si>
  <si>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</si>
  <si>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</si>
  <si>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</si>
  <si>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</si>
  <si>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</si>
  <si>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</si>
  <si>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</si>
  <si>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</si>
  <si>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</si>
  <si>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</si>
  <si>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</si>
  <si>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</si>
  <si>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</si>
  <si>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</si>
  <si>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</si>
  <si>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</si>
  <si>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</si>
  <si>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</si>
  <si>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</si>
  <si>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</si>
  <si>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</si>
  <si>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</si>
  <si>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</si>
  <si>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</si>
  <si>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</si>
  <si>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</si>
  <si>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</si>
  <si>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</si>
  <si>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</si>
  <si>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</si>
  <si>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</si>
  <si>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</si>
  <si>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</si>
  <si>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</si>
  <si>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</si>
  <si>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</si>
  <si>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</si>
  <si>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</si>
  <si>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</si>
  <si>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</si>
  <si>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</si>
  <si>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</si>
  <si>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</si>
  <si>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</si>
  <si>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</si>
  <si>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</si>
  <si>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</si>
  <si>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</si>
  <si>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</si>
  <si>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</si>
  <si>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</si>
  <si>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</si>
  <si>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</si>
  <si>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</si>
  <si>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</si>
  <si>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</si>
  <si>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</si>
  <si>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</si>
  <si>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</si>
  <si>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</si>
  <si>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</si>
  <si>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</si>
  <si>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</si>
  <si>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</si>
  <si>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</si>
  <si>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</si>
  <si>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</si>
  <si>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</si>
  <si>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</si>
  <si>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</si>
  <si>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</si>
  <si>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</si>
  <si>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</si>
  <si>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</si>
  <si>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</si>
  <si>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</si>
  <si>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</si>
  <si>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</si>
  <si>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</si>
  <si>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</si>
  <si>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</si>
  <si>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</si>
  <si>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</si>
  <si>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</si>
  <si>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</si>
  <si>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</si>
  <si>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</si>
  <si>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</si>
  <si>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</si>
  <si>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</si>
  <si>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</si>
  <si>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</si>
  <si>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</si>
  <si>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</si>
  <si>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</si>
  <si>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</si>
  <si>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</si>
  <si>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</si>
  <si>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</si>
  <si>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</si>
  <si>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</si>
  <si>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</si>
  <si>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</si>
  <si>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</si>
  <si>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</si>
  <si>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</si>
  <si>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</si>
  <si>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</si>
  <si>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</si>
  <si>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</si>
  <si>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</si>
  <si>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</si>
  <si>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</si>
  <si>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</si>
  <si>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</si>
  <si>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</si>
  <si>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</si>
  <si>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</si>
  <si>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</si>
  <si>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</si>
  <si>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</si>
  <si>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</si>
  <si>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</si>
  <si>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</si>
  <si>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</si>
  <si>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</si>
  <si>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</si>
  <si>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</si>
  <si>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</si>
  <si>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</si>
  <si>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</si>
  <si>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</si>
  <si>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</si>
  <si>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</si>
  <si>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</si>
  <si>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</si>
  <si>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</si>
  <si>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</si>
  <si>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</si>
  <si>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</si>
  <si>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</si>
  <si>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</si>
  <si>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</si>
  <si>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</si>
  <si>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</si>
  <si>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</si>
  <si>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</si>
  <si>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</si>
  <si>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</si>
  <si>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</si>
  <si>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</si>
  <si>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</si>
  <si>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</si>
  <si>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</si>
  <si>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</si>
  <si>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</si>
  <si>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</si>
  <si>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</si>
  <si>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</si>
  <si>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</si>
  <si>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</si>
  <si>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</si>
  <si>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</si>
  <si>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</si>
  <si>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</si>
  <si>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</si>
  <si>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</si>
  <si>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</si>
  <si>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</si>
  <si>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</si>
  <si>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</si>
  <si>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</si>
  <si>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</si>
  <si>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</si>
  <si>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</si>
  <si>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</si>
  <si>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</si>
  <si>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</si>
  <si>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</si>
  <si>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</si>
  <si>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</si>
  <si>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</si>
  <si>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</si>
  <si>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</si>
  <si>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</si>
  <si>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</si>
  <si>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</si>
  <si>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</si>
  <si>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</si>
  <si>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</si>
  <si>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</si>
  <si>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</si>
  <si>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</si>
  <si>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</si>
  <si>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</si>
  <si>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</si>
  <si>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</si>
  <si>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</si>
  <si>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</si>
  <si>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</si>
  <si>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</si>
  <si>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</si>
  <si>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</si>
  <si>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</si>
  <si>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</si>
  <si>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</si>
  <si>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</si>
  <si>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</si>
  <si>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</si>
  <si>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</si>
  <si>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</si>
  <si>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</si>
  <si>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</si>
  <si>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</si>
  <si>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</si>
  <si>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</si>
  <si>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</si>
  <si>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</si>
  <si>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</si>
  <si>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</si>
  <si>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</si>
  <si>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</si>
  <si>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</si>
  <si>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</si>
  <si>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</si>
  <si>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</si>
  <si>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</si>
  <si>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</si>
  <si>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</si>
  <si>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</si>
  <si>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</si>
  <si>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</si>
  <si>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</si>
  <si>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</si>
  <si>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</si>
  <si>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</si>
  <si>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</si>
  <si>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</si>
  <si>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</si>
  <si>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</si>
  <si>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</si>
  <si>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</si>
  <si>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</si>
  <si>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</si>
  <si>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</si>
  <si>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</si>
  <si>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</si>
  <si>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</si>
  <si>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</si>
  <si>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</si>
  <si>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</si>
  <si>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</si>
  <si>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</si>
  <si>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</si>
  <si>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</si>
  <si>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</si>
  <si>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</si>
  <si>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</si>
  <si>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</si>
  <si>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</si>
  <si>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</si>
  <si>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</si>
  <si>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</si>
  <si>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</si>
  <si>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</si>
  <si>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</si>
  <si>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</si>
  <si>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</si>
  <si>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</si>
  <si>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</si>
  <si>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</si>
  <si>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</si>
  <si>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</si>
  <si>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</si>
  <si>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</si>
  <si>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</si>
  <si>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</si>
  <si>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</si>
  <si>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</si>
  <si>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</si>
  <si>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</si>
  <si>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</si>
  <si>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</si>
  <si>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</si>
  <si>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</si>
  <si>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</si>
  <si>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</si>
  <si>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</si>
  <si>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</si>
  <si>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</si>
  <si>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</si>
  <si>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</si>
  <si>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</si>
  <si>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</si>
  <si>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</si>
  <si>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</si>
  <si>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</si>
  <si>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</si>
  <si>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</si>
  <si>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</si>
  <si>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</si>
  <si>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</si>
  <si>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</si>
  <si>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</si>
  <si>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</si>
  <si>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</si>
  <si>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</si>
  <si>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</si>
  <si>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</si>
  <si>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</si>
  <si>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</si>
  <si>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</si>
  <si>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</si>
  <si>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</si>
  <si>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</si>
  <si>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</si>
  <si>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</si>
  <si>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</si>
  <si>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</si>
  <si>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</si>
  <si>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</si>
  <si>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</si>
  <si>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</si>
  <si>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</si>
  <si>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</si>
  <si>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</si>
  <si>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</si>
  <si>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</si>
  <si>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</si>
  <si>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</si>
  <si>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</si>
  <si>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</si>
  <si>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</si>
  <si>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</si>
  <si>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</si>
  <si>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</si>
  <si>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</si>
  <si>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</si>
  <si>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</si>
  <si>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</si>
  <si>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</si>
  <si>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</si>
  <si>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</si>
  <si>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</si>
  <si>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</si>
  <si>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</si>
  <si>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</si>
  <si>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</si>
  <si>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</si>
  <si>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</si>
  <si>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</si>
  <si>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</si>
  <si>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</si>
  <si>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</si>
  <si>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</si>
  <si>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</si>
  <si>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</si>
  <si>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</si>
  <si>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</si>
  <si>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</si>
  <si>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</si>
  <si>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</si>
  <si>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</si>
  <si>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</si>
  <si>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</si>
  <si>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</si>
  <si>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</si>
  <si>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</si>
  <si>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</si>
  <si>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</si>
  <si>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</si>
  <si>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</si>
  <si>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</si>
  <si>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</si>
  <si>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</si>
  <si>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</si>
  <si>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</si>
  <si>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</si>
  <si>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</si>
  <si>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</si>
  <si>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</si>
  <si>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</si>
  <si>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</si>
  <si>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</si>
  <si>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</si>
  <si>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</si>
  <si>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</si>
  <si>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</si>
  <si>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</si>
  <si>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</si>
  <si>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</si>
  <si>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</si>
  <si>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</si>
  <si>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</si>
  <si>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</si>
  <si>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</si>
  <si>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</si>
  <si>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</si>
  <si>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</si>
  <si>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</si>
  <si>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</si>
  <si>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</si>
  <si>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</si>
  <si>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</si>
  <si>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</si>
  <si>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</si>
  <si>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</si>
  <si>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</si>
  <si>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</si>
  <si>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</si>
  <si>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</si>
  <si>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</si>
  <si>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</si>
  <si>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</si>
  <si>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</si>
  <si>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</si>
  <si>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</si>
  <si>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</si>
  <si>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</si>
  <si>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</si>
  <si>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</si>
  <si>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</si>
  <si>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</si>
  <si>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</si>
  <si>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</si>
  <si>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</si>
  <si>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</si>
  <si>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</si>
  <si>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</si>
  <si>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</si>
  <si>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</si>
  <si>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</si>
  <si>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</si>
  <si>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</si>
  <si>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</si>
  <si>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</si>
  <si>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</si>
  <si>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</si>
  <si>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</si>
  <si>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</si>
  <si>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</si>
  <si>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</si>
  <si>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</si>
  <si>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</si>
  <si>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</si>
  <si>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</si>
  <si>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</si>
  <si>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</si>
  <si>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</si>
  <si>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</si>
  <si>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</si>
  <si>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</si>
  <si>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</si>
  <si>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</si>
  <si>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</si>
  <si>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</si>
  <si>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</si>
  <si>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</si>
  <si>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</si>
  <si>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</si>
  <si>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</si>
  <si>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</si>
  <si>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</si>
  <si>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</si>
  <si>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</si>
  <si>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</si>
  <si>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</si>
  <si>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</si>
  <si>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</si>
  <si>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</si>
  <si>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</si>
  <si>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</si>
  <si>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</si>
  <si>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</si>
  <si>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</si>
  <si>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</si>
  <si>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</si>
  <si>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</si>
  <si>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</si>
  <si>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</si>
  <si>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</si>
  <si>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</si>
  <si>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</si>
  <si>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</si>
  <si>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</si>
  <si>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</si>
  <si>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</si>
  <si>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</si>
  <si>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</si>
  <si>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</si>
  <si>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</si>
  <si>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</si>
  <si>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</si>
  <si>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</si>
  <si>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</si>
  <si>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</si>
  <si>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</si>
  <si>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</si>
  <si>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</si>
  <si>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</si>
  <si>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</si>
  <si>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</si>
  <si>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</si>
  <si>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</si>
  <si>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</si>
  <si>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</si>
  <si>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</si>
  <si>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</si>
  <si>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</si>
  <si>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</si>
  <si>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</si>
  <si>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</si>
  <si>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</si>
  <si>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</si>
  <si>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</si>
  <si>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</si>
  <si>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</si>
  <si>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</si>
  <si>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</si>
  <si>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</si>
  <si>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</si>
  <si>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</si>
  <si>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</si>
  <si>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</si>
  <si>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</si>
  <si>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</si>
  <si>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</si>
  <si>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</si>
  <si>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</si>
  <si>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</si>
  <si>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</si>
  <si>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</si>
  <si>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</si>
  <si>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</si>
  <si>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</si>
  <si>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</si>
  <si>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</si>
  <si>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</si>
  <si>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</si>
  <si>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</si>
  <si>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</si>
  <si>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</si>
  <si>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</si>
  <si>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</si>
  <si>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</si>
  <si>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</si>
  <si>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</si>
  <si>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</si>
  <si>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</si>
  <si>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</si>
  <si>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</si>
  <si>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</si>
  <si>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</si>
  <si>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</si>
  <si>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</si>
  <si>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</si>
  <si>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</si>
  <si>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</si>
  <si>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</si>
  <si>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</si>
  <si>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</si>
  <si>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</si>
  <si>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</si>
  <si>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</si>
  <si>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</si>
  <si>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</si>
  <si>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</si>
  <si>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</si>
  <si>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</si>
  <si>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</si>
  <si>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</si>
  <si>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</si>
  <si>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</si>
  <si>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</si>
  <si>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</si>
  <si>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</si>
  <si>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</si>
  <si>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</si>
  <si>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</si>
  <si>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</si>
  <si>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</si>
  <si>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</si>
  <si>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</si>
  <si>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</si>
  <si>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</si>
  <si>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</si>
  <si>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</si>
  <si>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</si>
  <si>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</si>
  <si>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</si>
  <si>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</si>
  <si>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</si>
  <si>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</si>
  <si>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</si>
  <si>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</si>
  <si>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</si>
  <si>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</si>
  <si>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</si>
  <si>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</si>
  <si>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</si>
  <si>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</si>
  <si>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</si>
  <si>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</si>
  <si>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</si>
  <si>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</si>
  <si>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</si>
  <si>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</si>
  <si>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</si>
  <si>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</si>
  <si>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</si>
  <si>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</si>
  <si>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</si>
  <si>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</si>
  <si>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</si>
  <si>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</si>
  <si>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</si>
  <si>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</si>
  <si>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</si>
  <si>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</si>
  <si>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</si>
  <si>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</si>
  <si>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</si>
  <si>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</si>
  <si>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</si>
  <si>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</si>
  <si>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</si>
  <si>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</si>
  <si>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</si>
  <si>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</si>
  <si>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</si>
  <si>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</si>
  <si>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</si>
  <si>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</si>
  <si>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</si>
  <si>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</si>
  <si>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</si>
  <si>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</si>
  <si>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</si>
  <si>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</si>
  <si>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</si>
  <si>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</si>
  <si>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</si>
  <si>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</si>
  <si>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</si>
  <si>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</si>
  <si>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</si>
  <si>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</si>
  <si>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</si>
  <si>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</si>
  <si>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</si>
  <si>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</si>
  <si>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</si>
  <si>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</si>
  <si>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</si>
  <si>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</si>
  <si>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</si>
  <si>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</si>
  <si>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</si>
  <si>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</si>
  <si>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</si>
  <si>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</si>
  <si>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</si>
  <si>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</si>
  <si>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</si>
  <si>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</si>
  <si>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</si>
  <si>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</si>
  <si>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</si>
  <si>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</si>
  <si>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</si>
  <si>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</si>
  <si>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</si>
  <si>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</si>
  <si>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</si>
  <si>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</si>
  <si>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</si>
  <si>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</si>
  <si>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</si>
  <si>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</si>
  <si>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</si>
  <si>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</si>
  <si>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</si>
  <si>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</si>
  <si>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</si>
  <si>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</si>
  <si>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</si>
  <si>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</si>
  <si>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</si>
  <si>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</si>
  <si>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</si>
  <si>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</si>
  <si>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</si>
  <si>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</si>
  <si>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</si>
  <si>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</si>
  <si>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</si>
  <si>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</si>
  <si>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</si>
  <si>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</si>
  <si>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</si>
  <si>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</si>
  <si>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</si>
  <si>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</si>
  <si>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</si>
  <si>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</si>
  <si>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</si>
  <si>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</si>
  <si>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</si>
  <si>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</si>
  <si>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</si>
  <si>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</si>
  <si>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</si>
  <si>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</si>
  <si>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</si>
  <si>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</si>
  <si>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</si>
  <si>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</si>
  <si>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</si>
  <si>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</si>
  <si>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</si>
  <si>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</si>
  <si>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</si>
  <si>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</si>
  <si>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</si>
  <si>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</si>
  <si>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</si>
  <si>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</si>
  <si>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</si>
  <si>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</si>
  <si>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</si>
  <si>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</si>
  <si>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</si>
  <si>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</si>
  <si>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</si>
  <si>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</si>
  <si>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</si>
  <si>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</si>
  <si>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</si>
  <si>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</si>
  <si>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</si>
  <si>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</si>
  <si>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</si>
  <si>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</si>
  <si>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</si>
  <si>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</si>
  <si>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</si>
  <si>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</si>
  <si>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</si>
  <si>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</si>
  <si>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</si>
  <si>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</si>
  <si>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</si>
  <si>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</si>
  <si>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</si>
  <si>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</si>
  <si>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</si>
  <si>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</si>
  <si>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</si>
  <si>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</si>
  <si>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</si>
  <si>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</si>
  <si>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</si>
  <si>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</si>
  <si>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</si>
  <si>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</si>
  <si>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</si>
  <si>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</si>
  <si>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</si>
  <si>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</si>
  <si>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</si>
  <si>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</si>
  <si>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</si>
  <si>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</si>
  <si>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</si>
  <si>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</si>
  <si>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</si>
  <si>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</si>
  <si>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</si>
  <si>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</si>
  <si>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</si>
  <si>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</si>
  <si>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</si>
  <si>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</si>
  <si>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</si>
  <si>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</si>
  <si>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</si>
  <si>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</si>
  <si>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</si>
  <si>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</si>
  <si>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</si>
  <si>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</si>
  <si>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</si>
  <si>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</si>
  <si>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</si>
  <si>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</si>
  <si>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</si>
  <si>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</si>
  <si>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</si>
  <si>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</si>
  <si>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</si>
  <si>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</si>
  <si>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</si>
  <si>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</si>
  <si>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</si>
  <si>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</si>
  <si>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</si>
  <si>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</si>
  <si>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</si>
  <si>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</si>
  <si>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</si>
  <si>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</si>
  <si>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</si>
  <si>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</si>
  <si>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</si>
  <si>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</si>
  <si>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</si>
  <si>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</si>
  <si>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</si>
  <si>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</si>
  <si>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</si>
  <si>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</si>
  <si>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</si>
  <si>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</si>
  <si>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</si>
  <si>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</si>
  <si>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</si>
  <si>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</si>
  <si>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</si>
  <si>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</si>
  <si>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</si>
  <si>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</si>
  <si>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</si>
  <si>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</si>
  <si>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</si>
  <si>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</si>
  <si>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</si>
  <si>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</si>
  <si>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</si>
  <si>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</si>
  <si>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</si>
  <si>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</si>
  <si>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</si>
  <si>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</si>
  <si>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</si>
  <si>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</si>
  <si>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</si>
  <si>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</si>
  <si>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</si>
  <si>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</si>
  <si>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</si>
  <si>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</si>
  <si>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</si>
  <si>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</si>
  <si>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</si>
  <si>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</si>
  <si>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</si>
  <si>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</si>
  <si>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</si>
  <si>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</si>
  <si>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</si>
  <si>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</si>
  <si>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</si>
  <si>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</si>
  <si>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</si>
  <si>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</si>
  <si>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</si>
  <si>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</si>
  <si>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</si>
  <si>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</si>
  <si>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</si>
  <si>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</si>
  <si>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</si>
  <si>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</si>
  <si>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</si>
  <si>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</si>
  <si>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</si>
  <si>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</si>
  <si>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</si>
  <si>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</si>
  <si>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</si>
  <si>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</si>
  <si>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</si>
  <si>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</si>
  <si>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</si>
  <si>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</si>
  <si>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</si>
  <si>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</si>
  <si>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</si>
  <si>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</si>
  <si>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</si>
  <si>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</si>
  <si>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</si>
  <si>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</si>
  <si>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</si>
  <si>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</si>
  <si>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</si>
  <si>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</si>
  <si>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</si>
  <si>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</si>
  <si>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</si>
  <si>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</si>
  <si>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</si>
  <si>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</si>
  <si>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</si>
  <si>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</si>
  <si>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</si>
  <si>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</si>
  <si>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</si>
  <si>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</si>
  <si>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</si>
  <si>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</si>
  <si>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</si>
  <si>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</si>
  <si>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</si>
  <si>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</si>
  <si>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</si>
  <si>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</si>
  <si>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</si>
  <si>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</si>
  <si>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</si>
  <si>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</si>
  <si>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</si>
  <si>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</si>
  <si>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</si>
  <si>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</si>
  <si>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</si>
  <si>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</si>
  <si>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</si>
  <si>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</si>
  <si>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</si>
  <si>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</si>
  <si>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</si>
  <si>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</si>
  <si>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</si>
  <si>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</si>
  <si>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</si>
  <si>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</si>
  <si>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</si>
  <si>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</si>
  <si>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</si>
  <si>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</si>
  <si>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</si>
  <si>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</si>
  <si>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</si>
  <si>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</si>
  <si>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</si>
  <si>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</si>
  <si>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</si>
  <si>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</si>
  <si>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</si>
  <si>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</si>
  <si>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</si>
  <si>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</si>
  <si>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</si>
  <si>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</si>
  <si>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</si>
  <si>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</si>
  <si>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</si>
  <si>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</si>
  <si>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</si>
  <si>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</si>
  <si>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</si>
  <si>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</si>
  <si>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</si>
  <si>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</si>
  <si>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</si>
  <si>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</si>
  <si>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</si>
  <si>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</si>
  <si>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</si>
  <si>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</si>
  <si>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</si>
  <si>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</si>
  <si>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</si>
  <si>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</si>
  <si>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</si>
  <si>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</si>
  <si>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</si>
  <si>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</si>
  <si>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</si>
  <si>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</si>
  <si>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</si>
  <si>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</si>
  <si>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</si>
  <si>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</si>
  <si>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</si>
  <si>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</si>
  <si>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</si>
  <si>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</si>
  <si>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</si>
  <si>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</si>
  <si>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</si>
  <si>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</si>
  <si>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</si>
  <si>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</si>
  <si>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</si>
  <si>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</si>
  <si>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</si>
  <si>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</si>
  <si>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</si>
  <si>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</si>
  <si>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</si>
  <si>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</si>
  <si>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</si>
  <si>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</si>
  <si>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</si>
  <si>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</si>
  <si>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</si>
  <si>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</si>
  <si>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</si>
  <si>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</si>
  <si>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</si>
  <si>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</si>
  <si>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</si>
  <si>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</si>
  <si>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</si>
  <si>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</si>
  <si>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</si>
  <si>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</si>
  <si>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</si>
  <si>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</si>
  <si>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</si>
  <si>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</si>
  <si>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</si>
  <si>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</si>
  <si>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</si>
  <si>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</si>
  <si>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</si>
  <si>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</si>
  <si>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</si>
  <si>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</si>
  <si>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</si>
  <si>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</si>
  <si>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</si>
  <si>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</si>
  <si>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</si>
  <si>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</si>
  <si>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</si>
  <si>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</si>
  <si>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</si>
  <si>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</si>
  <si>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</si>
  <si>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</si>
  <si>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</si>
  <si>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</si>
  <si>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</si>
  <si>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</si>
  <si>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</si>
  <si>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</si>
  <si>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</si>
  <si>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</si>
  <si>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</si>
  <si>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</si>
  <si>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</si>
  <si>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</si>
  <si>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</si>
  <si>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</si>
  <si>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</si>
  <si>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</si>
  <si>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</si>
  <si>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</si>
  <si>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</si>
  <si>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</si>
  <si>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</si>
  <si>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</si>
  <si>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</si>
  <si>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</si>
  <si>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</si>
  <si>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</si>
  <si>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</si>
  <si>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</si>
  <si>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</si>
  <si>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</si>
  <si>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</si>
  <si>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</si>
  <si>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</si>
  <si>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</si>
  <si>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</si>
  <si>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</si>
  <si>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</si>
  <si>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</si>
  <si>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</si>
  <si>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</si>
  <si>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</si>
  <si>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</si>
  <si>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</si>
  <si>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</si>
  <si>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</si>
  <si>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</si>
  <si>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</si>
  <si>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</si>
  <si>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</si>
  <si>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</si>
  <si>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</si>
  <si>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</si>
  <si>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</si>
  <si>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</si>
  <si>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</si>
  <si>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</si>
  <si>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</si>
  <si>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</si>
  <si>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</si>
  <si>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</si>
  <si>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</si>
  <si>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</si>
  <si>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</si>
  <si>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</si>
  <si>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</si>
  <si>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</si>
  <si>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</si>
  <si>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</si>
  <si>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</si>
  <si>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</si>
  <si>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</si>
  <si>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</si>
  <si>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</si>
  <si>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</si>
  <si>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</si>
  <si>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</si>
  <si>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</si>
  <si>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</si>
  <si>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</si>
  <si>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</si>
  <si>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</si>
  <si>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</si>
  <si>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</si>
  <si>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</si>
  <si>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</si>
  <si>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</si>
  <si>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</si>
  <si>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</si>
  <si>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</si>
  <si>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</si>
  <si>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</si>
  <si>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</si>
  <si>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</si>
  <si>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</si>
  <si>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</si>
  <si>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</si>
  <si>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</si>
  <si>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</si>
  <si>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</si>
  <si>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</si>
  <si>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</si>
  <si>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</si>
  <si>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</si>
  <si>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</si>
  <si>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</si>
  <si>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</si>
  <si>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</si>
  <si>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</si>
  <si>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</si>
  <si>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</si>
  <si>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</si>
  <si>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</si>
  <si>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</si>
  <si>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</si>
  <si>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</si>
  <si>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</si>
  <si>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</si>
  <si>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</si>
  <si>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</si>
  <si>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</si>
  <si>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</si>
  <si>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</si>
  <si>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</si>
  <si>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</si>
  <si>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</si>
  <si>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</si>
  <si>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</si>
  <si>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</si>
  <si>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</si>
  <si>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</si>
  <si>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</si>
  <si>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</si>
  <si>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</si>
  <si>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</si>
  <si>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</si>
  <si>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</si>
  <si>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</si>
  <si>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</si>
  <si>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</si>
  <si>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</si>
  <si>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</si>
  <si>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</si>
  <si>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</si>
  <si>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</si>
  <si>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</si>
  <si>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</si>
  <si>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</si>
  <si>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</si>
  <si>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</si>
  <si>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</si>
  <si>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</si>
  <si>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</si>
  <si>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</si>
  <si>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</si>
  <si>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</si>
  <si>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</si>
  <si>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</si>
  <si>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</si>
  <si>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</si>
  <si>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</si>
  <si>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</si>
  <si>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</si>
  <si>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</si>
  <si>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</si>
  <si>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</si>
  <si>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</si>
  <si>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</si>
  <si>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</si>
  <si>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</si>
  <si>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</si>
  <si>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</si>
  <si>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</si>
  <si>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</si>
  <si>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</si>
  <si>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</si>
  <si>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</si>
  <si>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</si>
  <si>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</si>
  <si>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</si>
  <si>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</si>
  <si>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</si>
  <si>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</si>
  <si>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</si>
  <si>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</si>
  <si>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</si>
  <si>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</si>
  <si>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</si>
  <si>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</si>
  <si>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</si>
  <si>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</si>
  <si>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</si>
  <si>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</si>
  <si>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</si>
  <si>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</si>
  <si>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</si>
  <si>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</si>
  <si>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</si>
  <si>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</si>
  <si>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</si>
  <si>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</si>
  <si>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</si>
  <si>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</si>
  <si>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</si>
  <si>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</si>
  <si>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</si>
  <si>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</si>
  <si>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</si>
  <si>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</si>
  <si>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</si>
  <si>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</si>
  <si>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</si>
  <si>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</si>
  <si>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</si>
  <si>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</si>
  <si>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</si>
  <si>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</si>
  <si>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</si>
  <si>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</si>
  <si>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</si>
  <si>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</si>
  <si>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</si>
  <si>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</si>
  <si>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</si>
  <si>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</si>
  <si>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</si>
  <si>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</si>
  <si>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</si>
  <si>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</si>
  <si>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</si>
  <si>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</si>
  <si>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</si>
  <si>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</si>
  <si>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</si>
  <si>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</si>
  <si>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</si>
  <si>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</si>
  <si>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</si>
  <si>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</si>
  <si>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</si>
  <si>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</si>
  <si>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</si>
  <si>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</si>
  <si>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</si>
  <si>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</si>
  <si>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</si>
  <si>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</si>
  <si>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</si>
  <si>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</si>
  <si>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</si>
  <si>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</si>
  <si>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</si>
  <si>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</si>
  <si>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</si>
  <si>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</si>
  <si>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</si>
  <si>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</si>
  <si>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</si>
  <si>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</si>
  <si>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</si>
  <si>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</si>
  <si>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</si>
  <si>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</si>
  <si>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</si>
  <si>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</si>
  <si>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</si>
  <si>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</si>
  <si>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</si>
  <si>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</si>
  <si>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</si>
  <si>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</si>
  <si>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</si>
  <si>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</si>
  <si>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</si>
  <si>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</si>
  <si>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</si>
  <si>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</si>
  <si>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</si>
  <si>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</si>
  <si>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</si>
  <si>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</si>
  <si>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</si>
  <si>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</si>
  <si>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</si>
  <si>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</si>
  <si>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</si>
  <si>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</si>
  <si>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</si>
  <si>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</si>
  <si>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</si>
  <si>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</si>
  <si>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</si>
  <si>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</si>
  <si>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</si>
  <si>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</si>
  <si>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</si>
  <si>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</si>
  <si>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</si>
  <si>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</si>
  <si>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</si>
  <si>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</si>
  <si>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</si>
  <si>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</si>
  <si>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</si>
  <si>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</si>
  <si>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</si>
  <si>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</si>
  <si>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</si>
  <si>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</si>
  <si>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</si>
  <si>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</si>
  <si>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</si>
  <si>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</si>
  <si>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</si>
  <si>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</si>
  <si>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</si>
  <si>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</si>
  <si>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</si>
  <si>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</si>
  <si>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</si>
  <si>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</si>
  <si>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</si>
  <si>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</si>
  <si>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</si>
  <si>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</si>
  <si>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</si>
  <si>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</si>
  <si>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</si>
  <si>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</si>
  <si>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</si>
  <si>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</si>
  <si>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</si>
  <si>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</si>
  <si>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</si>
  <si>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</si>
  <si>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</si>
  <si>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</si>
  <si>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</si>
  <si>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</si>
  <si>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</si>
  <si>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</si>
  <si>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</si>
  <si>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</si>
  <si>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</si>
  <si>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</si>
  <si>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</si>
  <si>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</si>
  <si>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</si>
  <si>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</si>
  <si>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</si>
  <si>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</si>
  <si>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</si>
  <si>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</si>
  <si>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</si>
  <si>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</si>
  <si>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</si>
  <si>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</si>
  <si>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</si>
  <si>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</si>
  <si>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</si>
  <si>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</si>
  <si>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</si>
  <si>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</si>
  <si>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</si>
  <si>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</si>
  <si>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</si>
  <si>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</si>
  <si>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</si>
  <si>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</si>
  <si>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</si>
  <si>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</si>
  <si>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</si>
  <si>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</si>
  <si>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</si>
  <si>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</si>
  <si>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</si>
  <si>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</si>
  <si>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</si>
  <si>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</si>
  <si>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</si>
  <si>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</si>
  <si>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</si>
  <si>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</si>
  <si>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</si>
  <si>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</si>
  <si>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</si>
  <si>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</si>
  <si>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</si>
  <si>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</si>
  <si>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</si>
  <si>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</si>
  <si>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</si>
  <si>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</si>
  <si>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</si>
  <si>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</si>
  <si>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</si>
  <si>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</si>
  <si>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</si>
  <si>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</si>
  <si>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</si>
  <si>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</si>
  <si>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</si>
  <si>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</si>
  <si>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</si>
  <si>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</si>
  <si>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</si>
  <si>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</si>
  <si>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</si>
  <si>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</si>
  <si>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</si>
  <si>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</si>
  <si>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</si>
  <si>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</si>
  <si>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</si>
  <si>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</si>
  <si>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</si>
  <si>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</si>
  <si>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</si>
  <si>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</si>
  <si>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</si>
  <si>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</si>
  <si>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</si>
  <si>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</si>
  <si>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</si>
  <si>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</si>
  <si>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</si>
  <si>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</si>
  <si>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</si>
  <si>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</si>
  <si>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</si>
  <si>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</si>
  <si>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</si>
  <si>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</si>
  <si>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</si>
  <si>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</si>
  <si>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</si>
  <si>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</si>
  <si>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</si>
  <si>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</si>
  <si>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</si>
  <si>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</si>
  <si>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</si>
  <si>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</si>
  <si>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</si>
  <si>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</si>
  <si>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</si>
  <si>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</si>
  <si>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</si>
  <si>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</si>
  <si>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</si>
  <si>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</si>
  <si>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</si>
  <si>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</si>
  <si>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</si>
  <si>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</si>
  <si>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</si>
  <si>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</si>
  <si>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</si>
  <si>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</si>
  <si>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</si>
  <si>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</si>
  <si>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</si>
  <si>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</si>
  <si>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</si>
  <si>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</si>
  <si>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</si>
  <si>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</si>
  <si>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</si>
  <si>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</si>
  <si>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</si>
  <si>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</si>
  <si>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</si>
  <si>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</si>
  <si>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</si>
  <si>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</si>
  <si>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</si>
  <si>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</si>
  <si>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</si>
  <si>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</si>
  <si>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</si>
  <si>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</si>
  <si>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</si>
  <si>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</si>
  <si>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</si>
  <si>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</si>
  <si>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</si>
  <si>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</si>
  <si>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</si>
  <si>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</si>
  <si>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</si>
  <si>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</si>
  <si>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</si>
  <si>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</si>
  <si>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</si>
  <si>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</si>
  <si>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</si>
  <si>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</si>
  <si>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</si>
  <si>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</si>
  <si>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</si>
  <si>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</si>
  <si>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</si>
  <si>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</si>
  <si>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</si>
  <si>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</si>
  <si>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</si>
  <si>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</si>
  <si>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</si>
  <si>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</si>
  <si>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</si>
  <si>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</si>
  <si>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</si>
  <si>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</si>
  <si>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</si>
  <si>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</si>
  <si>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</si>
  <si>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</si>
  <si>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</si>
  <si>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</si>
  <si>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</si>
  <si>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</si>
  <si>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</si>
  <si>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</si>
  <si>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</si>
  <si>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</si>
  <si>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</si>
  <si>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</si>
  <si>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</si>
  <si>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</si>
  <si>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</si>
  <si>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</si>
  <si>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</si>
  <si>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</si>
  <si>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</si>
  <si>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</si>
  <si>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</si>
  <si>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</si>
  <si>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</si>
  <si>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</si>
  <si>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</si>
  <si>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</si>
  <si>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</si>
  <si>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</si>
  <si>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</si>
  <si>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</si>
  <si>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</si>
  <si>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</si>
  <si>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</si>
  <si>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</si>
  <si>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</si>
  <si>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</si>
  <si>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</si>
  <si>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</si>
  <si>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</si>
  <si>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</si>
  <si>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</si>
  <si>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</si>
  <si>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</si>
  <si>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</si>
  <si>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</si>
  <si>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</si>
  <si>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</si>
  <si>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</si>
  <si>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</si>
  <si>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</si>
  <si>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</si>
  <si>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</si>
  <si>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</si>
  <si>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</si>
  <si>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</si>
  <si>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</si>
  <si>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</si>
  <si>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</si>
  <si>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</si>
  <si>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</si>
  <si>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</si>
  <si>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</si>
  <si>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</si>
  <si>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</si>
  <si>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</si>
  <si>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</si>
  <si>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</si>
  <si>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</si>
  <si>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</si>
  <si>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</si>
  <si>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</si>
  <si>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</si>
  <si>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</si>
  <si>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</si>
  <si>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</si>
  <si>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</si>
  <si>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</si>
  <si>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</si>
  <si>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</si>
  <si>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</si>
  <si>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</si>
  <si>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</si>
  <si>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</si>
  <si>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</si>
  <si>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</si>
  <si>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</si>
  <si>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</si>
  <si>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</si>
  <si>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</si>
  <si>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</si>
  <si>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</si>
  <si>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</si>
  <si>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</si>
  <si>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</si>
  <si>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</si>
  <si>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</si>
  <si>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</si>
  <si>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</si>
  <si>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</si>
  <si>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</si>
  <si>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</si>
  <si>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</si>
  <si>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</si>
  <si>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</si>
  <si>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</si>
  <si>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</si>
  <si>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</si>
  <si>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</si>
  <si>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</si>
  <si>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</si>
  <si>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</si>
  <si>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</si>
  <si>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</si>
  <si>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</si>
  <si>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</si>
  <si>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</si>
  <si>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</si>
  <si>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</si>
  <si>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</si>
  <si>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</si>
  <si>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</si>
  <si>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</si>
  <si>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</si>
  <si>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</si>
  <si>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</si>
  <si>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</si>
  <si>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</si>
  <si>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</si>
  <si>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</si>
  <si>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</si>
  <si>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</si>
  <si>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</si>
  <si>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</si>
  <si>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</si>
  <si>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</si>
  <si>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</si>
  <si>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</si>
  <si>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</si>
  <si>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</si>
  <si>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</si>
  <si>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</si>
  <si>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</si>
  <si>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</si>
  <si>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</si>
  <si>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</si>
  <si>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</si>
  <si>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</si>
  <si>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</si>
  <si>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</si>
  <si>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</si>
  <si>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</si>
  <si>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</si>
  <si>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</si>
  <si>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</si>
  <si>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</si>
  <si>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</si>
  <si>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</si>
  <si>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</si>
  <si>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</si>
  <si>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</si>
  <si>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</si>
  <si>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</si>
  <si>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</si>
  <si>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</si>
  <si>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</si>
  <si>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</si>
  <si>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</si>
  <si>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</si>
  <si>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</si>
  <si>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</si>
  <si>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</si>
  <si>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</si>
  <si>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</si>
  <si>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</si>
  <si>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</si>
  <si>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</si>
  <si>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</si>
  <si>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</si>
  <si>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</si>
  <si>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</si>
  <si>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</si>
  <si>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</si>
  <si>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</si>
  <si>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</si>
  <si>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</si>
  <si>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</si>
  <si>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</si>
  <si>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</si>
  <si>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</si>
  <si>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</si>
  <si>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</si>
  <si>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</si>
  <si>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</si>
  <si>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</si>
  <si>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</si>
  <si>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</si>
  <si>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</si>
  <si>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</si>
  <si>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</si>
  <si>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</si>
  <si>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</si>
  <si>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</si>
  <si>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</si>
  <si>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</si>
  <si>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</si>
  <si>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</si>
  <si>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</si>
  <si>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</si>
  <si>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</si>
  <si>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</si>
  <si>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</si>
  <si>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</si>
  <si>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</si>
  <si>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</si>
  <si>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</si>
  <si>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</si>
  <si>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</si>
  <si>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</si>
  <si>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</si>
  <si>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</si>
  <si>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</si>
  <si>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</si>
  <si>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</si>
  <si>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</si>
  <si>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</si>
  <si>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</si>
  <si>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</si>
  <si>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</si>
  <si>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</si>
  <si>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</si>
  <si>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</si>
  <si>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</si>
  <si>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</si>
  <si>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</si>
  <si>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</si>
  <si>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</si>
  <si>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</si>
  <si>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</si>
  <si>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</si>
  <si>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</si>
  <si>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</si>
  <si>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</si>
  <si>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</si>
  <si>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</si>
  <si>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</si>
  <si>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</si>
  <si>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</si>
  <si>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</si>
  <si>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</si>
  <si>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</si>
  <si>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</si>
  <si>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</si>
  <si>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</si>
  <si>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</si>
  <si>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</si>
  <si>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</si>
  <si>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</si>
  <si>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</si>
  <si>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</si>
  <si>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</si>
  <si>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</si>
  <si>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</si>
  <si>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</si>
  <si>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</si>
  <si>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</si>
  <si>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</si>
  <si>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</si>
  <si>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</si>
  <si>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</si>
  <si>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</si>
  <si>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</si>
  <si>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</si>
  <si>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</si>
  <si>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</si>
  <si>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</si>
  <si>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</si>
  <si>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</si>
  <si>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</si>
  <si>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</si>
  <si>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</si>
  <si>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</si>
  <si>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</si>
  <si>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</si>
  <si>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</si>
  <si>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</si>
  <si>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</si>
  <si>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</si>
  <si>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</si>
  <si>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</si>
  <si>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</si>
  <si>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</si>
  <si>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</si>
  <si>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</si>
  <si>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</si>
  <si>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</si>
  <si>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</si>
  <si>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</si>
  <si>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</si>
  <si>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</si>
  <si>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</si>
  <si>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</si>
  <si>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</si>
  <si>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</si>
  <si>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</si>
  <si>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</si>
  <si>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</si>
  <si>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</si>
  <si>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</si>
  <si>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</si>
  <si>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</si>
  <si>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</si>
  <si>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</si>
  <si>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</si>
  <si>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</si>
  <si>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</si>
  <si>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</si>
  <si>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</si>
  <si>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</si>
  <si>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</si>
  <si>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</si>
  <si>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</si>
  <si>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</si>
  <si>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</si>
  <si>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</si>
  <si>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</si>
  <si>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</si>
  <si>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</si>
  <si>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</si>
  <si>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</si>
  <si>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</si>
  <si>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</si>
  <si>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</si>
  <si>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</si>
  <si>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</si>
  <si>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</si>
  <si>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</si>
  <si>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</si>
  <si>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</si>
  <si>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</si>
  <si>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</si>
  <si>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</si>
  <si>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</si>
  <si>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</si>
  <si>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</si>
  <si>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</si>
  <si>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</si>
  <si>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</si>
  <si>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</si>
  <si>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</si>
  <si>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</si>
  <si>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</si>
  <si>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</si>
  <si>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</si>
  <si>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</si>
  <si>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</si>
  <si>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</si>
  <si>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</si>
  <si>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</si>
  <si>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</si>
  <si>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</si>
  <si>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</si>
  <si>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</si>
  <si>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</si>
  <si>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</si>
  <si>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</si>
  <si>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</si>
  <si>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</si>
  <si>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</si>
  <si>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</si>
  <si>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</si>
  <si>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</si>
  <si>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</si>
  <si>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</si>
  <si>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</si>
  <si>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</si>
  <si>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</si>
  <si>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</si>
  <si>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</si>
  <si>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</si>
  <si>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</si>
  <si>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</si>
  <si>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</si>
  <si>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</si>
  <si>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</si>
  <si>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</si>
  <si>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</si>
  <si>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</si>
  <si>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</si>
  <si>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</si>
  <si>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</si>
  <si>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</si>
  <si>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</si>
  <si>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</si>
  <si>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</si>
  <si>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</si>
  <si>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</si>
  <si>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</si>
  <si>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</si>
  <si>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</si>
  <si>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</si>
  <si>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</si>
  <si>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</si>
  <si>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</si>
  <si>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</si>
  <si>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</si>
  <si>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</si>
  <si>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</si>
  <si>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</si>
  <si>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</si>
  <si>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</si>
  <si>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</si>
  <si>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</si>
  <si>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</si>
  <si>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</si>
  <si>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</si>
  <si>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</si>
  <si>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</si>
  <si>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</si>
  <si>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</si>
  <si>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</si>
  <si>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</si>
  <si>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</si>
  <si>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</si>
  <si>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</si>
  <si>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</si>
  <si>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</si>
  <si>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</si>
  <si>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</si>
  <si>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</si>
  <si>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</si>
  <si>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</si>
  <si>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</si>
  <si>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</si>
  <si>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</si>
  <si>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</si>
  <si>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</si>
  <si>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</si>
  <si>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</si>
  <si>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</si>
  <si>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</si>
  <si>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</si>
  <si>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</si>
  <si>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</si>
  <si>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</si>
  <si>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</si>
  <si>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</si>
  <si>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</si>
  <si>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</si>
  <si>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</si>
  <si>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</si>
  <si>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</si>
  <si>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</si>
  <si>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</si>
  <si>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</si>
  <si>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</si>
  <si>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</si>
  <si>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</si>
  <si>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</si>
  <si>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</si>
  <si>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</si>
  <si>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</si>
  <si>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</si>
  <si>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</si>
  <si>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</si>
  <si>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</si>
  <si>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</si>
  <si>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</si>
  <si>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</si>
  <si>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</si>
  <si>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</si>
  <si>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</si>
  <si>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</si>
  <si>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</si>
  <si>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</si>
  <si>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</si>
  <si>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</si>
  <si>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</si>
  <si>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</si>
  <si>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</si>
  <si>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</si>
  <si>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</si>
  <si>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</si>
  <si>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</si>
  <si>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</si>
  <si>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</si>
  <si>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</si>
  <si>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</si>
  <si>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</si>
  <si>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</si>
  <si>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</si>
  <si>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</si>
  <si>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</si>
  <si>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</si>
  <si>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</si>
  <si>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</si>
  <si>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</si>
  <si>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</si>
  <si>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</si>
  <si>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</si>
  <si>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</si>
  <si>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</si>
  <si>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</si>
  <si>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</si>
  <si>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</si>
  <si>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</si>
  <si>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</si>
  <si>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</si>
  <si>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</si>
  <si>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</si>
  <si>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</si>
  <si>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</si>
  <si>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</si>
  <si>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</si>
  <si>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</si>
  <si>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</si>
  <si>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</si>
  <si>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</si>
  <si>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</si>
  <si>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</si>
  <si>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</si>
  <si>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</si>
  <si>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</si>
  <si>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</si>
  <si>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</si>
  <si>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</si>
  <si>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</si>
  <si>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</si>
  <si>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</si>
  <si>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</si>
  <si>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</si>
  <si>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</si>
  <si>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</si>
  <si>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</si>
  <si>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</si>
  <si>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</si>
  <si>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</si>
  <si>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</si>
  <si>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</si>
  <si>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</si>
  <si>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</si>
  <si>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</si>
  <si>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</si>
  <si>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</si>
  <si>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</si>
  <si>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</si>
  <si>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</si>
  <si>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</si>
  <si>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</si>
  <si>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</si>
  <si>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</si>
  <si>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</si>
  <si>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</si>
  <si>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</si>
  <si>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</si>
  <si>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</si>
  <si>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</si>
  <si>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</si>
  <si>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</si>
  <si>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</si>
  <si>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</si>
  <si>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</si>
  <si>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</si>
  <si>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</si>
  <si>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</si>
  <si>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</si>
  <si>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</si>
  <si>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</si>
  <si>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</si>
  <si>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</si>
  <si>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</si>
  <si>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</si>
  <si>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</si>
  <si>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</si>
  <si>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</si>
  <si>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</si>
  <si>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</si>
  <si>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</si>
  <si>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</si>
  <si>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</si>
  <si>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</si>
  <si>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</si>
  <si>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</si>
  <si>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</si>
  <si>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</si>
  <si>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</si>
  <si>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</si>
  <si>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</si>
  <si>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</si>
  <si>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</si>
  <si>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</si>
  <si>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</si>
  <si>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</si>
  <si>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</si>
  <si>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</si>
  <si>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</si>
  <si>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</si>
  <si>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</si>
  <si>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</si>
  <si>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</si>
  <si>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</si>
  <si>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</si>
  <si>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</si>
  <si>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</si>
  <si>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</si>
  <si>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</si>
  <si>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</si>
  <si>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</si>
  <si>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</si>
  <si>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</si>
  <si>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</si>
  <si>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</si>
  <si>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</si>
  <si>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</si>
  <si>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</si>
  <si>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</si>
  <si>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</si>
  <si>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</si>
  <si>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</si>
  <si>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</si>
  <si>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</si>
  <si>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</si>
  <si>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</si>
  <si>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</si>
  <si>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</si>
  <si>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</si>
  <si>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</si>
  <si>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</si>
  <si>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</si>
  <si>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</si>
  <si>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</si>
  <si>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</si>
  <si>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</si>
  <si>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</si>
  <si>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</si>
  <si>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</si>
  <si>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</si>
  <si>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</si>
  <si>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</si>
  <si>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</si>
  <si>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</si>
  <si>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</si>
  <si>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</si>
  <si>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</si>
  <si>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</si>
  <si>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</si>
  <si>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</si>
  <si>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</si>
  <si>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</si>
  <si>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</si>
  <si>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</si>
  <si>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</si>
  <si>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</si>
  <si>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</si>
  <si>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</si>
  <si>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</si>
  <si>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</si>
  <si>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</si>
  <si>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</si>
  <si>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</si>
  <si>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</si>
  <si>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</si>
  <si>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</si>
  <si>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</si>
  <si>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</si>
  <si>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</si>
  <si>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</si>
  <si>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</si>
  <si>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</si>
  <si>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</si>
  <si>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</si>
  <si>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</si>
  <si>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</si>
  <si>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</si>
  <si>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</si>
  <si>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</si>
  <si>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</si>
  <si>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</si>
  <si>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</si>
  <si>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</si>
  <si>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</si>
  <si>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</si>
  <si>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</si>
  <si>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</si>
  <si>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</si>
  <si>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</si>
  <si>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</si>
  <si>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</si>
  <si>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</si>
  <si>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</si>
  <si>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</si>
  <si>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</si>
  <si>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</si>
  <si>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</si>
  <si>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</si>
  <si>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</si>
  <si>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</si>
  <si>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</si>
  <si>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</si>
  <si>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</si>
  <si>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</si>
  <si>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</si>
  <si>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</si>
  <si>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</si>
  <si>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</si>
  <si>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</si>
  <si>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</si>
  <si>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</si>
  <si>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</si>
  <si>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</si>
  <si>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</si>
  <si>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</si>
  <si>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</si>
  <si>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</si>
  <si>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</si>
  <si>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</si>
  <si>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</si>
  <si>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</si>
  <si>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</si>
  <si>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</si>
  <si>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</si>
  <si>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</si>
  <si>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</si>
  <si>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</si>
  <si>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</si>
  <si>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</si>
  <si>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</si>
  <si>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</si>
  <si>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</si>
  <si>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</si>
  <si>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</si>
  <si>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</si>
  <si>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</si>
  <si>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</si>
  <si>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</si>
  <si>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</si>
  <si>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</si>
  <si>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</si>
  <si>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</si>
  <si>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</si>
  <si>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</si>
  <si>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</si>
  <si>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</si>
  <si>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</si>
  <si>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</si>
  <si>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</si>
  <si>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</si>
  <si>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</si>
  <si>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</si>
  <si>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</si>
  <si>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</si>
  <si>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</si>
  <si>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</si>
  <si>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</si>
  <si>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</si>
  <si>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</si>
  <si>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</si>
  <si>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</si>
  <si>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</si>
  <si>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</si>
  <si>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</si>
  <si>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</si>
  <si>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</si>
  <si>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</si>
  <si>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</si>
  <si>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</si>
  <si>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</si>
  <si>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</si>
  <si>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</si>
  <si>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</si>
  <si>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</si>
  <si>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</si>
  <si>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</si>
  <si>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</si>
  <si>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</si>
  <si>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</si>
  <si>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</si>
  <si>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</si>
  <si>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</si>
  <si>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</si>
  <si>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</si>
  <si>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</si>
  <si>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</si>
  <si>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</si>
  <si>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</si>
  <si>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</si>
  <si>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</si>
  <si>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</si>
  <si>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</si>
  <si>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</si>
  <si>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</si>
  <si>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</si>
  <si>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</si>
  <si>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</si>
  <si>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</si>
  <si>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</si>
  <si>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</si>
  <si>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</si>
  <si>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</si>
  <si>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</si>
  <si>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</si>
  <si>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</si>
  <si>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</si>
  <si>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</si>
  <si>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</si>
  <si>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</si>
  <si>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</si>
  <si>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</si>
  <si>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</si>
  <si>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</si>
  <si>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</si>
  <si>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</si>
  <si>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</si>
  <si>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</si>
  <si>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</si>
  <si>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</si>
  <si>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</si>
  <si>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</si>
  <si>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</si>
  <si>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</si>
  <si>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</si>
  <si>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</si>
  <si>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</si>
  <si>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</si>
  <si>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</si>
  <si>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</si>
  <si>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</si>
  <si>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</si>
  <si>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</si>
  <si>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</si>
  <si>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</si>
  <si>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</si>
  <si>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</si>
  <si>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</si>
  <si>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</si>
  <si>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</si>
  <si>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</si>
  <si>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</si>
  <si>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</si>
  <si>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</si>
  <si>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</si>
  <si>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</si>
  <si>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</si>
  <si>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</si>
  <si>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</si>
  <si>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</si>
  <si>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</si>
  <si>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</si>
  <si>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</si>
  <si>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</si>
  <si>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</si>
  <si>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</si>
  <si>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</si>
  <si>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</si>
  <si>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</si>
  <si>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</si>
  <si>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</si>
  <si>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</si>
  <si>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</si>
  <si>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</si>
  <si>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</si>
  <si>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</si>
  <si>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</si>
  <si>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</si>
  <si>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</si>
  <si>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</si>
  <si>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</si>
  <si>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</si>
  <si>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</si>
  <si>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</si>
  <si>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</si>
  <si>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</si>
  <si>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</si>
  <si>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</si>
  <si>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</si>
  <si>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</si>
  <si>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</si>
  <si>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</si>
  <si>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</si>
  <si>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</si>
  <si>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</si>
  <si>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</si>
  <si>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</si>
  <si>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</si>
  <si>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</si>
  <si>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</si>
  <si>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</si>
  <si>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</si>
  <si>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</si>
  <si>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</si>
  <si>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</si>
  <si>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</si>
  <si>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</si>
  <si>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</si>
  <si>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</si>
  <si>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</si>
  <si>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</si>
  <si>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</si>
  <si>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</si>
  <si>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</si>
  <si>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</si>
  <si>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</si>
  <si>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</si>
  <si>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</si>
  <si>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</si>
  <si>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</si>
  <si>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</si>
  <si>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</si>
  <si>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</si>
  <si>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</si>
  <si>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</si>
  <si>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</si>
  <si>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</si>
  <si>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</si>
  <si>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</si>
  <si>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</si>
  <si>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</si>
  <si>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</si>
  <si>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</si>
  <si>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</si>
  <si>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</si>
  <si>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</si>
  <si>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</si>
  <si>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</si>
  <si>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</si>
  <si>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</si>
  <si>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</si>
  <si>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</si>
  <si>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</si>
  <si>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</si>
  <si>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</si>
  <si>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</si>
  <si>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</si>
  <si>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</si>
  <si>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</si>
  <si>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</si>
  <si>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</si>
  <si>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</si>
  <si>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</si>
  <si>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</si>
  <si>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</si>
  <si>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</si>
  <si>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</si>
  <si>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</si>
  <si>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</si>
  <si>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</si>
  <si>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</si>
  <si>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</si>
  <si>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</si>
  <si>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</si>
  <si>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</si>
  <si>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</si>
  <si>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</si>
  <si>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</si>
  <si>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</si>
  <si>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</si>
  <si>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</si>
  <si>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</si>
  <si>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</si>
  <si>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</si>
  <si>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</si>
  <si>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</si>
  <si>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</si>
  <si>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</si>
  <si>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</si>
  <si>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</si>
  <si>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</si>
  <si>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</si>
  <si>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</si>
  <si>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</si>
  <si>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</si>
  <si>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</si>
  <si>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</si>
  <si>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</si>
  <si>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</si>
  <si>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</si>
  <si>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</si>
  <si>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</si>
  <si>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</si>
  <si>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</si>
  <si>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</si>
  <si>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</si>
  <si>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</si>
  <si>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</si>
  <si>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</si>
  <si>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</si>
  <si>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</si>
  <si>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</si>
  <si>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</si>
  <si>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</si>
  <si>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</si>
  <si>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</si>
  <si>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</si>
  <si>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</si>
  <si>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</si>
  <si>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</si>
  <si>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</si>
  <si>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</si>
  <si>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</si>
  <si>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</si>
  <si>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</si>
  <si>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</si>
  <si>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</si>
  <si>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</si>
  <si>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</si>
  <si>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</si>
  <si>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</si>
  <si>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</si>
  <si>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</si>
  <si>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</si>
  <si>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</si>
  <si>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</si>
  <si>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</si>
  <si>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</si>
  <si>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</si>
  <si>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</si>
  <si>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</si>
  <si>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</si>
  <si>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</si>
  <si>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</si>
  <si>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</si>
  <si>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</si>
  <si>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</si>
  <si>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</si>
  <si>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</si>
  <si>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</si>
  <si>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</si>
  <si>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</si>
  <si>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</si>
  <si>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</si>
  <si>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</si>
  <si>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</si>
  <si>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</si>
  <si>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</si>
  <si>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</si>
  <si>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</si>
  <si>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</si>
  <si>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</si>
  <si>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</si>
  <si>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</si>
  <si>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</si>
  <si>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</si>
  <si>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</si>
  <si>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</si>
  <si>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</si>
  <si>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</si>
  <si>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</si>
  <si>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</si>
  <si>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</si>
  <si>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</si>
  <si>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</si>
  <si>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</si>
  <si>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</si>
  <si>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</si>
  <si>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</si>
  <si>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</si>
  <si>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</si>
  <si>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</si>
  <si>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</si>
  <si>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</si>
  <si>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</si>
  <si>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</si>
  <si>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</si>
  <si>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</si>
  <si>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</si>
  <si>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</si>
  <si>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</si>
  <si>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</si>
  <si>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</si>
  <si>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</si>
  <si>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</si>
  <si>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</si>
  <si>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</si>
  <si>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</si>
  <si>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</si>
  <si>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</si>
  <si>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</si>
  <si>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</si>
  <si>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</si>
  <si>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</si>
  <si>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</si>
  <si>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</si>
  <si>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</si>
  <si>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</si>
  <si>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</si>
  <si>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</si>
  <si>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</si>
  <si>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</si>
  <si>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</si>
  <si>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</si>
  <si>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</si>
  <si>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</si>
  <si>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</si>
  <si>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</si>
  <si>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</si>
  <si>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</si>
  <si>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</si>
  <si>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</si>
  <si>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</si>
  <si>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</si>
  <si>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</si>
  <si>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</si>
  <si>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</si>
  <si>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</si>
  <si>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</si>
  <si>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</si>
  <si>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</si>
  <si>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</si>
  <si>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</si>
  <si>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</si>
  <si>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</si>
  <si>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</si>
  <si>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</si>
  <si>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</si>
  <si>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</si>
  <si>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</si>
  <si>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</si>
  <si>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</si>
  <si>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</si>
  <si>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</si>
  <si>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</si>
  <si>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</si>
  <si>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</si>
  <si>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</si>
  <si>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</si>
  <si>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</si>
  <si>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</si>
  <si>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</si>
  <si>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</si>
  <si>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</si>
  <si>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</si>
  <si>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</si>
  <si>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</si>
  <si>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</si>
  <si>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</si>
  <si>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</si>
  <si>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</si>
  <si>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</si>
  <si>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</si>
  <si>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</si>
  <si>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</si>
  <si>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</si>
  <si>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</si>
  <si>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</si>
  <si>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</si>
  <si>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</si>
  <si>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</si>
  <si>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</si>
  <si>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</si>
  <si>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</si>
  <si>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</si>
  <si>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</si>
  <si>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</si>
  <si>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</si>
  <si>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</si>
  <si>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</si>
  <si>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</si>
  <si>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</si>
  <si>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</si>
  <si>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</si>
  <si>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</si>
  <si>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</si>
  <si>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</si>
  <si>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</si>
  <si>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</si>
  <si>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</si>
  <si>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</si>
  <si>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</si>
  <si>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</si>
  <si>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</si>
  <si>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</si>
  <si>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</si>
  <si>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</si>
  <si>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</si>
  <si>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</si>
  <si>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</si>
  <si>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</si>
  <si>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</si>
  <si>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</si>
  <si>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</si>
  <si>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</si>
  <si>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</si>
  <si>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</si>
  <si>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</si>
  <si>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</si>
  <si>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</si>
  <si>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</si>
  <si>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</si>
  <si>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</si>
  <si>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</si>
  <si>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</si>
  <si>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</si>
  <si>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</si>
  <si>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</si>
  <si>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</si>
  <si>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</si>
  <si>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</si>
  <si>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</si>
  <si>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</si>
  <si>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</si>
  <si>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</si>
  <si>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</si>
  <si>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</si>
  <si>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</si>
  <si>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</si>
  <si>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</si>
  <si>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</si>
  <si>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</si>
  <si>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</si>
  <si>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</si>
  <si>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</si>
  <si>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</si>
  <si>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</si>
  <si>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</si>
  <si>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</si>
  <si>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</si>
  <si>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</si>
  <si>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</si>
  <si>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</si>
  <si>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</si>
  <si>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</si>
  <si>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</si>
  <si>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</si>
  <si>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</si>
  <si>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</si>
  <si>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</si>
  <si>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</si>
  <si>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</si>
  <si>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</si>
  <si>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</si>
  <si>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</si>
  <si>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</si>
  <si>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</si>
  <si>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</si>
  <si>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</si>
  <si>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</si>
  <si>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</si>
  <si>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</si>
  <si>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</si>
  <si>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</si>
  <si>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</si>
  <si>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</si>
  <si>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</si>
  <si>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</si>
  <si>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</si>
  <si>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</si>
  <si>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</si>
  <si>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</si>
  <si>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</si>
  <si>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</si>
  <si>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</si>
  <si>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</si>
  <si>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</si>
  <si>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</si>
  <si>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</si>
  <si>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</si>
  <si>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</si>
  <si>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</si>
  <si>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</si>
  <si>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</si>
  <si>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</si>
  <si>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</si>
  <si>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</si>
  <si>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</si>
  <si>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</si>
  <si>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</si>
  <si>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</si>
  <si>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</si>
  <si>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</si>
  <si>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</si>
  <si>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</si>
  <si>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</si>
  <si>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</si>
  <si>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</si>
  <si>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</si>
  <si>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</si>
  <si>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</si>
  <si>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</si>
  <si>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</si>
  <si>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</si>
  <si>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</si>
  <si>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</si>
  <si>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</si>
  <si>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</si>
  <si>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</si>
  <si>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</si>
  <si>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</si>
  <si>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</si>
  <si>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</si>
  <si>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</si>
  <si>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</si>
  <si>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</si>
  <si>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</si>
  <si>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</si>
  <si>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</si>
  <si>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</si>
  <si>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</si>
  <si>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</si>
  <si>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</si>
  <si>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</si>
  <si>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</si>
  <si>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</si>
  <si>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</si>
  <si>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</si>
  <si>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</si>
  <si>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</si>
  <si>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</si>
  <si>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</si>
  <si>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</si>
  <si>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</si>
  <si>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</si>
  <si>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</si>
  <si>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</si>
  <si>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</si>
  <si>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</si>
  <si>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</si>
  <si>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</si>
  <si>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</si>
  <si>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</si>
  <si>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</si>
  <si>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</si>
  <si>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</si>
  <si>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</si>
  <si>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</si>
  <si>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</si>
  <si>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</si>
  <si>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</si>
  <si>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</si>
  <si>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</si>
  <si>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</si>
  <si>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</si>
  <si>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</si>
  <si>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</si>
  <si>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</si>
  <si>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</si>
  <si>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</si>
  <si>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</si>
  <si>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</si>
  <si>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</si>
  <si>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</si>
  <si>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</si>
  <si>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</si>
  <si>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</si>
  <si>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</si>
  <si>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</si>
  <si>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</si>
  <si>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</si>
  <si>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</si>
  <si>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</si>
  <si>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</si>
  <si>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</si>
  <si>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</si>
  <si>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</si>
  <si>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</si>
  <si>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</si>
  <si>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</si>
  <si>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</si>
  <si>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</si>
  <si>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</si>
  <si>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</si>
  <si>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</si>
  <si>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</si>
  <si>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</si>
  <si>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</si>
  <si>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</si>
  <si>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</si>
  <si>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</si>
  <si>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</si>
  <si>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</si>
  <si>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</si>
  <si>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</si>
  <si>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</si>
  <si>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</si>
  <si>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</si>
  <si>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</si>
  <si>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</si>
  <si>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</si>
  <si>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</si>
  <si>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</si>
  <si>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</si>
  <si>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</si>
  <si>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</si>
  <si>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</si>
  <si>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</si>
  <si>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</si>
  <si>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</si>
  <si>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</si>
  <si>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</si>
  <si>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</si>
  <si>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</si>
  <si>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</si>
  <si>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</si>
  <si>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</si>
  <si>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</si>
  <si>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</si>
  <si>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</si>
  <si>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</si>
  <si>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</si>
  <si>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</si>
  <si>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</si>
  <si>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</si>
  <si>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</si>
  <si>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</si>
  <si>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</si>
  <si>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</si>
  <si>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</si>
  <si>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</si>
  <si>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</si>
  <si>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</si>
  <si>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</si>
  <si>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</si>
  <si>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</si>
  <si>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</si>
  <si>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</si>
  <si>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</si>
  <si>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</si>
  <si>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</si>
  <si>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</si>
  <si>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</si>
  <si>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</si>
  <si>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</si>
  <si>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</si>
  <si>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</si>
  <si>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</si>
  <si>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</si>
  <si>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</si>
  <si>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</si>
  <si>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</si>
  <si>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</si>
  <si>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</si>
  <si>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</si>
  <si>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</si>
  <si>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</si>
  <si>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</si>
  <si>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</si>
  <si>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</si>
  <si>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</si>
  <si>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</si>
  <si>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</si>
  <si>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</si>
  <si>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</si>
  <si>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</si>
  <si>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</si>
  <si>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</si>
  <si>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</si>
  <si>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</si>
  <si>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</si>
  <si>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</si>
  <si>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</si>
  <si>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</si>
  <si>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</si>
  <si>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</si>
  <si>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</si>
  <si>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</si>
  <si>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</si>
  <si>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</si>
  <si>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</si>
  <si>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</si>
  <si>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</si>
  <si>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</si>
  <si>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</si>
  <si>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</si>
  <si>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</si>
  <si>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</si>
  <si>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</si>
  <si>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</si>
  <si>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</si>
  <si>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</si>
  <si>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</si>
  <si>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</si>
  <si>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</si>
  <si>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</si>
  <si>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</si>
  <si>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</si>
  <si>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</si>
  <si>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</si>
  <si>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</si>
  <si>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</si>
  <si>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</si>
  <si>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</si>
  <si>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</si>
  <si>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</si>
  <si>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</si>
  <si>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</si>
  <si>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</si>
  <si>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</si>
  <si>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</si>
  <si>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</si>
  <si>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</si>
  <si>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</si>
  <si>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</si>
  <si>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</si>
  <si>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</si>
  <si>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</si>
  <si>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</si>
  <si>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</si>
  <si>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</si>
  <si>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</si>
  <si>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</si>
  <si>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</si>
  <si>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</si>
  <si>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</si>
  <si>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</si>
  <si>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</si>
  <si>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</si>
  <si>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</si>
  <si>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</si>
  <si>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</si>
  <si>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</si>
  <si>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</si>
  <si>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</si>
  <si>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</si>
  <si>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</si>
  <si>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</si>
  <si>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</si>
  <si>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</si>
  <si>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</si>
  <si>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</si>
  <si>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</si>
  <si>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</si>
  <si>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</si>
  <si>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</si>
  <si>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</si>
  <si>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北京万通新材工贸有限公司</t>
    <phoneticPr fontId="3" type="noConversion"/>
  </si>
  <si>
    <t>企业</t>
  </si>
  <si>
    <t>Ⅸ-房1</t>
  </si>
  <si>
    <t>地上</t>
  </si>
  <si>
    <t>地下</t>
  </si>
  <si>
    <t>是</t>
  </si>
  <si>
    <t>科教</t>
    <phoneticPr fontId="3" type="noConversion"/>
  </si>
  <si>
    <t>成新度</t>
  </si>
  <si>
    <t>收益法</t>
  </si>
  <si>
    <t>自定义容积率</t>
  </si>
  <si>
    <t>与级别开发程度一致</t>
  </si>
  <si>
    <t>按公示增长率计算</t>
  </si>
  <si>
    <t>中心城区以外</t>
  </si>
  <si>
    <t>一般</t>
  </si>
  <si>
    <t>较差</t>
  </si>
  <si>
    <t>好</t>
  </si>
  <si>
    <t>科教</t>
  </si>
  <si>
    <t>未包含在土地购买价格中</t>
  </si>
  <si>
    <t>已包含在土地取得成本中</t>
  </si>
  <si>
    <t>全部缴纳</t>
  </si>
  <si>
    <t>押一</t>
  </si>
  <si>
    <t>钢混</t>
  </si>
  <si>
    <t>非生产用房</t>
  </si>
  <si>
    <t>否</t>
  </si>
  <si>
    <t>成本法</t>
  </si>
  <si>
    <t>建筑面积</t>
    <phoneticPr fontId="134" type="noConversion"/>
  </si>
  <si>
    <t>总楼层</t>
    <phoneticPr fontId="134" type="noConversion"/>
  </si>
  <si>
    <t>地上楼层</t>
    <phoneticPr fontId="134" type="noConversion"/>
  </si>
  <si>
    <t>地上面积</t>
    <phoneticPr fontId="134" type="noConversion"/>
  </si>
  <si>
    <t>地下楼层</t>
    <phoneticPr fontId="134" type="noConversion"/>
  </si>
  <si>
    <t>地下面积</t>
    <phoneticPr fontId="134" type="noConversion"/>
  </si>
  <si>
    <t>工业用地</t>
    <phoneticPr fontId="134" type="noConversion"/>
  </si>
  <si>
    <t>科研用地</t>
    <phoneticPr fontId="134" type="noConversion"/>
  </si>
  <si>
    <t>教育用地</t>
    <phoneticPr fontId="134" type="noConversion"/>
  </si>
  <si>
    <t>总建面</t>
    <phoneticPr fontId="134" type="noConversion"/>
  </si>
  <si>
    <t>土地</t>
    <phoneticPr fontId="134" type="noConversion"/>
  </si>
  <si>
    <t>容积率</t>
    <phoneticPr fontId="134" type="noConversion"/>
  </si>
  <si>
    <r>
      <rPr>
        <sz val="10"/>
        <color theme="9" tint="-0.249977111117893"/>
        <rFont val="宋体"/>
        <family val="3"/>
        <charset val="134"/>
      </rPr>
      <t>房山区福通路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1-1</t>
    </r>
    <phoneticPr fontId="3" type="noConversion"/>
  </si>
  <si>
    <t>楼面单价</t>
  </si>
  <si>
    <t>自定义</t>
  </si>
  <si>
    <t>地下面积为银行提供</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</si>
</sst>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7</xdr:col>
      <xdr:colOff>161371</xdr:colOff>
      <xdr:row>40</xdr:row>
      <xdr:rowOff>159306</xdr:rowOff>
    </xdr:to>
    <xdr:pic>
      <xdr:nvPicPr>
        <xdr:cNvPr id="2" name="图片 1">
          <a:extLst>
            <a:ext uri="{FF2B5EF4-FFF2-40B4-BE49-F238E27FC236}">
              <a16:creationId xmlns:a16="http://schemas.microsoft.com/office/drawing/2014/main" id="{28A6E5DC-AD7E-45AA-BCC8-64E73C8DED8E}"/>
            </a:ext>
          </a:extLst>
        </xdr:cNvPr>
        <xdr:cNvPicPr>
          <a:picLocks noChangeAspect="1"/>
        </xdr:cNvPicPr>
      </xdr:nvPicPr>
      <xdr:blipFill>
        <a:blip xmlns:r="http://schemas.openxmlformats.org/officeDocument/2006/relationships" r:embed="rId1"/>
        <a:stretch>
          <a:fillRect/>
        </a:stretch>
      </xdr:blipFill>
      <xdr:spPr>
        <a:xfrm>
          <a:off x="0" y="1714500"/>
          <a:ext cx="4428571" cy="5556806"/>
        </a:xfrm>
        <a:prstGeom prst="rect">
          <a:avLst/>
        </a:prstGeom>
      </xdr:spPr>
    </xdr:pic>
    <xdr:clientData/>
  </xdr:twoCellAnchor>
  <xdr:twoCellAnchor editAs="oneCell">
    <xdr:from>
      <xdr:col>8</xdr:col>
      <xdr:colOff>381000</xdr:colOff>
      <xdr:row>9</xdr:row>
      <xdr:rowOff>0</xdr:rowOff>
    </xdr:from>
    <xdr:to>
      <xdr:col>17</xdr:col>
      <xdr:colOff>323171</xdr:colOff>
      <xdr:row>44</xdr:row>
      <xdr:rowOff>18248</xdr:rowOff>
    </xdr:to>
    <xdr:pic>
      <xdr:nvPicPr>
        <xdr:cNvPr id="3" name="图片 2">
          <a:extLst>
            <a:ext uri="{FF2B5EF4-FFF2-40B4-BE49-F238E27FC236}">
              <a16:creationId xmlns:a16="http://schemas.microsoft.com/office/drawing/2014/main" id="{B12A47FD-E278-4395-8AE2-BA64A470135E}"/>
            </a:ext>
          </a:extLst>
        </xdr:cNvPr>
        <xdr:cNvPicPr>
          <a:picLocks noChangeAspect="1"/>
        </xdr:cNvPicPr>
      </xdr:nvPicPr>
      <xdr:blipFill>
        <a:blip xmlns:r="http://schemas.openxmlformats.org/officeDocument/2006/relationships" r:embed="rId2"/>
        <a:stretch>
          <a:fillRect/>
        </a:stretch>
      </xdr:blipFill>
      <xdr:spPr>
        <a:xfrm>
          <a:off x="5257800" y="1600200"/>
          <a:ext cx="5428571" cy="6241248"/>
        </a:xfrm>
        <a:prstGeom prst="rect">
          <a:avLst/>
        </a:prstGeom>
      </xdr:spPr>
    </xdr:pic>
    <xdr:clientData/>
  </xdr:twoCellAnchor>
  <xdr:twoCellAnchor editAs="oneCell">
    <xdr:from>
      <xdr:col>19</xdr:col>
      <xdr:colOff>0</xdr:colOff>
      <xdr:row>9</xdr:row>
      <xdr:rowOff>0</xdr:rowOff>
    </xdr:from>
    <xdr:to>
      <xdr:col>25</xdr:col>
      <xdr:colOff>199543</xdr:colOff>
      <xdr:row>44</xdr:row>
      <xdr:rowOff>161105</xdr:rowOff>
    </xdr:to>
    <xdr:pic>
      <xdr:nvPicPr>
        <xdr:cNvPr id="4" name="图片 3">
          <a:extLst>
            <a:ext uri="{FF2B5EF4-FFF2-40B4-BE49-F238E27FC236}">
              <a16:creationId xmlns:a16="http://schemas.microsoft.com/office/drawing/2014/main" id="{88915733-0050-42E9-AEE5-901CDF577D64}"/>
            </a:ext>
          </a:extLst>
        </xdr:cNvPr>
        <xdr:cNvPicPr>
          <a:picLocks noChangeAspect="1"/>
        </xdr:cNvPicPr>
      </xdr:nvPicPr>
      <xdr:blipFill>
        <a:blip xmlns:r="http://schemas.openxmlformats.org/officeDocument/2006/relationships" r:embed="rId3"/>
        <a:stretch>
          <a:fillRect/>
        </a:stretch>
      </xdr:blipFill>
      <xdr:spPr>
        <a:xfrm>
          <a:off x="11582400" y="1600200"/>
          <a:ext cx="3857143" cy="6384105"/>
        </a:xfrm>
        <a:prstGeom prst="rect">
          <a:avLst/>
        </a:prstGeom>
      </xdr:spPr>
    </xdr:pic>
    <xdr:clientData/>
  </xdr:twoCellAnchor>
  <xdr:twoCellAnchor editAs="oneCell">
    <xdr:from>
      <xdr:col>0</xdr:col>
      <xdr:colOff>0</xdr:colOff>
      <xdr:row>45</xdr:row>
      <xdr:rowOff>53340</xdr:rowOff>
    </xdr:from>
    <xdr:to>
      <xdr:col>15</xdr:col>
      <xdr:colOff>417905</xdr:colOff>
      <xdr:row>75</xdr:row>
      <xdr:rowOff>52654</xdr:rowOff>
    </xdr:to>
    <xdr:pic>
      <xdr:nvPicPr>
        <xdr:cNvPr id="5" name="图片 4">
          <a:extLst>
            <a:ext uri="{FF2B5EF4-FFF2-40B4-BE49-F238E27FC236}">
              <a16:creationId xmlns:a16="http://schemas.microsoft.com/office/drawing/2014/main" id="{705983A0-8E1E-4C55-9EDF-C789BCA11798}"/>
            </a:ext>
          </a:extLst>
        </xdr:cNvPr>
        <xdr:cNvPicPr>
          <a:picLocks noChangeAspect="1"/>
        </xdr:cNvPicPr>
      </xdr:nvPicPr>
      <xdr:blipFill>
        <a:blip xmlns:r="http://schemas.openxmlformats.org/officeDocument/2006/relationships" r:embed="rId4"/>
        <a:stretch>
          <a:fillRect/>
        </a:stretch>
      </xdr:blipFill>
      <xdr:spPr>
        <a:xfrm>
          <a:off x="0" y="8054340"/>
          <a:ext cx="9561905" cy="5333314"/>
        </a:xfrm>
        <a:prstGeom prst="rect">
          <a:avLst/>
        </a:prstGeom>
      </xdr:spPr>
    </xdr:pic>
    <xdr:clientData/>
  </xdr:twoCellAnchor>
  <xdr:twoCellAnchor editAs="oneCell">
    <xdr:from>
      <xdr:col>0</xdr:col>
      <xdr:colOff>0</xdr:colOff>
      <xdr:row>79</xdr:row>
      <xdr:rowOff>0</xdr:rowOff>
    </xdr:from>
    <xdr:to>
      <xdr:col>14</xdr:col>
      <xdr:colOff>189409</xdr:colOff>
      <xdr:row>97</xdr:row>
      <xdr:rowOff>3398</xdr:rowOff>
    </xdr:to>
    <xdr:pic>
      <xdr:nvPicPr>
        <xdr:cNvPr id="6" name="图片 5">
          <a:extLst>
            <a:ext uri="{FF2B5EF4-FFF2-40B4-BE49-F238E27FC236}">
              <a16:creationId xmlns:a16="http://schemas.microsoft.com/office/drawing/2014/main" id="{3CA3EA80-B608-4117-918F-5FB62F33433A}"/>
            </a:ext>
          </a:extLst>
        </xdr:cNvPr>
        <xdr:cNvPicPr>
          <a:picLocks noChangeAspect="1"/>
        </xdr:cNvPicPr>
      </xdr:nvPicPr>
      <xdr:blipFill>
        <a:blip xmlns:r="http://schemas.openxmlformats.org/officeDocument/2006/relationships" r:embed="rId5"/>
        <a:stretch>
          <a:fillRect/>
        </a:stretch>
      </xdr:blipFill>
      <xdr:spPr>
        <a:xfrm>
          <a:off x="0" y="14046200"/>
          <a:ext cx="8723809" cy="3203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5810;&#20215;\2025-1-E000113&#25151;&#23665;&#27494;&#21733;&#21326;&#22799;\2025-1-E000113&#25151;&#23665;&#21306;&#37329;&#27700;&#28286;&#39640;&#26032;&#20135;&#19994;&#22253;&#27979;&#31639;&#34920;-&#26410;&#32473;&#21407;&#20540;-&#19968;&#23457;&#36213;&#38639;.xlsx" TargetMode="External"/><Relationship Id="rId1" Type="http://schemas.openxmlformats.org/officeDocument/2006/relationships/externalLinkPath" Target="file:///E:\2025\&#35810;&#20215;\2025-1-E000113&#25151;&#23665;&#27494;&#21733;&#21326;&#22799;\2025-1-E000113&#25151;&#23665;&#21306;&#37329;&#27700;&#28286;&#39640;&#26032;&#20135;&#19994;&#22253;&#27979;&#31639;&#34920;-&#26410;&#32473;&#21407;&#20540;-&#19968;&#23457;&#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信息"/>
      <sheetName val="租金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160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北京市房山区福通路1号院1号楼-2至10层1-1房地产抵押价值预评估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受贵公司委托，我公司对北京市房山区福通路1号院1号楼-2至10层1-1房地产抵押价值进行了预评估。</v>
      </c>
    </row>
    <row r="7" spans="1:2">
      <c r="A7" s="1119" t="s">
        <v>566</v>
      </c>
      <c r="B7" s="1120" t="str">
        <f>'预评函-1'!A7</f>
        <v>估价对象为北京市房山区福通路1号院1号楼-2至10层1-1房地产，为北京万通新材工贸有限公司所有。根据《国有土地使用证》[]，估价对象（分摊）出让国有建设用地使用权面积为0平方米，建筑面积为8725.98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福通路1号院1号楼-2至10层1-1房地产,属北京万通新材工贸有限公司开发建设的，该项目尚在开发建设中。根据《国有土地使用证》[]，估价对象（分摊）出让国有建设用地使用权面积为0平方米，规划建筑面积为8725.98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福通路1号院1号楼-2至10层1-1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2025年12月2日</v>
      </c>
    </row>
    <row r="13" spans="1:2">
      <c r="A13" s="1119" t="s">
        <v>529</v>
      </c>
      <c r="B13" s="1120"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5522</v>
      </c>
    </row>
    <row r="21" spans="1:2">
      <c r="A21" s="1119" t="s">
        <v>537</v>
      </c>
      <c r="B21" s="1120">
        <f ca="1">'预评函-2'!D7</f>
        <v>6328</v>
      </c>
    </row>
    <row r="22" spans="1:2">
      <c r="A22" s="1119" t="s">
        <v>538</v>
      </c>
      <c r="B22" s="1120" t="str">
        <f ca="1">'预评函-2'!D6</f>
        <v>伍仟伍佰贰拾贰万元整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5522</v>
      </c>
    </row>
    <row r="31" spans="1:2">
      <c r="A31" s="1119" t="s">
        <v>576</v>
      </c>
      <c r="B31" s="1120">
        <f ca="1">'预评函-2'!D15</f>
        <v>6328</v>
      </c>
    </row>
    <row r="32" spans="1:2">
      <c r="A32" s="1119" t="s">
        <v>543</v>
      </c>
      <c r="B32" s="1120" t="str">
        <f ca="1">'预评函-2'!D14</f>
        <v>伍仟伍佰贰拾贰万元整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北京市房山区福通路1号院1号楼-2至10层1-1房地产</v>
      </c>
    </row>
    <row r="42" spans="1:2" ht="30">
      <c r="A42" s="1119" t="s">
        <v>590</v>
      </c>
      <c r="B42" s="1120" t="str">
        <f>'预评函-3'!B2</f>
        <v>建筑面积</v>
      </c>
    </row>
    <row r="43" spans="1:2">
      <c r="A43" s="1119" t="s">
        <v>591</v>
      </c>
      <c r="B43" s="1120">
        <f>'预评函-3'!B4</f>
        <v>8725.98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福通路1号院1号楼-2至10层1-1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2" t="s">
        <v>2580</v>
      </c>
      <c r="J2" s="3212"/>
      <c r="K2" s="3212"/>
      <c r="L2" s="3212"/>
      <c r="M2" s="3212"/>
      <c r="N2" s="3212"/>
      <c r="O2" s="3212"/>
      <c r="P2" s="3212"/>
      <c r="Q2" s="3212"/>
      <c r="R2" s="3212"/>
    </row>
    <row r="3" spans="1:18">
      <c r="A3" s="2761" t="s">
        <v>2501</v>
      </c>
      <c r="B3" s="2762">
        <f>项目基本情况!D3</f>
        <v>45993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1.04</v>
      </c>
      <c r="D5" s="2766">
        <f>IF(ISERROR(ROUND(POWER(1+E5,A5-C5)*(POWER(1+E5,C5)-1)/(POWER(1+E5,A5)-1),3)),0,ROUND(POWER(1+E5,A5-C5)*(POWER(1+E5,C5)-1)/(POWER(1+E5,A5)-1),4))</f>
        <v>5.0500000000000003E-2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11.05</v>
      </c>
      <c r="D6" s="2766">
        <f>IF(ISERROR(ROUND(POWER(1+E6,A6-C6)*(POWER(1+E6,C6)-1)/(POWER(1+E6,A6)-1),3)),0,ROUND(POWER(1+E6,A6-C6)*(POWER(1+E6,C6)-1)/(POWER(1+E6,A6)-1),4))</f>
        <v>0.4093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31.06</v>
      </c>
      <c r="D7" s="2766">
        <f>IF(ISERROR(ROUND(POWER(1+E7,A7-C7)*(POWER(1+E7,C7)-1)/(POWER(1+E7,A7)-1),3)),0,ROUND(POWER(1+E7,A7-C7)*(POWER(1+E7,C7)-1)/(POWER(1+E7,A7)-1),4))</f>
        <v>0.75260000000000005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22" sqref="J2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北京市房山区福通路1号院1号楼-2至10层1-1房地产抵押价值预评估</v>
      </c>
      <c r="C1" s="3221"/>
      <c r="D1" s="3221"/>
      <c r="E1" s="3221"/>
      <c r="F1" s="3221"/>
      <c r="G1" s="3221"/>
      <c r="H1" s="3221"/>
      <c r="I1" s="322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北京市房山区福通路1号院1号楼-2至10层1-1房地产抵押价值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北京市房山区福通路1号院1号楼-2至10层1-1房地产</v>
      </c>
      <c r="T2" s="1618"/>
      <c r="U2" s="1618"/>
      <c r="V2" s="1618"/>
      <c r="W2" s="1618"/>
      <c r="X2" s="1618"/>
      <c r="Y2" s="1618"/>
      <c r="Z2" s="1618"/>
      <c r="AA2" s="1618"/>
      <c r="AB2" s="1618"/>
    </row>
    <row r="3" spans="1:30" ht="13">
      <c r="A3" s="294" t="s">
        <v>2170</v>
      </c>
      <c r="B3" s="2185"/>
      <c r="C3" s="2186" t="s">
        <v>2171</v>
      </c>
      <c r="D3" s="2185">
        <v>45993</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3"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4"/>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3457</v>
      </c>
      <c r="G10" s="2443"/>
      <c r="H10" s="2444"/>
      <c r="I10" s="2445"/>
      <c r="J10" s="2244"/>
      <c r="K10" s="2401"/>
      <c r="L10" s="2398"/>
      <c r="M10" s="2398"/>
      <c r="N10" s="2244"/>
      <c r="O10" s="1670"/>
      <c r="P10" s="2244"/>
      <c r="Q10" s="2244"/>
      <c r="R10" s="2244"/>
    </row>
    <row r="11" spans="1:30" ht="39">
      <c r="A11" s="2212" t="s">
        <v>2181</v>
      </c>
      <c r="B11" s="2213" t="s">
        <v>3421</v>
      </c>
      <c r="C11" s="3168" t="s">
        <v>3420</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c r="F13" s="803"/>
      <c r="G13" s="803"/>
      <c r="H13" s="803">
        <v>59840</v>
      </c>
      <c r="I13" s="803">
        <f>H13</f>
        <v>59840</v>
      </c>
      <c r="J13" s="2801"/>
      <c r="K13" s="2398"/>
      <c r="L13" s="2398"/>
      <c r="M13" s="2244"/>
      <c r="N13" s="1670"/>
      <c r="O13" s="2244"/>
      <c r="P13" s="2244"/>
      <c r="Q13" s="2244"/>
      <c r="AD13" s="1618"/>
    </row>
    <row r="14" spans="1:30" ht="13">
      <c r="A14" s="1018"/>
      <c r="B14" s="2217" t="s">
        <v>2191</v>
      </c>
      <c r="C14" s="2218"/>
      <c r="D14" s="2218"/>
      <c r="E14" s="2218"/>
      <c r="F14" s="2218"/>
      <c r="G14" s="2218"/>
      <c r="H14" s="2218">
        <v>50</v>
      </c>
      <c r="I14" s="2218">
        <v>50</v>
      </c>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37.93</v>
      </c>
      <c r="I15" s="2220">
        <f>IF(A13="出让",IF(I13="","",ROUNDDOWN(MIN((I13-$D$3)/365,I14),2)),I14)</f>
        <v>37.93</v>
      </c>
      <c r="J15" s="2803"/>
      <c r="K15" s="1670"/>
      <c r="L15" s="1670"/>
      <c r="M15" s="2244"/>
      <c r="N15" s="1670"/>
      <c r="O15" s="2244"/>
      <c r="P15" s="2244"/>
      <c r="Q15" s="2244"/>
      <c r="AD15" s="1618"/>
    </row>
    <row r="16" spans="1:30" ht="13">
      <c r="A16" s="2211" t="s">
        <v>2193</v>
      </c>
      <c r="B16" s="3230"/>
      <c r="C16" s="3231"/>
      <c r="D16" s="3232"/>
      <c r="E16" s="2221" t="s">
        <v>2194</v>
      </c>
      <c r="F16" s="3233"/>
      <c r="G16" s="3234"/>
      <c r="H16" s="3234"/>
      <c r="I16" s="3235"/>
      <c r="J16" s="2244"/>
      <c r="K16" s="2402"/>
      <c r="L16" s="1670"/>
      <c r="M16" s="1670"/>
      <c r="N16" s="2244"/>
      <c r="O16" s="1670"/>
      <c r="P16" s="2244"/>
      <c r="Q16" s="2244"/>
      <c r="R16" s="2244"/>
    </row>
    <row r="17" spans="1:28" ht="13">
      <c r="A17" s="305" t="s">
        <v>2195</v>
      </c>
      <c r="B17" s="294" t="s">
        <v>2196</v>
      </c>
      <c r="C17" s="8">
        <f>'数据-汇总表'!E3</f>
        <v>8725.98</v>
      </c>
      <c r="D17" s="1256" t="s">
        <v>2197</v>
      </c>
      <c r="E17" s="3236" t="s">
        <v>2198</v>
      </c>
      <c r="F17" s="3237"/>
      <c r="G17" s="3237"/>
      <c r="H17" s="3237"/>
      <c r="I17" s="3238"/>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9" t="s">
        <v>2202</v>
      </c>
      <c r="F18" s="3240"/>
      <c r="G18" s="3240"/>
      <c r="H18" s="3240"/>
      <c r="I18" s="3241"/>
      <c r="J18" s="2244"/>
      <c r="K18" s="2403"/>
      <c r="L18" s="1670"/>
      <c r="M18" s="1670"/>
      <c r="N18" s="2244"/>
      <c r="O18" s="1670"/>
      <c r="P18" s="2244"/>
      <c r="Q18" s="2244"/>
      <c r="R18" s="2244"/>
      <c r="S18" s="2244"/>
      <c r="T18" s="2244"/>
      <c r="U18" s="2244"/>
      <c r="V18" s="2244"/>
    </row>
    <row r="19" spans="1:28" ht="40"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6" t="s">
        <v>2206</v>
      </c>
      <c r="C20" s="3227"/>
      <c r="D20" s="3228" t="s">
        <v>2207</v>
      </c>
      <c r="E20" s="3229"/>
      <c r="F20" s="2429" t="s">
        <v>1056</v>
      </c>
      <c r="G20" s="2441"/>
      <c r="H20" s="2441"/>
      <c r="I20" s="2441"/>
      <c r="J20" s="2244"/>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5"/>
      <c r="B30" s="294" t="s">
        <v>2218</v>
      </c>
      <c r="C30" s="3216"/>
      <c r="D30" s="3217"/>
      <c r="E30" s="2441"/>
      <c r="F30" s="2441"/>
      <c r="G30" s="2441"/>
      <c r="H30" s="2441"/>
      <c r="I30" s="2441"/>
      <c r="J30" s="2244"/>
      <c r="K30" s="2401"/>
      <c r="L30" s="2398"/>
      <c r="M30" s="2398"/>
      <c r="N30" s="2244"/>
      <c r="O30" s="1670"/>
      <c r="P30" s="2244"/>
      <c r="Q30" s="2244"/>
      <c r="R30" s="2244"/>
      <c r="S30" s="2244"/>
      <c r="T30" s="2244"/>
      <c r="U30" s="2244"/>
      <c r="V30" s="2244"/>
    </row>
    <row r="31" spans="1:28">
      <c r="A31" s="321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4"/>
      <c r="V34" s="2244"/>
    </row>
    <row r="35" spans="1:30">
      <c r="A35" s="2235"/>
      <c r="B35" s="3213" t="s">
        <v>2229</v>
      </c>
      <c r="C35" s="3213"/>
      <c r="D35" s="3213"/>
      <c r="E35" s="321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t="s">
        <v>306</v>
      </c>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t="s">
        <v>3422</v>
      </c>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8725.98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8725.98</v>
      </c>
      <c r="H5" s="13">
        <f t="shared" ref="H5:AT5" si="0">SUM(H13:H656)</f>
        <v>8725.98</v>
      </c>
      <c r="I5" s="13">
        <f t="shared" si="0"/>
        <v>7271.65</v>
      </c>
      <c r="J5" s="13">
        <f t="shared" si="0"/>
        <v>0</v>
      </c>
      <c r="K5" s="13">
        <f t="shared" si="0"/>
        <v>1454.33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8725.98</v>
      </c>
      <c r="BA5" s="15">
        <f t="shared" si="1"/>
        <v>8725.98</v>
      </c>
      <c r="BB5" s="15">
        <f t="shared" si="1"/>
        <v>7271.65</v>
      </c>
      <c r="BC5" s="15">
        <f t="shared" si="1"/>
        <v>1454.33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t="s">
        <v>3424</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3425</v>
      </c>
      <c r="E13" s="13">
        <f>IF($C$3="是",ROUND($A$3*G13/$B$3,2),ROUND($A$3*(G13-AT13)/$B$3,2))</f>
        <v>0</v>
      </c>
      <c r="F13" s="29"/>
      <c r="G13" s="30">
        <f>H13+AC13+AT13</f>
        <v>8725.98</v>
      </c>
      <c r="H13" s="17">
        <f>SUMIF(I$12:AB$12,"总值",I13:AB13)</f>
        <v>8725.98</v>
      </c>
      <c r="I13" s="1514">
        <f>Sheet2!E3</f>
        <v>7271.65</v>
      </c>
      <c r="J13" s="1514"/>
      <c r="K13" s="1514">
        <f>Sheet2!E4</f>
        <v>1454.33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8725.98</v>
      </c>
      <c r="BA13" s="13">
        <f>SUM(BB13:BK13)</f>
        <v>8725.98</v>
      </c>
      <c r="BB13" s="13">
        <f>IF($D13="是",I13-J13,0)</f>
        <v>7271.65</v>
      </c>
      <c r="BC13" s="13">
        <f>IF($D13="是",K13-L13,0)</f>
        <v>1454.33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1" t="s">
        <v>1131</v>
      </c>
      <c r="B2" s="3251"/>
      <c r="C2" s="3251"/>
      <c r="D2" s="748" t="s">
        <v>1107</v>
      </c>
      <c r="E2" s="1523" t="s">
        <v>1108</v>
      </c>
      <c r="F2" s="2438"/>
      <c r="G2" s="2431"/>
      <c r="H2" s="2432"/>
      <c r="I2" s="2146" t="s">
        <v>1132</v>
      </c>
      <c r="J2" s="2438"/>
      <c r="K2" s="2438"/>
      <c r="L2" s="2438"/>
      <c r="M2" s="2438"/>
      <c r="N2" s="2439"/>
      <c r="O2" s="2438"/>
      <c r="P2" s="2438"/>
    </row>
    <row r="3" spans="1:16" ht="14.5" thickBot="1">
      <c r="A3" s="3252" t="s">
        <v>1105</v>
      </c>
      <c r="B3" s="3252"/>
      <c r="C3" s="3252"/>
      <c r="D3" s="41">
        <f>'数据-基础表'!AY6</f>
        <v>0</v>
      </c>
      <c r="E3" s="41">
        <f>'数据-基础表'!AZ5</f>
        <v>8725.98</v>
      </c>
      <c r="F3" s="2438"/>
      <c r="G3" s="42"/>
      <c r="H3" s="43" t="s">
        <v>1106</v>
      </c>
      <c r="I3" s="802" t="e">
        <f>ROUND('数据-基础表'!B3/'数据-基础表'!A3,2)</f>
        <v>#DIV/0!</v>
      </c>
      <c r="J3" s="2438"/>
      <c r="K3" s="2438"/>
      <c r="L3" s="2438"/>
      <c r="M3" s="2438"/>
      <c r="N3" s="2439"/>
      <c r="O3" s="2438"/>
      <c r="P3" s="2438"/>
    </row>
    <row r="4" spans="1:16">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6" t="s">
        <v>1110</v>
      </c>
      <c r="C5" s="325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6" t="s">
        <v>1111</v>
      </c>
      <c r="C6" s="3256"/>
      <c r="D6" s="43">
        <f>ROUND($D$3*E6/$E$3,2)</f>
        <v>0</v>
      </c>
      <c r="E6" s="44">
        <f>E3-E5</f>
        <v>8725.98</v>
      </c>
      <c r="F6" s="2438"/>
      <c r="G6" s="1529" t="s">
        <v>1112</v>
      </c>
      <c r="H6" s="45" t="s">
        <v>1113</v>
      </c>
      <c r="I6" s="2434" t="e">
        <f>ROUND(F31/D31,2)</f>
        <v>#DIV/0!</v>
      </c>
      <c r="J6" s="2438"/>
      <c r="K6" s="2438"/>
      <c r="L6" s="2438"/>
      <c r="M6" s="2438"/>
      <c r="N6" s="2438"/>
      <c r="O6" s="2438"/>
      <c r="P6" s="2438"/>
    </row>
    <row r="7" spans="1:16" ht="14.5" thickBot="1">
      <c r="A7" s="3248"/>
      <c r="B7" s="3249"/>
      <c r="C7" s="3250"/>
      <c r="D7" s="1524" t="s">
        <v>1107</v>
      </c>
      <c r="E7" s="1528" t="s">
        <v>1114</v>
      </c>
      <c r="F7" s="2438"/>
      <c r="G7" s="2435" t="s">
        <v>1115</v>
      </c>
      <c r="H7" s="95"/>
      <c r="I7" s="2436">
        <v>3.14</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7271.65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7271.65</v>
      </c>
      <c r="F16" s="2438"/>
      <c r="G16" s="2438"/>
      <c r="H16" s="1531" t="s">
        <v>1135</v>
      </c>
      <c r="I16" s="1532"/>
      <c r="J16" s="1071"/>
      <c r="K16" s="3245" t="s">
        <v>1135</v>
      </c>
      <c r="L16" s="3246"/>
      <c r="M16" s="3246"/>
      <c r="N16" s="3246"/>
      <c r="O16" s="3246"/>
      <c r="P16" s="3247"/>
    </row>
    <row r="17" spans="1:19">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3426</v>
      </c>
      <c r="D19" s="43">
        <f>ROUND($D$3*E19/$E$3,2)</f>
        <v>0</v>
      </c>
      <c r="E19" s="51">
        <f t="shared" ref="E19:E26" si="1">SUM(F19:G19)</f>
        <v>8725.98</v>
      </c>
      <c r="F19" s="2556">
        <f>'数据-基础表'!I13</f>
        <v>7271.65</v>
      </c>
      <c r="G19" s="1243">
        <f>'数据-基础表'!K13</f>
        <v>1454.33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8725.98</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8725.98</v>
      </c>
      <c r="F27" s="1072">
        <f>IF(SUM(F19:F26)=E8,SUM(F19:F26),"地上面积有误")</f>
        <v>7271.65</v>
      </c>
      <c r="G27" s="1074">
        <f>SUM(G19:G26)</f>
        <v>1454.33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8725.98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8725.98</v>
      </c>
      <c r="F31" s="644">
        <f>F27+F30</f>
        <v>7271.65</v>
      </c>
      <c r="G31" s="645">
        <f>G27+G30</f>
        <v>1454.33</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科教</v>
      </c>
      <c r="B6" s="1587" t="str">
        <f>IF(A6=0,"","经营性")</f>
        <v>经营性</v>
      </c>
      <c r="C6" s="1588" t="s">
        <v>3403</v>
      </c>
      <c r="D6" s="805">
        <f>SUMIF(项目基本情况!C$12:I$12,C6,项目基本情况!C$14:I$14)</f>
        <v>50</v>
      </c>
      <c r="E6" s="804">
        <f>IF(B6="","",SUMIF(项目基本情况!C$12:I$12,C6,项目基本情况!C$13:I$13))</f>
        <v>59840</v>
      </c>
      <c r="F6" s="61">
        <f>SUMIF(项目基本情况!C$12:I$12,C6,项目基本情况!C$15:I$15)</f>
        <v>37.93</v>
      </c>
      <c r="G6" s="62">
        <f>IF(ISERROR(ROUND(POWER(1+H6,D6-F6)*(POWER(1+H6,F6)-1)/(POWER(1+H6,D6)-1),3)),0,ROUND(POWER(1+H6,D6-F6)*(POWER(1+H6,F6)-1)/(POWER(1+H6,D6)-1),3))</f>
        <v>0.92300000000000004</v>
      </c>
      <c r="H6" s="691">
        <v>0.05</v>
      </c>
      <c r="I6" s="691">
        <v>5.5E-2</v>
      </c>
      <c r="J6" s="63">
        <v>7.0000000000000007E-2</v>
      </c>
      <c r="K6" s="970">
        <f>SUMIF('数据-汇总表'!C$19:C$33,A6,'数据-汇总表'!E$19:E$33)</f>
        <v>8725.98</v>
      </c>
      <c r="L6" s="692">
        <v>4000</v>
      </c>
      <c r="M6" s="64">
        <f t="shared" ref="M6:M14" si="0">ROUND(K6*L6/10000,0)</f>
        <v>3490</v>
      </c>
      <c r="N6" s="690">
        <v>0.83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v>
      </c>
      <c r="V6" s="67">
        <v>0.02</v>
      </c>
      <c r="W6" s="67">
        <v>0.1</v>
      </c>
      <c r="X6" s="979"/>
      <c r="Y6" s="68">
        <f>N6</f>
        <v>0.83</v>
      </c>
      <c r="Z6" s="69"/>
      <c r="AA6" s="63"/>
      <c r="AB6" s="63"/>
      <c r="AC6" s="979"/>
      <c r="AD6" s="70"/>
      <c r="AE6" s="980">
        <f ca="1">IF(AN6="",0,SUMIF(INDIRECT("'"&amp;AN6&amp;"'"&amp;"!E:E"),$AE$5,INDIRECT("'"&amp;AN6&amp;"'"&amp;"!F:F")))</f>
        <v>37.93</v>
      </c>
      <c r="AF6" s="74"/>
      <c r="AG6" s="130">
        <f>IF(AF6="",0,AE6-AF6)</f>
        <v>0</v>
      </c>
      <c r="AH6" s="71"/>
      <c r="AI6" s="73">
        <v>365</v>
      </c>
      <c r="AJ6" s="74"/>
      <c r="AK6" s="75">
        <v>3.0000000000000001E-3</v>
      </c>
      <c r="AL6" s="76">
        <v>1E-3</v>
      </c>
      <c r="AM6" s="77">
        <v>5.0000000000000001E-3</v>
      </c>
      <c r="AN6" s="1589" t="s">
        <v>3428</v>
      </c>
      <c r="AO6" s="50">
        <f ca="1">SUMIF(INDIRECT("'"&amp;AN6&amp;"'"&amp;"!A:A"),"总价",INDIRECT("'"&amp;AN6&amp;"'"&amp;"!B:B"))</f>
        <v>4643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0.92300000000000004</v>
      </c>
      <c r="H16" s="84">
        <f>ROUND(SUMPRODUCT(H6:H13,K6:K13)/SUMPRODUCT((H6:H13&gt;0)*(K6:K13)),3)</f>
        <v>0.05</v>
      </c>
      <c r="I16" s="85"/>
      <c r="J16" s="85"/>
      <c r="K16" s="86">
        <f>SUM(K6:K15)</f>
        <v>8725.98</v>
      </c>
      <c r="L16" s="87">
        <f>ROUND(M16*10000/SUM(K6:K14),0)</f>
        <v>4000</v>
      </c>
      <c r="M16" s="87">
        <f>SUM(M6:M14)</f>
        <v>3490</v>
      </c>
      <c r="N16" s="88">
        <f>ROUND(SUMPRODUCT(M6:M14,N6:N14)/M16,3)</f>
        <v>0.83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150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190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f>[2]成本法!C8</f>
        <v>160</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7" t="s">
        <v>2286</v>
      </c>
      <c r="B1" s="3258"/>
      <c r="C1" s="3258"/>
      <c r="D1" s="3258"/>
      <c r="E1" s="3258"/>
      <c r="F1" s="3258"/>
      <c r="G1" s="325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7" sqref="F7"/>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8725.98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45993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5522</v>
      </c>
      <c r="C5" s="2299">
        <f ca="1">IF(B5=D14,结果表!H102,ROUND(B5*10000/$B$1,0))</f>
        <v>6328</v>
      </c>
      <c r="D5" s="2299" t="e">
        <f ca="1">ROUND(B5*10000/$B$2,0)</f>
        <v>#DIV/0!</v>
      </c>
      <c r="E5" s="2460"/>
      <c r="F5" s="2461"/>
      <c r="G5" s="2461"/>
      <c r="H5" s="2461"/>
      <c r="I5" s="2461"/>
      <c r="J5" s="2461"/>
      <c r="K5" s="2461"/>
    </row>
    <row r="6" spans="1:11" ht="16.5">
      <c r="A6" s="2299" t="s">
        <v>656</v>
      </c>
      <c r="B6" s="2299">
        <f ca="1">SUM(G14:G23)</f>
        <v>5522</v>
      </c>
      <c r="C6" s="2299">
        <f ca="1">IF(B6=G14,结果表!H108,ROUND(B6*10000/$B$1,0))</f>
        <v>6328</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8725.98</v>
      </c>
      <c r="C14" s="2305"/>
      <c r="D14" s="2305">
        <f ca="1">结果表!H118</f>
        <v>5522</v>
      </c>
      <c r="E14" s="2305">
        <f ca="1">ROUND(D14*10000/B14,0)</f>
        <v>6328</v>
      </c>
      <c r="F14" s="2305" t="e">
        <f ca="1">ROUND(D14*10000/C14,0)</f>
        <v>#DIV/0!</v>
      </c>
      <c r="G14" s="2305">
        <f ca="1">D14</f>
        <v>5522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3436</v>
      </c>
      <c r="D1" s="646"/>
      <c r="E1" s="646"/>
      <c r="F1" s="1621" t="s">
        <v>1263</v>
      </c>
      <c r="G1" s="1453"/>
      <c r="H1" s="1621" t="str">
        <f>IF(G1="现房","——","估价对象范围")</f>
        <v>估价对象范围</v>
      </c>
      <c r="I1" s="1622"/>
    </row>
    <row r="2" spans="1:12" ht="21.75" customHeight="1" thickBot="1">
      <c r="A2" s="3293" t="str">
        <f>项目基本情况!S2</f>
        <v>北京市房山区福通路1号院1号楼-2至10层1-1房地产</v>
      </c>
      <c r="B2" s="3294"/>
      <c r="C2" s="3294"/>
      <c r="D2" s="3294"/>
      <c r="E2" s="3294"/>
      <c r="F2" s="3294"/>
      <c r="G2" s="3294"/>
      <c r="H2" s="3294"/>
      <c r="I2" s="3295"/>
    </row>
    <row r="3" spans="1:12" ht="13">
      <c r="A3" s="3297" t="s">
        <v>1264</v>
      </c>
      <c r="B3" s="3298"/>
      <c r="C3" s="3298"/>
      <c r="D3" s="3298"/>
      <c r="E3" s="3298"/>
      <c r="F3" s="3298"/>
      <c r="G3" s="3298"/>
      <c r="H3" s="3298"/>
      <c r="I3" s="3298"/>
    </row>
    <row r="4" spans="1:12" ht="14">
      <c r="A4" s="1624" t="s">
        <v>1265</v>
      </c>
      <c r="B4" s="1625" t="s">
        <v>1266</v>
      </c>
      <c r="C4" s="1626" t="s">
        <v>3444</v>
      </c>
      <c r="D4" s="1626" t="s">
        <v>3428</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3" t="s">
        <v>1268</v>
      </c>
      <c r="B5" s="3260">
        <v>25</v>
      </c>
      <c r="C5" s="3276"/>
      <c r="D5" s="3296"/>
      <c r="E5" s="123" t="s">
        <v>1269</v>
      </c>
      <c r="F5" s="1627"/>
      <c r="G5" s="1627"/>
      <c r="H5" s="1627"/>
      <c r="I5" s="1281"/>
    </row>
    <row r="6" spans="1:12" ht="13">
      <c r="A6" s="3273"/>
      <c r="B6" s="3260"/>
      <c r="C6" s="3277"/>
      <c r="D6" s="3296"/>
      <c r="E6" s="123" t="s">
        <v>1270</v>
      </c>
      <c r="F6" s="1627"/>
      <c r="G6" s="1627"/>
      <c r="H6" s="1627"/>
      <c r="I6" s="1281"/>
    </row>
    <row r="7" spans="1:12" ht="13">
      <c r="A7" s="3273"/>
      <c r="B7" s="3260"/>
      <c r="C7" s="3278"/>
      <c r="D7" s="3296"/>
      <c r="E7" s="123" t="s">
        <v>1271</v>
      </c>
      <c r="F7" s="1627"/>
      <c r="G7" s="1627"/>
      <c r="H7" s="1627"/>
      <c r="I7" s="1281"/>
    </row>
    <row r="8" spans="1:12" ht="13">
      <c r="A8" s="3273" t="s">
        <v>1272</v>
      </c>
      <c r="B8" s="3260">
        <v>15</v>
      </c>
      <c r="C8" s="3276"/>
      <c r="D8" s="3296"/>
      <c r="E8" s="123" t="s">
        <v>1273</v>
      </c>
      <c r="F8" s="1627"/>
      <c r="G8" s="1627"/>
      <c r="H8" s="1627"/>
      <c r="I8" s="1281"/>
    </row>
    <row r="9" spans="1:12" ht="13">
      <c r="A9" s="3273"/>
      <c r="B9" s="3260"/>
      <c r="C9" s="3278"/>
      <c r="D9" s="3296"/>
      <c r="E9" s="123" t="s">
        <v>1274</v>
      </c>
      <c r="F9" s="1627"/>
      <c r="G9" s="1627"/>
      <c r="H9" s="1627"/>
      <c r="I9" s="1281"/>
    </row>
    <row r="10" spans="1:12" ht="13">
      <c r="A10" s="3273" t="s">
        <v>1275</v>
      </c>
      <c r="B10" s="3260">
        <v>15</v>
      </c>
      <c r="C10" s="3276"/>
      <c r="D10" s="3296"/>
      <c r="E10" s="123" t="s">
        <v>1276</v>
      </c>
      <c r="F10" s="1627"/>
      <c r="G10" s="1627"/>
      <c r="H10" s="1627"/>
      <c r="I10" s="1281"/>
    </row>
    <row r="11" spans="1:12" ht="13">
      <c r="A11" s="3273"/>
      <c r="B11" s="3260"/>
      <c r="C11" s="3278"/>
      <c r="D11" s="3296"/>
      <c r="E11" s="123" t="s">
        <v>1277</v>
      </c>
      <c r="F11" s="1627"/>
      <c r="G11" s="1627"/>
      <c r="H11" s="1627"/>
      <c r="I11" s="1281"/>
    </row>
    <row r="12" spans="1:12" ht="13">
      <c r="A12" s="3273" t="s">
        <v>1278</v>
      </c>
      <c r="B12" s="3260">
        <v>15</v>
      </c>
      <c r="C12" s="3276"/>
      <c r="D12" s="3296"/>
      <c r="E12" s="123" t="s">
        <v>1279</v>
      </c>
      <c r="F12" s="1627"/>
      <c r="G12" s="1627"/>
      <c r="H12" s="1627"/>
      <c r="I12" s="1281"/>
    </row>
    <row r="13" spans="1:12" ht="13">
      <c r="A13" s="3273"/>
      <c r="B13" s="3260"/>
      <c r="C13" s="3278"/>
      <c r="D13" s="3296"/>
      <c r="E13" s="123" t="s">
        <v>1280</v>
      </c>
      <c r="F13" s="1627"/>
      <c r="G13" s="1627"/>
      <c r="H13" s="1627"/>
      <c r="I13" s="1281"/>
    </row>
    <row r="14" spans="1:12" ht="13">
      <c r="A14" s="3273" t="s">
        <v>1281</v>
      </c>
      <c r="B14" s="3260">
        <v>30</v>
      </c>
      <c r="C14" s="3276">
        <v>6</v>
      </c>
      <c r="D14" s="3296">
        <v>4</v>
      </c>
      <c r="E14" s="123" t="s">
        <v>1282</v>
      </c>
      <c r="F14" s="1627"/>
      <c r="G14" s="1627"/>
      <c r="H14" s="1627"/>
      <c r="I14" s="1281"/>
    </row>
    <row r="15" spans="1:12" ht="13">
      <c r="A15" s="3273"/>
      <c r="B15" s="3260"/>
      <c r="C15" s="3277"/>
      <c r="D15" s="3296"/>
      <c r="E15" s="123" t="s">
        <v>1283</v>
      </c>
      <c r="F15" s="1627"/>
      <c r="G15" s="1627"/>
      <c r="H15" s="1627"/>
      <c r="I15" s="1281"/>
    </row>
    <row r="16" spans="1:12" ht="13">
      <c r="A16" s="3273"/>
      <c r="B16" s="3260"/>
      <c r="C16" s="3278"/>
      <c r="D16" s="3296"/>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3" t="s">
        <v>2131</v>
      </c>
      <c r="F18" s="3284"/>
      <c r="G18" s="3284"/>
      <c r="H18" s="3284"/>
      <c r="I18" s="3284"/>
      <c r="K18" s="294" t="s">
        <v>1289</v>
      </c>
      <c r="L18" s="294">
        <f>IF(C1="",'数据-汇总表'!E3,SUMIF(项目类型,C1,'数据-汇总表'!E17:E26)+SUMIF(项目类型,C1,'数据-汇总表'!I17:I26))</f>
        <v>8725.98</v>
      </c>
      <c r="M18" s="294">
        <f>IF(C1="",'数据-汇总表'!E3,SUMIF(项目类型,C1,'数据-汇总表'!E17:E26))</f>
        <v>8725.98</v>
      </c>
    </row>
    <row r="19" spans="1:36" ht="14">
      <c r="A19" s="1630" t="s">
        <v>1290</v>
      </c>
      <c r="B19" s="1631" t="s">
        <v>1291</v>
      </c>
      <c r="C19" s="126">
        <f ca="1">SUMIF(INDIRECT("'"&amp;C4&amp;"'"&amp;"!A:A"),结果表!B19,INDIRECT("'"&amp;C4&amp;"'"&amp;"!B:B"))</f>
        <v>6107</v>
      </c>
      <c r="D19" s="127">
        <f ca="1">SUMIF(INDIRECT("'"&amp;D4&amp;"'"&amp;"!A:A"),结果表!B19,INDIRECT("'"&amp;D4&amp;"'"&amp;"!B:B"))</f>
        <v>4643</v>
      </c>
      <c r="E19" s="1630" t="s">
        <v>1292</v>
      </c>
      <c r="F19" s="1631" t="s">
        <v>1291</v>
      </c>
      <c r="G19" s="128">
        <f ca="1">ROUND(C19*$C$18+D19*$D$18,0)</f>
        <v>5521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6999</v>
      </c>
      <c r="D20" s="130">
        <f ca="1">SUMIF(INDIRECT("'"&amp;D4&amp;"'"&amp;"!A:A"),结果表!B20,INDIRECT("'"&amp;D4&amp;"'"&amp;"!B:B"))</f>
        <v>5321</v>
      </c>
      <c r="E20" s="1633"/>
      <c r="F20" s="43" t="s">
        <v>1295</v>
      </c>
      <c r="G20" s="131">
        <f ca="1">ROUND(C20*$C$18+D20*$D$18,0)</f>
        <v>6328</v>
      </c>
      <c r="H20" s="760" t="s">
        <v>1296</v>
      </c>
      <c r="I20" s="121">
        <v>6700</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0.31531337497307765</v>
      </c>
      <c r="E22" s="121"/>
      <c r="F22" s="121"/>
      <c r="G22" s="121"/>
      <c r="H22" s="121"/>
      <c r="I22" s="121"/>
    </row>
    <row r="23" spans="1:36" ht="13" thickBot="1">
      <c r="A23" s="646"/>
      <c r="B23" s="646"/>
      <c r="C23" s="646"/>
      <c r="D23" s="646"/>
      <c r="E23" s="121"/>
      <c r="F23" s="121"/>
      <c r="G23" s="121"/>
      <c r="H23" s="121"/>
      <c r="I23" s="121"/>
    </row>
    <row r="24" spans="1:36" ht="14">
      <c r="A24" s="3267" t="s">
        <v>1299</v>
      </c>
      <c r="B24" s="1631" t="s">
        <v>1291</v>
      </c>
      <c r="C24" s="128">
        <f>IF(B30=0,0,D30)</f>
        <v>0</v>
      </c>
      <c r="D24" s="1637"/>
      <c r="E24" s="121"/>
      <c r="F24" s="121"/>
      <c r="G24" s="121"/>
      <c r="H24" s="121">
        <f>5500*10000/B118</f>
        <v>6303.0169677216772</v>
      </c>
      <c r="I24" s="121"/>
    </row>
    <row r="25" spans="1:36" ht="1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6328</v>
      </c>
      <c r="D32" s="1641" t="s">
        <v>3458</v>
      </c>
      <c r="E32" s="121"/>
      <c r="F32" s="121"/>
      <c r="G32" s="121"/>
      <c r="H32" s="121"/>
      <c r="I32" s="121"/>
    </row>
    <row r="33" spans="1:15" ht="14">
      <c r="A33" s="740" t="s">
        <v>1306</v>
      </c>
      <c r="B33" s="123"/>
      <c r="C33" s="1642" t="s">
        <v>3459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7" t="s">
        <v>1312</v>
      </c>
      <c r="B36" s="1652" t="s">
        <v>1313</v>
      </c>
      <c r="C36" s="137"/>
      <c r="D36" s="1653"/>
      <c r="E36" s="1567"/>
      <c r="F36" s="1654"/>
      <c r="G36" s="121"/>
      <c r="H36" s="121"/>
      <c r="I36" s="121"/>
    </row>
    <row r="37" spans="1:15" ht="14.5" thickBot="1">
      <c r="A37" s="3288"/>
      <c r="B37" s="1555" t="s">
        <v>1314</v>
      </c>
      <c r="C37" s="139"/>
      <c r="D37" s="1071"/>
      <c r="E37" s="1071"/>
      <c r="F37" s="1654"/>
      <c r="G37" s="121"/>
      <c r="H37" s="121"/>
      <c r="I37" s="121"/>
    </row>
    <row r="38" spans="1:15" ht="14.5" thickBot="1">
      <c r="A38" s="328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5522</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9">
        <v>1</v>
      </c>
      <c r="K46" s="3323" t="s">
        <v>1331</v>
      </c>
      <c r="L46" s="3323"/>
      <c r="M46" s="3343"/>
      <c r="N46" s="3343"/>
      <c r="O46" s="3343"/>
    </row>
    <row r="47" spans="1:15" ht="12" customHeight="1">
      <c r="A47" s="152" t="s">
        <v>1332</v>
      </c>
      <c r="B47" s="153"/>
      <c r="C47" s="154"/>
      <c r="D47" s="1024" t="s">
        <v>1333</v>
      </c>
      <c r="E47" s="294" t="s">
        <v>1334</v>
      </c>
      <c r="F47" s="155" t="s">
        <v>1335</v>
      </c>
      <c r="G47" s="2332" t="s">
        <v>1336</v>
      </c>
      <c r="H47" s="2333"/>
      <c r="I47" s="151"/>
      <c r="J47" s="2309">
        <v>2</v>
      </c>
      <c r="K47" s="3323" t="s">
        <v>1337</v>
      </c>
      <c r="L47" s="3323"/>
      <c r="M47" s="3344">
        <f>'数据-取费表'!B2</f>
        <v>45993</v>
      </c>
      <c r="N47" s="3344"/>
      <c r="O47" s="3344"/>
    </row>
    <row r="48" spans="1:15" ht="26">
      <c r="A48" s="3292" t="s">
        <v>1338</v>
      </c>
      <c r="B48" s="3275"/>
      <c r="C48" s="3275"/>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3" t="s">
        <v>1340</v>
      </c>
      <c r="L48" s="3323"/>
      <c r="M48" s="3345">
        <f ca="1">H101</f>
        <v>5522</v>
      </c>
      <c r="N48" s="3345"/>
      <c r="O48" s="3345"/>
    </row>
    <row r="49" spans="1:35" ht="25.5" customHeight="1">
      <c r="A49" s="2152" t="s">
        <v>1341</v>
      </c>
      <c r="B49" s="3259" t="s">
        <v>1342</v>
      </c>
      <c r="C49" s="3259"/>
      <c r="D49" s="1478">
        <v>0</v>
      </c>
      <c r="E49" s="316" t="s">
        <v>1343</v>
      </c>
      <c r="F49" s="2232" t="s">
        <v>28</v>
      </c>
      <c r="G49" s="3329"/>
      <c r="H49" s="2134" t="s">
        <v>2134</v>
      </c>
      <c r="I49" s="2135"/>
      <c r="J49" s="2309">
        <v>4</v>
      </c>
      <c r="K49" s="3323" t="str">
        <f>IF(项目基本情况!E8="房地产抵押价值","房地产抵押价值","抵押担保权已注销时的房地产抵押价值")</f>
        <v>房地产抵押价值</v>
      </c>
      <c r="L49" s="3323"/>
      <c r="M49" s="3345">
        <f ca="1">IF(项目基本情况!E8="房地产抵押价值",H107,H109)</f>
        <v>5522</v>
      </c>
      <c r="N49" s="3345"/>
      <c r="O49" s="3345"/>
    </row>
    <row r="50" spans="1:35" ht="25.5" customHeight="1">
      <c r="A50" s="2337"/>
      <c r="B50" s="3259" t="s">
        <v>1344</v>
      </c>
      <c r="C50" s="3259"/>
      <c r="D50" s="2189"/>
      <c r="E50" s="323"/>
      <c r="F50" s="2232"/>
      <c r="G50" s="3330"/>
      <c r="H50" s="2136" t="s">
        <v>2135</v>
      </c>
      <c r="I50" s="2135"/>
      <c r="J50" s="3342" t="s">
        <v>1345</v>
      </c>
      <c r="K50" s="3342"/>
      <c r="L50" s="3342"/>
      <c r="M50" s="3342"/>
      <c r="N50" s="3342"/>
      <c r="O50" s="3342"/>
    </row>
    <row r="51" spans="1:35" ht="20.5" customHeight="1">
      <c r="A51" s="2338"/>
      <c r="B51" s="3259" t="s">
        <v>1346</v>
      </c>
      <c r="C51" s="3259"/>
      <c r="D51" s="1024"/>
      <c r="E51" s="319"/>
      <c r="F51" s="2232"/>
      <c r="G51" s="3331"/>
      <c r="H51" s="2136" t="s">
        <v>2136</v>
      </c>
      <c r="I51" s="2135"/>
      <c r="J51" s="2310" t="s">
        <v>1347</v>
      </c>
      <c r="K51" s="3323" t="s">
        <v>1348</v>
      </c>
      <c r="L51" s="3323"/>
      <c r="M51" s="2310" t="s">
        <v>1349</v>
      </c>
      <c r="N51" s="2310" t="s">
        <v>1350</v>
      </c>
      <c r="O51" s="2310" t="s">
        <v>1351</v>
      </c>
    </row>
    <row r="52" spans="1:35" ht="24" customHeight="1">
      <c r="A52" s="2153" t="s">
        <v>1352</v>
      </c>
      <c r="B52" s="3259" t="s">
        <v>1353</v>
      </c>
      <c r="C52" s="3259"/>
      <c r="D52" s="1024">
        <f ca="1">ROUND(D45*'数据-取费表'!B41/(1+'数据-取费表'!C42),0)</f>
        <v>289</v>
      </c>
      <c r="E52" s="1256" t="s">
        <v>1354</v>
      </c>
      <c r="F52" s="2339">
        <f>'数据-取费表'!B41</f>
        <v>5.5000000000000007E-2</v>
      </c>
      <c r="G52" s="2340"/>
      <c r="H52" s="2330"/>
      <c r="I52" s="1669"/>
      <c r="J52" s="2309">
        <v>1</v>
      </c>
      <c r="K52" s="3324" t="s">
        <v>1355</v>
      </c>
      <c r="L52" s="3324"/>
      <c r="M52" s="2311" t="b">
        <f>D48</f>
        <v>0</v>
      </c>
      <c r="N52" s="2309" t="str">
        <f>E48</f>
        <v>销售额×税（费）率</v>
      </c>
      <c r="O52" s="2312">
        <f>F48</f>
        <v>5.5000000000000007E-2</v>
      </c>
    </row>
    <row r="53" spans="1:35" ht="12" customHeight="1">
      <c r="A53" s="2153" t="s">
        <v>1356</v>
      </c>
      <c r="B53" s="3285" t="s">
        <v>2291</v>
      </c>
      <c r="C53" s="3286"/>
      <c r="D53" s="1024">
        <f ca="1">ROUND(D45*'数据-取费表'!B41/(1+'数据-取费表'!C42),0)</f>
        <v>289</v>
      </c>
      <c r="E53" s="1256" t="s">
        <v>1354</v>
      </c>
      <c r="F53" s="2339">
        <f>'数据-取费表'!B41</f>
        <v>5.5000000000000007E-2</v>
      </c>
      <c r="G53" s="2340"/>
      <c r="H53" s="2330"/>
      <c r="I53" s="1669"/>
      <c r="J53" s="2309">
        <v>2</v>
      </c>
      <c r="K53" s="3324" t="s">
        <v>1357</v>
      </c>
      <c r="L53" s="3324"/>
      <c r="M53" s="2311">
        <f t="shared" ref="M53:O54" ca="1" si="0">D55</f>
        <v>3</v>
      </c>
      <c r="N53" s="2309" t="str">
        <f t="shared" si="0"/>
        <v>销售额×税（费）率</v>
      </c>
      <c r="O53" s="2312" t="str">
        <f t="shared" si="0"/>
        <v>免征</v>
      </c>
    </row>
    <row r="54" spans="1:35" ht="12" customHeight="1">
      <c r="A54" s="2153" t="s">
        <v>1358</v>
      </c>
      <c r="B54" s="3285" t="s">
        <v>2292</v>
      </c>
      <c r="C54" s="3286"/>
      <c r="D54" s="1024">
        <f ca="1">C68</f>
        <v>289</v>
      </c>
      <c r="E54" s="319" t="s">
        <v>1359</v>
      </c>
      <c r="F54" s="2339">
        <f>'数据-取费表'!B41</f>
        <v>5.5000000000000007E-2</v>
      </c>
      <c r="G54" s="2340"/>
      <c r="H54" s="2341"/>
      <c r="I54" s="1669"/>
      <c r="J54" s="2309">
        <v>3</v>
      </c>
      <c r="K54" s="3324" t="s">
        <v>1360</v>
      </c>
      <c r="L54" s="3324"/>
      <c r="M54" s="2311">
        <f t="shared" ca="1" si="0"/>
        <v>3131</v>
      </c>
      <c r="N54" s="2309" t="str">
        <f t="shared" si="0"/>
        <v>增值额×税（费）率</v>
      </c>
      <c r="O54" s="2313" t="str">
        <f t="shared" si="0"/>
        <v>免征</v>
      </c>
    </row>
    <row r="55" spans="1:35" ht="24" customHeight="1">
      <c r="A55" s="3274" t="s">
        <v>1361</v>
      </c>
      <c r="B55" s="3275"/>
      <c r="C55" s="3275"/>
      <c r="D55" s="12">
        <f ca="1">IF(H55="个人住宅",0,ROUND(D45*I55,0))</f>
        <v>3</v>
      </c>
      <c r="E55" s="1256" t="s">
        <v>1362</v>
      </c>
      <c r="F55" s="2339" t="str">
        <f>IF(H55="正常",I55,"免征")</f>
        <v>免征</v>
      </c>
      <c r="G55" s="2340"/>
      <c r="H55" s="2336"/>
      <c r="I55" s="157">
        <f>'数据-取费表'!B49</f>
        <v>5.0000000000000001E-4</v>
      </c>
      <c r="J55" s="2309">
        <f>IF(H59="非个人房产","",4)</f>
        <v>4</v>
      </c>
      <c r="K55" s="3324" t="str">
        <f>IF(H59="非个人房产","——","个人所得税")</f>
        <v>个人所得税</v>
      </c>
      <c r="L55" s="3324"/>
      <c r="M55" s="2314">
        <f ca="1">D59</f>
        <v>53</v>
      </c>
      <c r="N55" s="1883" t="str">
        <f>E59</f>
        <v>差额计税</v>
      </c>
      <c r="O55" s="2315">
        <f>F59</f>
        <v>0.01</v>
      </c>
    </row>
    <row r="56" spans="1:35" ht="26">
      <c r="A56" s="3274" t="s">
        <v>1363</v>
      </c>
      <c r="B56" s="3275"/>
      <c r="C56" s="3275"/>
      <c r="D56" s="12">
        <f ca="1">IF(H56="个人住宅",D57,D58)</f>
        <v>3131</v>
      </c>
      <c r="E56" s="1256" t="s">
        <v>1364</v>
      </c>
      <c r="F56" s="2339" t="str">
        <f>IF(H56="正常",F58,"免征")</f>
        <v>免征</v>
      </c>
      <c r="G56" s="2342" t="s">
        <v>1365</v>
      </c>
      <c r="H56" s="2343"/>
      <c r="I56" s="1670"/>
      <c r="J56" s="2309" t="str">
        <f>IF(项目基本情况!K6="上海银行",IF(J55="",4,J55+1),"")</f>
        <v/>
      </c>
      <c r="K56" s="3347" t="str">
        <f>IF(项目基本情况!K6="上海银行","其他处置费用","")</f>
        <v/>
      </c>
      <c r="L56" s="3348"/>
      <c r="M56" s="2311" t="str">
        <f>IF(项目基本情况!K6="上海银行",M69,"")</f>
        <v/>
      </c>
      <c r="N56" s="3347" t="str">
        <f>IF(项目基本情况!K6="上海银行","包含处置中涉及的律师、诉讼、拍卖、评估等费用","")</f>
        <v/>
      </c>
      <c r="O56" s="3350"/>
    </row>
    <row r="57" spans="1:35" ht="13">
      <c r="A57" s="2153" t="s">
        <v>1341</v>
      </c>
      <c r="B57" s="3285" t="s">
        <v>1366</v>
      </c>
      <c r="C57" s="3286"/>
      <c r="D57" s="1478">
        <v>0</v>
      </c>
      <c r="E57" s="316" t="s">
        <v>1343</v>
      </c>
      <c r="F57" s="294"/>
      <c r="G57" s="2340"/>
      <c r="H57" s="2344"/>
      <c r="I57" s="1670"/>
      <c r="J57" s="3324">
        <f>IF(AND(J55="",J56=""),4,IF(项目基本情况!K6="上海银行",结果表!J56+1,结果表!J55+1))</f>
        <v>5</v>
      </c>
      <c r="K57" s="3324" t="s">
        <v>1367</v>
      </c>
      <c r="L57" s="2316" t="s">
        <v>1368</v>
      </c>
      <c r="M57" s="2317"/>
      <c r="N57" s="2318">
        <f ca="1">SUMIF(M52:M56,"&lt;9e307")</f>
        <v>3187</v>
      </c>
      <c r="O57" s="2319"/>
      <c r="P57" s="2463">
        <f ca="1">N57/M49</f>
        <v>0.57714596160811305</v>
      </c>
    </row>
    <row r="58" spans="1:35" ht="26">
      <c r="A58" s="2153" t="s">
        <v>1352</v>
      </c>
      <c r="B58" s="3285" t="s">
        <v>1369</v>
      </c>
      <c r="C58" s="3259"/>
      <c r="D58" s="12">
        <f ca="1">IF(H58="转让取得",C81,C97)</f>
        <v>3131</v>
      </c>
      <c r="E58" s="1256" t="s">
        <v>1364</v>
      </c>
      <c r="F58" s="294" t="s">
        <v>28</v>
      </c>
      <c r="G58" s="2340"/>
      <c r="H58" s="2343"/>
      <c r="I58" s="1670"/>
      <c r="J58" s="3324"/>
      <c r="K58" s="3324"/>
      <c r="L58" s="2316" t="s">
        <v>1370</v>
      </c>
      <c r="M58" s="2320"/>
      <c r="N58" s="2321" t="str">
        <f ca="1">NUMBERSTRING(INT(N57*10000),2)&amp;"元整"</f>
        <v>叁仟壹佰捌拾柒万元整</v>
      </c>
      <c r="O58" s="2322"/>
    </row>
    <row r="59" spans="1:35" ht="26.5" thickBot="1">
      <c r="A59" s="3327" t="s">
        <v>1371</v>
      </c>
      <c r="B59" s="3328"/>
      <c r="C59" s="3328"/>
      <c r="D59" s="2345">
        <f ca="1">IF(H59="非个人房产","——",IF(H59="个人住宅（满五唯一有凭证）",0,IF(H59="个人其他（无凭证）",ROUND(D45/(1+'数据-取费表'!C42)*F59,0),ROUND(C67*F59,0))))</f>
        <v>53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5">
        <f>J57+1</f>
        <v>6</v>
      </c>
      <c r="K59" s="3324" t="s">
        <v>1372</v>
      </c>
      <c r="L59" s="2309" t="s">
        <v>1368</v>
      </c>
      <c r="M59" s="2323"/>
      <c r="N59" s="2324">
        <f ca="1">M49-N57</f>
        <v>2335</v>
      </c>
      <c r="O59" s="2325"/>
    </row>
    <row r="60" spans="1:35" ht="12" customHeight="1">
      <c r="A60" s="1671"/>
      <c r="B60" s="646"/>
      <c r="C60" s="646"/>
      <c r="D60" s="646"/>
      <c r="E60" s="1466"/>
      <c r="F60" s="1670"/>
      <c r="G60" s="1670"/>
      <c r="H60" s="151"/>
      <c r="I60" s="121"/>
      <c r="J60" s="3326"/>
      <c r="K60" s="3324"/>
      <c r="L60" s="2316" t="s">
        <v>1370</v>
      </c>
      <c r="M60" s="2320"/>
      <c r="N60" s="2321" t="str">
        <f ca="1">NUMBERSTRING(INT(N59*10000),2)&amp;"元整"</f>
        <v>贰仟叁佰叁拾伍万元整</v>
      </c>
      <c r="O60" s="2322"/>
    </row>
    <row r="61" spans="1:35" ht="13.5" thickBot="1">
      <c r="A61" s="3272" t="s">
        <v>1373</v>
      </c>
      <c r="B61" s="3272"/>
      <c r="C61" s="3272"/>
      <c r="D61" s="3272"/>
      <c r="E61" s="3272"/>
      <c r="F61" s="1670"/>
      <c r="G61" s="1670"/>
      <c r="H61" s="151"/>
      <c r="I61" s="121"/>
      <c r="J61" s="2309">
        <f>J59+1</f>
        <v>7</v>
      </c>
      <c r="K61" s="3324" t="s">
        <v>1374</v>
      </c>
      <c r="L61" s="3324"/>
      <c r="M61" s="2326"/>
      <c r="N61" s="2327">
        <f ca="1">ROUND(N59*10000/'数据-汇总表'!E3,0)</f>
        <v>2676</v>
      </c>
      <c r="O61" s="2328"/>
    </row>
    <row r="62" spans="1:35" ht="13">
      <c r="A62" s="3290" t="s">
        <v>1375</v>
      </c>
      <c r="B62" s="3291"/>
      <c r="C62" s="1865"/>
      <c r="D62" s="1865" t="s">
        <v>1376</v>
      </c>
      <c r="E62" s="158" t="s">
        <v>1377</v>
      </c>
      <c r="F62" s="1670"/>
      <c r="G62" s="1670"/>
      <c r="H62" s="151"/>
      <c r="I62" s="121"/>
    </row>
    <row r="63" spans="1:35" ht="13">
      <c r="A63" s="165" t="s">
        <v>330</v>
      </c>
      <c r="B63" s="159" t="s">
        <v>1378</v>
      </c>
      <c r="C63" s="2349">
        <f ca="1">ROUND((C64+C65)/(1+'数据-取费表'!C42),0)</f>
        <v>5259</v>
      </c>
      <c r="D63" s="159"/>
      <c r="E63" s="160"/>
      <c r="F63" s="1670"/>
      <c r="G63" s="1670"/>
      <c r="H63" s="151"/>
      <c r="I63" s="121"/>
      <c r="J63" s="3349" t="s">
        <v>1379</v>
      </c>
      <c r="K63" s="1245" t="s">
        <v>1380</v>
      </c>
      <c r="L63" s="1245">
        <f ca="1">IF(M49&gt;10000,M49*0.5%,IF(AND(M49&gt;1000,M49&lt;=10000),M49*1%,IF(AND(M49&gt;100,M49&lt;=1000),M49*3%,IF(AND(M49&gt;10,M49&lt;=100),M49*5%,M49*8%))))</f>
        <v>55.22</v>
      </c>
      <c r="M63" s="294">
        <f ca="1">ROUND(L63,1)</f>
        <v>55.2</v>
      </c>
      <c r="N63" s="2329"/>
      <c r="Z63" s="1623"/>
      <c r="AI63" s="1561"/>
    </row>
    <row r="64" spans="1:35" ht="14.25" customHeight="1">
      <c r="A64" s="161" t="s">
        <v>325</v>
      </c>
      <c r="B64" s="162" t="s">
        <v>1381</v>
      </c>
      <c r="C64" s="2350">
        <f ca="1">D45</f>
        <v>5522</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27.61</v>
      </c>
      <c r="M64" s="294">
        <f t="shared" ref="M64:M65" ca="1" si="1">ROUND(L64,1)</f>
        <v>27.6</v>
      </c>
      <c r="N64" s="2330" t="s">
        <v>1383</v>
      </c>
      <c r="Z64" s="1623"/>
      <c r="AI64" s="1561"/>
    </row>
    <row r="65" spans="1:35" ht="14.25" customHeight="1">
      <c r="A65" s="161" t="s">
        <v>326</v>
      </c>
      <c r="B65" s="162" t="s">
        <v>1384</v>
      </c>
      <c r="C65" s="2351"/>
      <c r="D65" s="162"/>
      <c r="E65" s="164"/>
      <c r="F65" s="1670"/>
      <c r="G65" s="1670"/>
      <c r="H65" s="151"/>
      <c r="I65" s="121"/>
      <c r="J65" s="3349"/>
      <c r="K65" s="1245" t="s">
        <v>1385</v>
      </c>
      <c r="L65" s="1245">
        <f ca="1">IF(M49&gt;1000,M49*0.1%,IF(AND(M49&gt;500,M49&lt;=1000),M49*0.5%,IF(AND(M49&gt;50,M49&lt;=500),M49*1%,IF(AND(M49&gt;1,M49&lt;=50),M49*1.5%))))</f>
        <v>5.5220000000000002</v>
      </c>
      <c r="M65" s="294">
        <f t="shared" ca="1" si="1"/>
        <v>5.5</v>
      </c>
      <c r="N65" s="2330" t="s">
        <v>1383</v>
      </c>
      <c r="Z65" s="1623"/>
      <c r="AI65" s="1561"/>
    </row>
    <row r="66" spans="1:35" ht="14.25" customHeight="1">
      <c r="A66" s="165" t="s">
        <v>327</v>
      </c>
      <c r="B66" s="166" t="s">
        <v>1386</v>
      </c>
      <c r="C66" s="2352"/>
      <c r="D66" s="166" t="s">
        <v>26</v>
      </c>
      <c r="E66" s="1251" t="s">
        <v>671</v>
      </c>
      <c r="F66" s="1670"/>
      <c r="G66" s="1670"/>
      <c r="H66" s="151"/>
      <c r="I66" s="121"/>
      <c r="J66" s="3349"/>
      <c r="K66" s="1245" t="s">
        <v>1387</v>
      </c>
      <c r="L66" s="1245">
        <f ca="1">M49*0.5%</f>
        <v>27.61</v>
      </c>
      <c r="M66" s="294">
        <f ca="1">IF(L66&gt;0.5,0.5,ROUND(L66,0))</f>
        <v>0.5</v>
      </c>
      <c r="N66" s="2330" t="s">
        <v>1388</v>
      </c>
      <c r="Z66" s="1623"/>
      <c r="AI66" s="1561"/>
    </row>
    <row r="67" spans="1:35" ht="14.25" customHeight="1">
      <c r="A67" s="165" t="s">
        <v>328</v>
      </c>
      <c r="B67" s="166" t="s">
        <v>1389</v>
      </c>
      <c r="C67" s="2353">
        <f ca="1">C63-C66</f>
        <v>5259</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6.8588000000000005</v>
      </c>
      <c r="M67" s="294">
        <f ca="1">ROUND(L67*0.9,1)</f>
        <v>6.2</v>
      </c>
      <c r="N67" s="2329"/>
      <c r="Z67" s="1623"/>
      <c r="AI67" s="1561"/>
    </row>
    <row r="68" spans="1:35" ht="14.25" customHeight="1" thickBot="1">
      <c r="A68" s="168" t="s">
        <v>329</v>
      </c>
      <c r="B68" s="169" t="s">
        <v>1391</v>
      </c>
      <c r="C68" s="2354">
        <f ca="1">IF(C67&lt;=0,0,ROUND(C67*D68,0))</f>
        <v>289</v>
      </c>
      <c r="D68" s="2355">
        <f>'数据-取费表'!B41</f>
        <v>5.5000000000000007E-2</v>
      </c>
      <c r="E68" s="170"/>
      <c r="F68" s="1670"/>
      <c r="G68" s="1670"/>
      <c r="H68" s="151"/>
      <c r="I68" s="121"/>
      <c r="J68" s="3349"/>
      <c r="K68" s="1245" t="s">
        <v>1392</v>
      </c>
      <c r="L68" s="1245">
        <f ca="1">IF(M49&gt;10000,M49*0.5%,IF(AND(M49&gt;5000,M49&lt;=10000),M49*1%,IF(AND(M49&gt;1000,M49&lt;=5000),M49*2%,IF(AND(M49&gt;200,M49&lt;=1000),M49*3%,M49*5%))))</f>
        <v>55.22</v>
      </c>
      <c r="M68" s="294">
        <f ca="1">ROUND(L68,1)</f>
        <v>55.2</v>
      </c>
      <c r="N68" s="2329"/>
      <c r="Z68" s="1623"/>
      <c r="AI68" s="1561"/>
    </row>
    <row r="69" spans="1:35" ht="16.5" customHeight="1">
      <c r="A69" s="1672"/>
      <c r="B69" s="1673"/>
      <c r="C69" s="1674"/>
      <c r="D69" s="1675"/>
      <c r="E69" s="1676"/>
      <c r="F69" s="1466"/>
      <c r="G69" s="1466"/>
      <c r="H69" s="1467"/>
      <c r="I69" s="646"/>
      <c r="J69" s="3349"/>
      <c r="K69" s="1245" t="s">
        <v>1393</v>
      </c>
      <c r="L69" s="1245"/>
      <c r="M69" s="294">
        <f ca="1">ROUND(SUM(M63:M68),0)</f>
        <v>150</v>
      </c>
      <c r="N69" s="2331">
        <f ca="1">M69/M49</f>
        <v>2.7164070988772184E-2</v>
      </c>
      <c r="Z69" s="1623"/>
      <c r="AI69" s="1561"/>
    </row>
    <row r="70" spans="1:35" s="642" customFormat="1" ht="14.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5259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26</v>
      </c>
      <c r="D78" s="2362">
        <f>'数据-取费表'!B43</f>
        <v>5.000000000000001E-3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5233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201.26923076923077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3131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5259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26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51" t="s">
        <v>2129</v>
      </c>
      <c r="H90" s="335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9" t="s">
        <v>1422</v>
      </c>
      <c r="F92" s="3270"/>
      <c r="G92" s="3270"/>
      <c r="H92" s="327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26</v>
      </c>
      <c r="D93" s="2362">
        <f>'数据-取费表'!B43</f>
        <v>5.000000000000001E-3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5233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201.26923076923077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3131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0" t="str">
        <f>C4</f>
        <v>成本法</v>
      </c>
      <c r="D101" s="2371" t="str">
        <f>D4</f>
        <v>收益法</v>
      </c>
      <c r="E101" s="3346" t="s">
        <v>1431</v>
      </c>
      <c r="F101" s="3303"/>
      <c r="G101" s="1687" t="s">
        <v>1432</v>
      </c>
      <c r="H101" s="2380">
        <f ca="1">H118</f>
        <v>5522</v>
      </c>
      <c r="I101" s="121"/>
    </row>
    <row r="102" spans="1:35" ht="18.75" customHeight="1">
      <c r="A102" s="3305" t="s">
        <v>1433</v>
      </c>
      <c r="B102" s="2369" t="s">
        <v>1432</v>
      </c>
      <c r="C102" s="2370">
        <f ca="1">IF(D32="楼面单价",ROUND(C19,0),C19)</f>
        <v>6107</v>
      </c>
      <c r="D102" s="2371">
        <f ca="1">IF(D32="楼面单价",ROUND(D19,0),D19)</f>
        <v>4643</v>
      </c>
      <c r="E102" s="3346"/>
      <c r="F102" s="3303"/>
      <c r="G102" s="1687" t="s">
        <v>1434</v>
      </c>
      <c r="H102" s="2340">
        <f ca="1">I118</f>
        <v>6328</v>
      </c>
      <c r="I102" s="121"/>
    </row>
    <row r="103" spans="1:35" ht="42.75" customHeight="1">
      <c r="A103" s="3305"/>
      <c r="B103" s="2369" t="s">
        <v>1434</v>
      </c>
      <c r="C103" s="2372">
        <f ca="1">C20</f>
        <v>6999</v>
      </c>
      <c r="D103" s="2373">
        <f ca="1">D20</f>
        <v>5321</v>
      </c>
      <c r="E103" s="3340" t="s">
        <v>1435</v>
      </c>
      <c r="F103" s="3341"/>
      <c r="G103" s="1688" t="s">
        <v>1436</v>
      </c>
      <c r="H103" s="2380">
        <f>IF(D36="正常操作",H104+H105+H106,H105+H106)</f>
        <v>0</v>
      </c>
      <c r="I103" s="121"/>
    </row>
    <row r="104" spans="1:35" ht="18.75" customHeight="1">
      <c r="A104" s="3305" t="s">
        <v>1437</v>
      </c>
      <c r="B104" s="2374" t="s">
        <v>1432</v>
      </c>
      <c r="C104" s="2375">
        <f ca="1">H118</f>
        <v>5522</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6328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303"/>
      <c r="G107" s="1687" t="s">
        <v>1432</v>
      </c>
      <c r="H107" s="2380">
        <f ca="1">IF(E107="——","——",H101-H103)</f>
        <v>5522</v>
      </c>
      <c r="I107" s="121"/>
    </row>
    <row r="108" spans="1:35" ht="18.75" customHeight="1">
      <c r="A108" s="121"/>
      <c r="B108" s="121"/>
      <c r="C108" s="121"/>
      <c r="D108" s="121"/>
      <c r="E108" s="3302"/>
      <c r="F108" s="3303"/>
      <c r="G108" s="1687" t="s">
        <v>1434</v>
      </c>
      <c r="H108" s="2340">
        <f ca="1">IF(H107=H101,H102,ROUND(H107*10000/'数据-汇总表'!E3,0))</f>
        <v>6328</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3" t="str">
        <f>IF(E109="——","——",H101-H105-H106)</f>
        <v>——</v>
      </c>
      <c r="I109" s="121"/>
    </row>
    <row r="110" spans="1:35" ht="18.75" customHeight="1">
      <c r="A110" s="121"/>
      <c r="B110" s="121"/>
      <c r="C110" s="121"/>
      <c r="D110" s="121"/>
      <c r="E110" s="3302"/>
      <c r="F110" s="3303"/>
      <c r="G110" s="1687" t="s">
        <v>1434</v>
      </c>
      <c r="H110" s="2340"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0" t="str">
        <f>IF(E111="——","——",N59)</f>
        <v>——</v>
      </c>
      <c r="I111" s="121"/>
    </row>
    <row r="112" spans="1:35" ht="18.75" customHeight="1" thickBot="1">
      <c r="A112" s="121"/>
      <c r="B112" s="121"/>
      <c r="C112" s="121"/>
      <c r="D112" s="121"/>
      <c r="E112" s="3335"/>
      <c r="F112" s="3336"/>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5" t="str">
        <f>项目基本情况!S2</f>
        <v>北京市房山区福通路1号院1号楼-2至10层1-1房地产</v>
      </c>
      <c r="B118" s="2150">
        <f>M18</f>
        <v>8725.98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5522</v>
      </c>
      <c r="I118" s="2150">
        <f ca="1">ROUND(IF(D32="楼面单价",C32,H118*10000/B118),0)</f>
        <v>6328</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伍仟伍佰贰拾贰万元整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5522</v>
      </c>
      <c r="E122" s="3338"/>
      <c r="F122" s="3338"/>
      <c r="G122" s="3338"/>
      <c r="H122" s="3338"/>
      <c r="I122" s="3339"/>
      <c r="AA122" s="684"/>
    </row>
    <row r="123" spans="1:27" ht="18.75" customHeight="1">
      <c r="A123" s="3273" t="s">
        <v>1452</v>
      </c>
      <c r="B123" s="3273"/>
      <c r="C123" s="3273"/>
      <c r="D123" s="3313" t="str">
        <f ca="1">NUMBERSTRING(INT(D122*10000),2)&amp;"元整"</f>
        <v>伍仟伍佰贰拾贰万元整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611E6-3F4A-4E0A-A626-03808B43CE82}">
  <dimension ref="A1:T59"/>
  <sheetViews>
    <sheetView workbookViewId="0">
      <selection activeCell="F5" sqref="F5"/>
    </sheetView>
  </sheetViews>
  <sheetFormatPr defaultRowHeight="14"/>
  <sheetData>
    <row r="1" spans="1:20">
      <c r="A1" s="1405" t="s">
        <v>3445</v>
      </c>
      <c r="B1">
        <v>8725.98</v>
      </c>
    </row>
    <row r="2" spans="1:20">
      <c r="A2" s="1405" t="s">
        <v>3446</v>
      </c>
      <c r="B2" s="1405">
        <v>12</v>
      </c>
    </row>
    <row r="3" spans="1:20">
      <c r="A3" s="1405" t="s">
        <v>3447</v>
      </c>
      <c r="B3" s="1405">
        <v>10</v>
      </c>
      <c r="D3" s="3170" t="s">
        <v>3448</v>
      </c>
      <c r="E3" s="3157">
        <f>B1-E4</f>
        <v>7271.65</v>
      </c>
      <c r="F3">
        <v>1.2</v>
      </c>
    </row>
    <row r="4" spans="1:20">
      <c r="A4" s="1405" t="s">
        <v>3449</v>
      </c>
      <c r="B4">
        <v>2</v>
      </c>
      <c r="D4" s="3170" t="s">
        <v>3450</v>
      </c>
      <c r="E4" s="3157">
        <v>1454.33</v>
      </c>
      <c r="F4">
        <v>0.5</v>
      </c>
    </row>
    <row r="5" spans="1:20">
      <c r="A5" s="1405"/>
      <c r="D5" s="3170" t="s">
        <v>2592</v>
      </c>
      <c r="E5" s="3157">
        <f>SUM(E3:E4)</f>
        <v>8725.98</v>
      </c>
      <c r="F5">
        <f>(E3*F3+E4*F4)/E5</f>
        <v>1.0833333333333335</v>
      </c>
    </row>
    <row r="6" spans="1:20">
      <c r="A6" s="1405"/>
    </row>
    <row r="7" spans="1:20">
      <c r="D7" s="3170" t="s">
        <v>3460</v>
      </c>
    </row>
    <row r="8" spans="1:20">
      <c r="J8" s="1405" t="s">
        <v>3236</v>
      </c>
      <c r="T8" s="1405" t="s">
        <v>3236</v>
      </c>
    </row>
    <row r="9" spans="1:20">
      <c r="A9" s="1405" t="s">
        <v>3451</v>
      </c>
      <c r="J9" s="1405" t="s">
        <v>3452</v>
      </c>
      <c r="T9" s="1405" t="s">
        <v>3453</v>
      </c>
    </row>
    <row r="57" spans="18:19">
      <c r="R57" s="1405" t="s">
        <v>3454</v>
      </c>
      <c r="S57">
        <v>93376.42</v>
      </c>
    </row>
    <row r="58" spans="18:19">
      <c r="R58" s="1405" t="s">
        <v>3455</v>
      </c>
      <c r="S58">
        <v>29747.46</v>
      </c>
    </row>
    <row r="59" spans="18:19">
      <c r="R59" s="1405" t="s">
        <v>3456</v>
      </c>
      <c r="S59">
        <f>ROUND(S57/S58,2)</f>
        <v>3.14</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北京市房山区福通路1号院1号楼-2至10层1-1房地产抵押价值预评估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3436</v>
      </c>
      <c r="C1" s="190"/>
      <c r="D1" s="190"/>
      <c r="E1" s="190"/>
      <c r="F1" s="190"/>
      <c r="G1" s="1062">
        <f>MATCH(B1,'数据-取费表'!A6:A16,0)+5</f>
        <v>6</v>
      </c>
    </row>
    <row r="2" spans="1:9" s="192" customFormat="1" ht="18" customHeight="1">
      <c r="A2" s="193" t="s">
        <v>1462</v>
      </c>
      <c r="B2" s="194">
        <f ca="1">IF(D2="——",C52,C52-E2)</f>
        <v>6107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6999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1606</v>
      </c>
      <c r="D5" s="203" t="s">
        <v>1469</v>
      </c>
      <c r="E5" s="204" t="s">
        <v>1470</v>
      </c>
      <c r="F5" s="204" t="s">
        <v>1471</v>
      </c>
      <c r="G5" s="205"/>
    </row>
    <row r="6" spans="1:9" s="206" customFormat="1" ht="13.5" customHeight="1">
      <c r="A6" s="732" t="s">
        <v>1472</v>
      </c>
      <c r="B6" s="207" t="s">
        <v>1473</v>
      </c>
      <c r="C6" s="208">
        <f>基准地价修正!B2</f>
        <v>1397</v>
      </c>
      <c r="D6" s="209"/>
      <c r="E6" s="210"/>
      <c r="F6" s="210"/>
      <c r="G6" s="211"/>
    </row>
    <row r="7" spans="1:9" s="206" customFormat="1" ht="13.5" customHeight="1">
      <c r="A7" s="732" t="s">
        <v>1474</v>
      </c>
      <c r="B7" s="207" t="s">
        <v>1475</v>
      </c>
      <c r="C7" s="212">
        <f>ROUND(C6*F7,0)</f>
        <v>43</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166</v>
      </c>
      <c r="D8" s="214"/>
      <c r="E8" s="212"/>
      <c r="F8" s="213"/>
      <c r="G8" s="1714" t="s">
        <v>3437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3439</v>
      </c>
      <c r="H9" s="1070"/>
      <c r="I9" s="1716" t="s">
        <v>1479</v>
      </c>
    </row>
    <row r="10" spans="1:9" s="206" customFormat="1" ht="13.5" customHeight="1">
      <c r="A10" s="733" t="s">
        <v>356</v>
      </c>
      <c r="B10" s="216" t="s">
        <v>1480</v>
      </c>
      <c r="C10" s="217">
        <f ca="1">ROUND(D10*E10/10000,0)</f>
        <v>166</v>
      </c>
      <c r="D10" s="795">
        <f ca="1">IF(B1="",'数据-汇总表'!E6,IF(INDIRECT("'数据-取费表'!c"&amp;$G$1)="住宅",INDIRECT("'数据-取费表'!s"&amp;$G$1),INDIRECT("'数据-取费表'!k"&amp;$G$1)+INDIRECT("'数据-取费表'!s"&amp;$G$1)))</f>
        <v>8725.98</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8725.98</v>
      </c>
      <c r="E19" s="203">
        <f>'数据-取费表'!B31</f>
        <v>200</v>
      </c>
      <c r="F19" s="223"/>
      <c r="G19" s="1714" t="s">
        <v>3438</v>
      </c>
    </row>
    <row r="20" spans="1:7" s="206" customFormat="1" ht="13.5" customHeight="1">
      <c r="A20" s="247" t="s">
        <v>1493</v>
      </c>
      <c r="B20" s="202" t="s">
        <v>1494</v>
      </c>
      <c r="C20" s="224">
        <f ca="1">ROUND((C5+C19)*F20,0)</f>
        <v>32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103</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1</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164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164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2059</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3910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3490</v>
      </c>
      <c r="D34" s="209"/>
      <c r="E34" s="212"/>
      <c r="F34" s="249">
        <f ca="1">IF('数据-取费表'!B24=0,1,IF(B1="",'数据-取费表'!N16,INDIRECT("'数据-取费表'!n"&amp;$G$1)))</f>
        <v>1</v>
      </c>
      <c r="G34" s="211" t="s">
        <v>1526</v>
      </c>
    </row>
    <row r="35" spans="1:7" ht="13.5" customHeight="1">
      <c r="A35" s="734" t="s">
        <v>351</v>
      </c>
      <c r="B35" s="207" t="s">
        <v>1527</v>
      </c>
      <c r="C35" s="212">
        <f ca="1">ROUND(C34*F35,0)</f>
        <v>175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175</v>
      </c>
      <c r="D37" s="209">
        <f ca="1">D19</f>
        <v>8725.98</v>
      </c>
      <c r="E37" s="241">
        <f>'数据-取费表'!B35</f>
        <v>200</v>
      </c>
      <c r="F37" s="251"/>
      <c r="G37" s="253" t="s">
        <v>1532</v>
      </c>
    </row>
    <row r="38" spans="1:7" ht="13.5" customHeight="1">
      <c r="A38" s="734" t="s">
        <v>354</v>
      </c>
      <c r="B38" s="207" t="s">
        <v>1533</v>
      </c>
      <c r="C38" s="212">
        <f ca="1">ROUND(C34*F38,0)</f>
        <v>70</v>
      </c>
      <c r="D38" s="212"/>
      <c r="E38" s="212"/>
      <c r="F38" s="251">
        <f>'数据-取费表'!B36</f>
        <v>0.02</v>
      </c>
      <c r="G38" s="211" t="s">
        <v>1528</v>
      </c>
    </row>
    <row r="39" spans="1:7" s="206" customFormat="1" ht="13.5" customHeight="1">
      <c r="A39" s="247" t="s">
        <v>1534</v>
      </c>
      <c r="B39" s="202" t="s">
        <v>1535</v>
      </c>
      <c r="C39" s="224">
        <f ca="1">ROUND(C33*F20,0)</f>
        <v>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122</v>
      </c>
      <c r="D42" s="230"/>
      <c r="E42" s="230"/>
      <c r="F42" s="231"/>
      <c r="G42" s="3353" t="s">
        <v>1544</v>
      </c>
    </row>
    <row r="43" spans="1:7" ht="13.5" customHeight="1">
      <c r="A43" s="734" t="s">
        <v>347</v>
      </c>
      <c r="B43" s="207" t="s">
        <v>1545</v>
      </c>
      <c r="C43" s="230">
        <f ca="1">ROUND(IF('数据-取费表'!B22&lt;=1,C39*F22*'数据-取费表'!B21/2,C39*(POWER((1+F22),'数据-取费表'!B21/2)-1)),0)</f>
        <v>2</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399</v>
      </c>
      <c r="D45" s="227">
        <f ca="1">C47</f>
        <v>2E-3</v>
      </c>
      <c r="E45" s="228" t="s">
        <v>1539</v>
      </c>
      <c r="F45" s="238">
        <f ca="1">F27</f>
        <v>0.1</v>
      </c>
      <c r="G45" s="239" t="s">
        <v>1548</v>
      </c>
    </row>
    <row r="46" spans="1:7" s="206" customFormat="1" ht="13.5" customHeight="1">
      <c r="A46" s="734" t="s">
        <v>346</v>
      </c>
      <c r="B46" s="240" t="s">
        <v>1549</v>
      </c>
      <c r="C46" s="241">
        <f ca="1">ROUND((C33+C39)*F27,0)</f>
        <v>399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4877</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4048</v>
      </c>
      <c r="D51" s="224"/>
      <c r="E51" s="224"/>
      <c r="F51" s="256"/>
      <c r="G51" s="226" t="s">
        <v>1560</v>
      </c>
    </row>
    <row r="52" spans="1:7" s="200" customFormat="1" ht="16.5" thickBot="1">
      <c r="A52" s="257" t="s">
        <v>1561</v>
      </c>
      <c r="B52" s="258"/>
      <c r="C52" s="259">
        <f ca="1">C31+C51</f>
        <v>6107</v>
      </c>
      <c r="D52" s="258"/>
      <c r="E52" s="258"/>
      <c r="F52" s="258"/>
      <c r="G52" s="260"/>
    </row>
    <row r="55" spans="1:7" ht="15.5">
      <c r="B55" s="262" t="s">
        <v>1562</v>
      </c>
      <c r="C55" s="263"/>
    </row>
    <row r="56" spans="1:7" ht="13">
      <c r="B56" s="265" t="s">
        <v>802</v>
      </c>
      <c r="C56" s="267">
        <f ca="1">1-C57</f>
        <v>0.33699999999999997</v>
      </c>
    </row>
    <row r="57" spans="1:7" ht="13">
      <c r="B57" s="265" t="s">
        <v>803</v>
      </c>
      <c r="C57" s="266">
        <f ca="1">ROUND(C51/C52,3)</f>
        <v>0.66300000000000003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4484.0959000000003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5139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1657936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1657936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1657936</v>
      </c>
      <c r="D10" s="795">
        <f ca="1">IF(B1="",'数据-汇总表'!E6,IF(INDIRECT("'数据-取费表'!c"&amp;$G$1)="住宅",INDIRECT("'数据-取费表'!s"&amp;$G$1),INDIRECT("'数据-取费表'!k"&amp;$G$1)+INDIRECT("'数据-取费表'!s"&amp;$G$1)))</f>
        <v>8725.98</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1745196</v>
      </c>
      <c r="D19" s="204">
        <f ca="1">D9+D10</f>
        <v>8725.98</v>
      </c>
      <c r="E19" s="203">
        <f>'数据-取费表'!B31</f>
        <v>200</v>
      </c>
      <c r="F19" s="223"/>
      <c r="G19" s="1714"/>
    </row>
    <row r="20" spans="1:7" s="206" customFormat="1" ht="13.5" customHeight="1">
      <c r="A20" s="247" t="s">
        <v>1574</v>
      </c>
      <c r="B20" s="202" t="s">
        <v>1575</v>
      </c>
      <c r="C20" s="224">
        <f ca="1">ROUND((C5+C19)*F20,0)</f>
        <v>68063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218500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105411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110959</v>
      </c>
      <c r="D24" s="230"/>
      <c r="E24" s="230"/>
      <c r="F24" s="231"/>
      <c r="G24" s="232" t="s">
        <v>1586</v>
      </c>
    </row>
    <row r="25" spans="1:7" s="206" customFormat="1" ht="26">
      <c r="A25" s="734" t="s">
        <v>1476</v>
      </c>
      <c r="B25" s="207" t="s">
        <v>1587</v>
      </c>
      <c r="C25" s="230">
        <f ca="1">ROUND(IF('数据-取费表'!B22&lt;=1,C20*F22*'数据-取费表'!B22/2,C20*(POWER((1+F22),'数据-取费表'!B22/2)-1)),0)</f>
        <v>2130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347120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347120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4364124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39092390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34903920</v>
      </c>
      <c r="D34" s="209"/>
      <c r="E34" s="212"/>
      <c r="F34" s="249"/>
      <c r="G34" s="211"/>
    </row>
    <row r="35" spans="1:7" ht="13.5" customHeight="1">
      <c r="A35" s="734" t="s">
        <v>351</v>
      </c>
      <c r="B35" s="207" t="s">
        <v>1527</v>
      </c>
      <c r="C35" s="212">
        <f ca="1">ROUND(C34*F35,0)</f>
        <v>1745196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1745196</v>
      </c>
      <c r="D37" s="209">
        <f ca="1">D19</f>
        <v>8725.98</v>
      </c>
      <c r="E37" s="241">
        <f>'数据-取费表'!B35</f>
        <v>200</v>
      </c>
      <c r="F37" s="251"/>
      <c r="G37" s="253"/>
    </row>
    <row r="38" spans="1:7" ht="13.5" customHeight="1">
      <c r="A38" s="734" t="s">
        <v>354</v>
      </c>
      <c r="B38" s="207" t="s">
        <v>1533</v>
      </c>
      <c r="C38" s="212">
        <f ca="1">ROUND(C34*F38,0)</f>
        <v>698078</v>
      </c>
      <c r="D38" s="212"/>
      <c r="E38" s="212"/>
      <c r="F38" s="251">
        <f>'数据-取费表'!B36</f>
        <v>0.02</v>
      </c>
      <c r="G38" s="211" t="s">
        <v>1528</v>
      </c>
    </row>
    <row r="39" spans="1:7" s="206" customFormat="1" ht="13.5" customHeight="1">
      <c r="A39" s="247" t="s">
        <v>1534</v>
      </c>
      <c r="B39" s="202" t="s">
        <v>1535</v>
      </c>
      <c r="C39" s="224">
        <f ca="1">ROUND(C33*F20,0)</f>
        <v>781848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1248064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1223592</v>
      </c>
      <c r="D42" s="230"/>
      <c r="E42" s="230"/>
      <c r="F42" s="231"/>
      <c r="G42" s="3353" t="s">
        <v>1591</v>
      </c>
    </row>
    <row r="43" spans="1:7" ht="13.5" customHeight="1">
      <c r="A43" s="734" t="s">
        <v>347</v>
      </c>
      <c r="B43" s="207" t="s">
        <v>1545</v>
      </c>
      <c r="C43" s="230">
        <f ca="1">ROUND(IF('数据-取费表'!B22&lt;=1,C39*F22*'数据-取费表'!B20/2,C39*(POWER((1+F22),'数据-取费表'!B20/2)-1)),0)</f>
        <v>24472</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3987424</v>
      </c>
      <c r="D45" s="227">
        <f ca="1">C47</f>
        <v>2E-3</v>
      </c>
      <c r="E45" s="228" t="s">
        <v>1539</v>
      </c>
      <c r="F45" s="238">
        <f ca="1">F27</f>
        <v>0.1</v>
      </c>
      <c r="G45" s="239" t="s">
        <v>1548</v>
      </c>
    </row>
    <row r="46" spans="1:7" s="206" customFormat="1" ht="13.5" customHeight="1">
      <c r="A46" s="734" t="s">
        <v>346</v>
      </c>
      <c r="B46" s="240" t="s">
        <v>1549</v>
      </c>
      <c r="C46" s="241">
        <f ca="1">ROUND((C33+C39)*F27,0)</f>
        <v>3987424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48767271</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40476835</v>
      </c>
      <c r="D51" s="224"/>
      <c r="E51" s="224"/>
      <c r="F51" s="256"/>
      <c r="G51" s="226" t="s">
        <v>1560</v>
      </c>
    </row>
    <row r="52" spans="1:7" s="200" customFormat="1" ht="16.5" thickBot="1">
      <c r="A52" s="257" t="s">
        <v>1561</v>
      </c>
      <c r="B52" s="258"/>
      <c r="C52" s="259">
        <f ca="1">C31+C51</f>
        <v>44840959</v>
      </c>
      <c r="D52" s="258"/>
      <c r="E52" s="258"/>
      <c r="F52" s="258"/>
      <c r="G52" s="260"/>
    </row>
    <row r="55" spans="1:7" ht="15.5">
      <c r="B55" s="262" t="s">
        <v>1562</v>
      </c>
      <c r="C55" s="263"/>
    </row>
    <row r="56" spans="1:7" ht="13">
      <c r="B56" s="265" t="s">
        <v>802</v>
      </c>
      <c r="C56" s="267">
        <f ca="1">1-C57</f>
        <v>9.6999999999999975E-2</v>
      </c>
    </row>
    <row r="57" spans="1:7" ht="13">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-7</v>
      </c>
      <c r="C2" s="268" t="s">
        <v>1595</v>
      </c>
      <c r="D2" s="268"/>
      <c r="E2" s="2566"/>
      <c r="F2" s="2566"/>
      <c r="G2" s="2566"/>
      <c r="H2" s="2566"/>
      <c r="I2" s="2566"/>
      <c r="J2" s="2566"/>
      <c r="K2" s="2566"/>
    </row>
    <row r="3" spans="1:33" ht="18" customHeight="1" thickBot="1">
      <c r="A3" s="195" t="s">
        <v>1464</v>
      </c>
      <c r="B3" s="196">
        <f ca="1">ROUND(B2*10000/IF(C1="",'数据-汇总表'!E3,INDIRECT("'数据-取费表'!K"&amp;$K$1)),0)</f>
        <v>-8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8725.98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8725.98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166</v>
      </c>
      <c r="D20" s="796">
        <f ca="1">IF(C1="",'数据-汇总表'!E6,IF(INDIRECT("'数据-取费表'!c"&amp;$K$1)="住宅",INDIRECT("'数据-取费表'!s"&amp;$K$1),INDIRECT("'数据-取费表'!k"&amp;$K$1)+INDIRECT("'数据-取费表'!s"&amp;$K$1)))</f>
        <v>8725.98</v>
      </c>
      <c r="E20" s="21">
        <f>'数据-取费表'!B28</f>
        <v>190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F36" sqref="F3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3436</v>
      </c>
      <c r="D1" s="1271" t="s">
        <v>43</v>
      </c>
      <c r="E1" s="1272" t="s">
        <v>678</v>
      </c>
      <c r="F1" s="999">
        <f ca="1">J53</f>
        <v>37.93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4643</v>
      </c>
      <c r="C2" s="1289" t="s">
        <v>805</v>
      </c>
      <c r="D2" s="1289"/>
      <c r="E2" s="1295"/>
      <c r="F2" s="1296"/>
      <c r="G2" s="2477"/>
      <c r="H2" s="2467"/>
      <c r="I2" s="2467"/>
      <c r="J2" s="2467"/>
      <c r="K2" s="2468"/>
      <c r="L2" s="2467"/>
      <c r="M2" s="2467"/>
    </row>
    <row r="3" spans="1:37" ht="18" customHeight="1" thickBot="1">
      <c r="A3" s="1297" t="s">
        <v>806</v>
      </c>
      <c r="B3" s="1298">
        <f ca="1">IF(ISERROR(B2*10000/F43),0,ROUND(B2*10000/F43,0))</f>
        <v>5321</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287</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287</v>
      </c>
      <c r="D6" s="147" t="s">
        <v>2109</v>
      </c>
      <c r="E6" s="294" t="s">
        <v>696</v>
      </c>
      <c r="F6" s="295">
        <f ca="1">INDIRECT("'数据-取费表'!u"&amp;$G$1)</f>
        <v>1</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8725.98</v>
      </c>
      <c r="G7" s="1292"/>
      <c r="H7" s="296"/>
      <c r="I7" s="3359"/>
      <c r="J7" s="298"/>
      <c r="K7" s="299"/>
      <c r="L7" s="294" t="s">
        <v>697</v>
      </c>
      <c r="M7" s="295">
        <f ca="1">F7</f>
        <v>8725.98</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4048</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3490</v>
      </c>
      <c r="D14" s="1257" t="s">
        <v>708</v>
      </c>
      <c r="E14" s="1255"/>
      <c r="F14" s="311"/>
      <c r="G14" s="1292"/>
      <c r="H14" s="928" t="s">
        <v>398</v>
      </c>
      <c r="I14" s="294" t="s">
        <v>709</v>
      </c>
      <c r="J14" s="21">
        <f ca="1">C29</f>
        <v>4877</v>
      </c>
      <c r="K14" s="12"/>
      <c r="L14" s="759"/>
      <c r="M14" s="760"/>
    </row>
    <row r="15" spans="1:37" s="1304" customFormat="1" ht="18" customHeight="1" thickBot="1">
      <c r="A15" s="928" t="s">
        <v>399</v>
      </c>
      <c r="B15" s="294" t="s">
        <v>710</v>
      </c>
      <c r="C15" s="21">
        <f ca="1">ROUND(C14*F15,0)</f>
        <v>175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v>
      </c>
      <c r="K16" s="1024" t="s">
        <v>715</v>
      </c>
      <c r="L16" s="1025"/>
      <c r="M16" s="1009"/>
    </row>
    <row r="17" spans="1:37" s="1304" customFormat="1" ht="18" customHeight="1">
      <c r="A17" s="928" t="s">
        <v>681</v>
      </c>
      <c r="B17" s="294" t="s">
        <v>716</v>
      </c>
      <c r="C17" s="21">
        <f ca="1">ROUND(F17*(F43+INDIRECT("'数据-取费表'!S"&amp;$G$1))/10000,0)</f>
        <v>175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3910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78</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14.63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124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v>
      </c>
      <c r="K25" s="1032" t="s">
        <v>753</v>
      </c>
      <c r="L25" s="1033"/>
      <c r="M25" s="1034"/>
    </row>
    <row r="26" spans="1:37" ht="13">
      <c r="A26" s="928" t="s">
        <v>397</v>
      </c>
      <c r="B26" s="294" t="s">
        <v>754</v>
      </c>
      <c r="C26" s="21">
        <f ca="1">ROUND((C19+C20)*F26,0)</f>
        <v>399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4877</v>
      </c>
      <c r="D29" s="1029"/>
      <c r="E29" s="1027"/>
      <c r="F29" s="1030"/>
      <c r="G29" s="1303"/>
      <c r="H29" s="325" t="s">
        <v>396</v>
      </c>
      <c r="I29" s="326" t="s">
        <v>768</v>
      </c>
      <c r="J29" s="327">
        <f ca="1">ROUND(J26/(1+F40)^F41,0)</f>
        <v>0</v>
      </c>
      <c r="K29" s="328" t="s">
        <v>769</v>
      </c>
      <c r="L29" s="329"/>
      <c r="M29" s="330">
        <f ca="1">INDIRECT("'数据-取费表'!k"&amp;$G$1)</f>
        <v>8725.98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47.83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15.03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32.799999999999997</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14.63</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ROUND(C13*F37,2)</f>
        <v>4.05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1.44</v>
      </c>
      <c r="D38" s="1029" t="s">
        <v>748</v>
      </c>
      <c r="E38" s="1027" t="s">
        <v>744</v>
      </c>
      <c r="F38" s="1023">
        <f ca="1">INDIRECT("'数据-取费表'!Am"&amp;$G$1)</f>
        <v>5.0000000000000001E-3</v>
      </c>
      <c r="G38" s="1292"/>
      <c r="H38" s="2472"/>
      <c r="I38" s="1305"/>
      <c r="J38" s="1306"/>
      <c r="K38" s="2470"/>
      <c r="L38" s="2472"/>
      <c r="M38" s="2472"/>
    </row>
    <row r="39" spans="1:18" ht="24.65" customHeight="1" thickTop="1">
      <c r="A39" s="1016" t="s">
        <v>394</v>
      </c>
      <c r="B39" s="1031" t="s">
        <v>772</v>
      </c>
      <c r="C39" s="302">
        <f ca="1">C5-C30</f>
        <v>219</v>
      </c>
      <c r="D39" s="1032" t="s">
        <v>773</v>
      </c>
      <c r="E39" s="1033"/>
      <c r="F39" s="1034"/>
      <c r="G39" s="1292"/>
      <c r="H39" s="2472">
        <f ca="1">C39/C5</f>
        <v>0.76306620209059228</v>
      </c>
      <c r="I39" s="1305"/>
      <c r="J39" s="1306"/>
      <c r="K39" s="2470"/>
      <c r="L39" s="2472"/>
      <c r="M39" s="2472"/>
    </row>
    <row r="40" spans="1:18" ht="18" customHeight="1">
      <c r="A40" s="291" t="s">
        <v>395</v>
      </c>
      <c r="B40" s="292" t="s">
        <v>774</v>
      </c>
      <c r="C40" s="293">
        <f ca="1">ROUND(C39*(1-((1+F42)/(1+F40))^F41)/(F40-F42),0)</f>
        <v>4517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37.93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5176</v>
      </c>
      <c r="D43" s="328" t="s">
        <v>777</v>
      </c>
      <c r="E43" s="329" t="s">
        <v>778</v>
      </c>
      <c r="F43" s="330">
        <f ca="1">INDIRECT("'数据-取费表'!k"&amp;$G$1)</f>
        <v>8725.98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-4817</v>
      </c>
      <c r="D46" s="1313" t="str">
        <f>C2</f>
        <v>万元</v>
      </c>
      <c r="E46" s="1307"/>
      <c r="F46" s="1307"/>
      <c r="I46" s="1314" t="s">
        <v>810</v>
      </c>
      <c r="J46" s="1315"/>
      <c r="K46" s="1316"/>
      <c r="L46" s="1317">
        <f ca="1">IF(M47="住宅",0,IF(L48&gt;J51,L60,J60))</f>
        <v>126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4517</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37.93</v>
      </c>
      <c r="O48" s="1325" t="s">
        <v>404</v>
      </c>
      <c r="P48" s="1326" t="s">
        <v>821</v>
      </c>
      <c r="Q48" s="1327">
        <f ca="1">J60</f>
        <v>126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2015</v>
      </c>
      <c r="K49" s="1330" t="s">
        <v>824</v>
      </c>
      <c r="L49" s="1333"/>
      <c r="O49" s="1334" t="s">
        <v>405</v>
      </c>
      <c r="P49" s="1326" t="s">
        <v>825</v>
      </c>
      <c r="Q49" s="1327">
        <f ca="1">C29</f>
        <v>4877</v>
      </c>
      <c r="R49" s="1327" t="s">
        <v>818</v>
      </c>
    </row>
    <row r="50" spans="1:18" s="1292" customFormat="1" ht="13.5" thickBot="1">
      <c r="A50" s="922"/>
      <c r="B50" s="925"/>
      <c r="C50" s="1055"/>
      <c r="D50" s="899"/>
      <c r="E50" s="993" t="s">
        <v>697</v>
      </c>
      <c r="F50" s="994">
        <f ca="1">F7</f>
        <v>8725.98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-1175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37.93</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37.93</v>
      </c>
      <c r="K53" s="3356" t="s">
        <v>837</v>
      </c>
      <c r="L53" s="3357"/>
      <c r="O53" s="1325" t="s">
        <v>409</v>
      </c>
      <c r="P53" s="1326" t="s">
        <v>838</v>
      </c>
      <c r="Q53" s="1327">
        <f ca="1">Q47+Q48</f>
        <v>4643</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40" thickTop="1" thickBot="1">
      <c r="A56" s="903">
        <v>2</v>
      </c>
      <c r="B56" s="904" t="s">
        <v>704</v>
      </c>
      <c r="C56" s="224">
        <f ca="1">C13</f>
        <v>4048</v>
      </c>
      <c r="D56" s="1352"/>
      <c r="E56" s="1353"/>
      <c r="F56" s="1345"/>
      <c r="I56" s="1354" t="s">
        <v>842</v>
      </c>
      <c r="J56" s="1355" t="s">
        <v>3443</v>
      </c>
      <c r="K56" s="1328" t="s">
        <v>843</v>
      </c>
      <c r="L56" s="1331" t="str">
        <f ca="1">IF(L48&lt;J51,"——",L48-J53)</f>
        <v>——</v>
      </c>
      <c r="O56" s="1325" t="s">
        <v>403</v>
      </c>
      <c r="P56" s="1326" t="s">
        <v>817</v>
      </c>
      <c r="Q56" s="1327">
        <f ca="1">C40+J29</f>
        <v>4517</v>
      </c>
      <c r="R56" s="1327" t="s">
        <v>818</v>
      </c>
    </row>
    <row r="57" spans="1:18" s="1292" customFormat="1" ht="26.5" thickBot="1">
      <c r="A57" s="1356"/>
      <c r="B57" s="896" t="s">
        <v>767</v>
      </c>
      <c r="C57" s="230">
        <f ca="1">C29</f>
        <v>4877</v>
      </c>
      <c r="D57" s="1357"/>
      <c r="E57" s="1358"/>
      <c r="F57" s="1359"/>
      <c r="I57" s="1360" t="s">
        <v>844</v>
      </c>
      <c r="J57" s="1361">
        <f ca="1">IF(OR(M47="住宅",J51&lt;L48,J56="是"),"——",J51-L48)</f>
        <v>12.07</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19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1951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4517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14.63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4.05</v>
      </c>
      <c r="D65" s="910" t="s">
        <v>743</v>
      </c>
      <c r="E65" s="896" t="s">
        <v>744</v>
      </c>
      <c r="F65" s="321">
        <f t="shared" ca="1" si="0"/>
        <v>1E-3</v>
      </c>
      <c r="I65" s="1367" t="s">
        <v>867</v>
      </c>
      <c r="J65" s="610">
        <v>40</v>
      </c>
      <c r="K65" s="610">
        <v>30</v>
      </c>
      <c r="L65" s="610">
        <v>50</v>
      </c>
      <c r="M65" s="1369">
        <v>0.02</v>
      </c>
      <c r="O65" s="1325" t="s">
        <v>403</v>
      </c>
      <c r="P65" s="1326" t="s">
        <v>868</v>
      </c>
      <c r="Q65" s="1327">
        <f ca="1">C40+J29</f>
        <v>4517</v>
      </c>
      <c r="R65" s="1327" t="s">
        <v>818</v>
      </c>
    </row>
    <row r="66" spans="1:18" s="1292" customFormat="1" ht="16"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-19</v>
      </c>
      <c r="D67" s="909" t="s">
        <v>753</v>
      </c>
      <c r="E67" s="914"/>
      <c r="F67" s="915"/>
      <c r="O67" s="1334" t="s">
        <v>405</v>
      </c>
      <c r="P67" s="1326" t="s">
        <v>850</v>
      </c>
      <c r="Q67" s="1370">
        <f ca="1">L51</f>
        <v>-1175</v>
      </c>
      <c r="R67" s="1327" t="s">
        <v>870</v>
      </c>
    </row>
    <row r="68" spans="1:18" s="1292" customFormat="1" ht="16" thickBot="1">
      <c r="A68" s="893" t="s">
        <v>395</v>
      </c>
      <c r="B68" s="894" t="s">
        <v>774</v>
      </c>
      <c r="C68" s="293">
        <f ca="1">ROUND(C67*(1-((1+F70)/(1+F68))^F69)/(F68-F70),0)</f>
        <v>-300</v>
      </c>
      <c r="D68" s="911" t="s">
        <v>758</v>
      </c>
      <c r="E68" s="896" t="s">
        <v>759</v>
      </c>
      <c r="F68" s="304">
        <f ca="1">F40</f>
        <v>5.5E-2</v>
      </c>
      <c r="O68" s="1334" t="s">
        <v>406</v>
      </c>
      <c r="P68" s="1371" t="s">
        <v>871</v>
      </c>
      <c r="Q68" s="1327">
        <f ca="1">ROUND(Q69-Q70*Q71,0)</f>
        <v>-64</v>
      </c>
      <c r="R68" s="1327" t="s">
        <v>414</v>
      </c>
    </row>
    <row r="69" spans="1:18" s="1292" customFormat="1" ht="13.5" thickBot="1">
      <c r="A69" s="897"/>
      <c r="B69" s="898"/>
      <c r="C69" s="298"/>
      <c r="D69" s="916" t="s">
        <v>762</v>
      </c>
      <c r="E69" s="896" t="s">
        <v>763</v>
      </c>
      <c r="F69" s="324">
        <f ca="1">F41</f>
        <v>37.93</v>
      </c>
      <c r="O69" s="1334" t="s">
        <v>411</v>
      </c>
      <c r="P69" s="1371" t="s">
        <v>872</v>
      </c>
      <c r="Q69" s="1327">
        <f ca="1">C39</f>
        <v>219</v>
      </c>
      <c r="R69" s="1327" t="s">
        <v>818</v>
      </c>
    </row>
    <row r="70" spans="1:18" s="1292" customFormat="1" ht="13.5" thickBot="1">
      <c r="A70" s="900"/>
      <c r="B70" s="901"/>
      <c r="C70" s="302"/>
      <c r="D70" s="912"/>
      <c r="E70" s="896" t="s">
        <v>766</v>
      </c>
      <c r="F70" s="991"/>
      <c r="O70" s="1334" t="s">
        <v>412</v>
      </c>
      <c r="P70" s="1371" t="s">
        <v>873</v>
      </c>
      <c r="Q70" s="1327">
        <f ca="1">C13</f>
        <v>4048</v>
      </c>
      <c r="R70" s="1327" t="s">
        <v>818</v>
      </c>
    </row>
    <row r="71" spans="1:18" s="1292" customFormat="1" ht="13.5" thickBot="1">
      <c r="A71" s="917" t="s">
        <v>396</v>
      </c>
      <c r="B71" s="918" t="s">
        <v>776</v>
      </c>
      <c r="C71" s="327">
        <f ca="1">ROUND(C68*10000/F71,0)</f>
        <v>-344</v>
      </c>
      <c r="D71" s="919" t="s">
        <v>777</v>
      </c>
      <c r="E71" s="920" t="s">
        <v>778</v>
      </c>
      <c r="F71" s="330">
        <f ca="1">F43</f>
        <v>8725.98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283</v>
      </c>
      <c r="D75" s="1292"/>
      <c r="E75" s="1292"/>
      <c r="F75" s="1292"/>
      <c r="K75" s="1309"/>
      <c r="L75" s="1292"/>
      <c r="O75" s="1325" t="s">
        <v>409</v>
      </c>
      <c r="P75" s="1326" t="s">
        <v>838</v>
      </c>
      <c r="Q75" s="1327">
        <f ca="1">Q65+Q66</f>
        <v>4517</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-0.29200000000000004</v>
      </c>
    </row>
    <row r="80" spans="1:18" ht="13">
      <c r="B80" s="331" t="s">
        <v>800</v>
      </c>
      <c r="C80" s="266">
        <f ca="1">ROUND(C75/C39,3)</f>
        <v>1.292</v>
      </c>
    </row>
    <row r="81" spans="2:3" ht="13.5">
      <c r="B81" s="262" t="s">
        <v>801</v>
      </c>
      <c r="C81" s="230"/>
    </row>
    <row r="82" spans="2:3" ht="13">
      <c r="B82" s="265" t="s">
        <v>802</v>
      </c>
      <c r="C82" s="267">
        <f ca="1">1-C83</f>
        <v>0.10399999999999998</v>
      </c>
    </row>
    <row r="83" spans="2:3" ht="13">
      <c r="B83" s="265" t="s">
        <v>803</v>
      </c>
      <c r="C83" s="266">
        <f ca="1">ROUND(C13/C40,3)</f>
        <v>0.89600000000000002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0</v>
      </c>
      <c r="D6" s="147" t="s">
        <v>2106</v>
      </c>
      <c r="E6" s="294" t="s">
        <v>696</v>
      </c>
      <c r="F6" s="295">
        <f ca="1">INDIRECT("'数据-取费表'!u"&amp;$G$1)</f>
        <v>0</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t="e">
        <f ca="1">ROUND((C68-C40)/10000,4)</f>
        <v>#DIV/0!</v>
      </c>
      <c r="D45" s="3129"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7" t="s">
        <v>2317</v>
      </c>
      <c r="K2" s="336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9" t="s">
        <v>2327</v>
      </c>
      <c r="K3" s="337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9" t="s">
        <v>2329</v>
      </c>
      <c r="K4" s="337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5" t="s">
        <v>2333</v>
      </c>
      <c r="B6" s="3376"/>
      <c r="C6" s="3377"/>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8" t="s">
        <v>2347</v>
      </c>
      <c r="C8" s="3379"/>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8" t="s">
        <v>2353</v>
      </c>
      <c r="C9" s="3379"/>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15" customHeight="1">
      <c r="A10" s="2638">
        <v>2</v>
      </c>
      <c r="B10" s="3378" t="s">
        <v>2356</v>
      </c>
      <c r="C10" s="3379"/>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15" customHeight="1">
      <c r="A11" s="2638">
        <v>3</v>
      </c>
      <c r="B11" s="3378" t="s">
        <v>2359</v>
      </c>
      <c r="C11" s="3379"/>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71" t="s">
        <v>2362</v>
      </c>
      <c r="C12" s="3372"/>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71" t="s">
        <v>2368</v>
      </c>
      <c r="C14" s="3372"/>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71" t="s">
        <v>2372</v>
      </c>
      <c r="C15" s="3372"/>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71" t="s">
        <v>2381</v>
      </c>
      <c r="C16" s="3372"/>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3" t="s">
        <v>2384</v>
      </c>
      <c r="C17" s="3374"/>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7" t="s">
        <v>2317</v>
      </c>
      <c r="K32" s="336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9" t="s">
        <v>2327</v>
      </c>
      <c r="K33" s="337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9" t="s">
        <v>2329</v>
      </c>
      <c r="K34" s="337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4643</v>
      </c>
      <c r="C2" s="1729" t="s">
        <v>1651</v>
      </c>
      <c r="D2" s="1730" t="s">
        <v>1652</v>
      </c>
      <c r="E2" s="2392">
        <f>SUM(E6:E13)</f>
        <v>8725.98</v>
      </c>
      <c r="F2" s="2478"/>
      <c r="G2" s="459"/>
      <c r="H2" s="459"/>
      <c r="I2" s="459"/>
      <c r="J2" s="459"/>
      <c r="K2" s="459"/>
      <c r="L2" s="459"/>
      <c r="M2" s="459"/>
      <c r="N2" s="459"/>
      <c r="O2" s="459"/>
      <c r="P2" s="459"/>
      <c r="Q2" s="459"/>
      <c r="R2" s="459"/>
      <c r="S2" s="459"/>
    </row>
    <row r="3" spans="1:22" ht="15.5">
      <c r="A3" s="1728" t="s">
        <v>686</v>
      </c>
      <c r="B3" s="2386">
        <f ca="1">ROUND(B2*10000/E2,0)</f>
        <v>5321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80" t="s">
        <v>1654</v>
      </c>
      <c r="C5" s="3381"/>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4643</v>
      </c>
      <c r="C6" s="1729" t="s">
        <v>1651</v>
      </c>
      <c r="D6" s="2478"/>
      <c r="E6" s="2391">
        <f>IF(OR(A6=0,F6="否"),0,'数据-取费表'!K6+'数据-取费表'!S6)</f>
        <v>8725.98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8725.98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00" t="s">
        <v>1667</v>
      </c>
      <c r="D4" s="3401"/>
      <c r="E4" s="3402" t="s">
        <v>1668</v>
      </c>
      <c r="F4" s="3403"/>
      <c r="G4" s="3400" t="s">
        <v>1669</v>
      </c>
      <c r="H4" s="3401"/>
      <c r="I4" s="3400" t="s">
        <v>1670</v>
      </c>
      <c r="J4" s="3401"/>
      <c r="K4" s="1744" t="s">
        <v>1671</v>
      </c>
      <c r="L4" s="2485"/>
      <c r="M4" s="2486"/>
      <c r="N4" s="2486"/>
      <c r="O4" s="2486"/>
      <c r="P4" s="3404" t="s">
        <v>1672</v>
      </c>
      <c r="Q4" s="3405"/>
      <c r="R4" s="3410" t="s">
        <v>1668</v>
      </c>
      <c r="S4" s="3411"/>
      <c r="T4" s="3410" t="s">
        <v>1669</v>
      </c>
      <c r="U4" s="3411"/>
      <c r="V4" s="3386" t="s">
        <v>1670</v>
      </c>
      <c r="W4" s="3386"/>
      <c r="X4" s="1265"/>
      <c r="Y4" s="3410" t="s">
        <v>1672</v>
      </c>
      <c r="Z4" s="3411"/>
      <c r="AA4" s="3397" t="s">
        <v>1668</v>
      </c>
      <c r="AB4" s="3397" t="s">
        <v>1669</v>
      </c>
      <c r="AC4" s="3397" t="s">
        <v>1670</v>
      </c>
    </row>
    <row r="5" spans="1:29">
      <c r="A5" s="348"/>
      <c r="B5" s="349"/>
      <c r="C5" s="3418" t="s">
        <v>1673</v>
      </c>
      <c r="D5" s="3419"/>
      <c r="E5" s="3425" t="s">
        <v>1674</v>
      </c>
      <c r="F5" s="3426"/>
      <c r="G5" s="3418" t="s">
        <v>1675</v>
      </c>
      <c r="H5" s="3419"/>
      <c r="I5" s="3418" t="s">
        <v>1676</v>
      </c>
      <c r="J5" s="3419"/>
      <c r="K5" s="1745"/>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1745" t="s">
        <v>1678</v>
      </c>
      <c r="L6" s="2485"/>
      <c r="M6" s="2486"/>
      <c r="N6" s="2486"/>
      <c r="O6" s="2486"/>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0" t="s">
        <v>1680</v>
      </c>
      <c r="Q7" s="3422"/>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6"/>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6"/>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6"/>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6"/>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4"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5"/>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5"/>
      <c r="Q18" s="1263"/>
      <c r="R18" s="667"/>
      <c r="S18" s="668"/>
      <c r="T18" s="667"/>
      <c r="U18" s="668"/>
      <c r="V18" s="667"/>
      <c r="W18" s="668"/>
      <c r="X18" s="1265"/>
      <c r="Y18" s="338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5"/>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5"/>
      <c r="Q20" s="1263"/>
      <c r="R20" s="667"/>
      <c r="S20" s="668"/>
      <c r="T20" s="667"/>
      <c r="U20" s="668"/>
      <c r="V20" s="667"/>
      <c r="W20" s="668"/>
      <c r="X20" s="1265"/>
      <c r="Y20" s="338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5"/>
      <c r="Q22" s="1263"/>
      <c r="R22" s="667"/>
      <c r="S22" s="668"/>
      <c r="T22" s="667"/>
      <c r="U22" s="668"/>
      <c r="V22" s="667"/>
      <c r="W22" s="668"/>
      <c r="X22" s="1265"/>
      <c r="Y22" s="338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5"/>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5"/>
      <c r="Q24" s="1263"/>
      <c r="R24" s="667"/>
      <c r="S24" s="668"/>
      <c r="T24" s="667"/>
      <c r="U24" s="668"/>
      <c r="V24" s="667"/>
      <c r="W24" s="668"/>
      <c r="X24" s="1265"/>
      <c r="Y24" s="338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5"/>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5"/>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5"/>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5"/>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5"/>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5"/>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8725.98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86"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86"/>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86"/>
      <c r="AC6" s="3399"/>
    </row>
    <row r="7" spans="1:29" s="102" customFormat="1" ht="14.5" thickBot="1">
      <c r="A7" s="352" t="s">
        <v>1679</v>
      </c>
      <c r="B7" s="353"/>
      <c r="C7" s="354">
        <f>'数据-取费表'!B2</f>
        <v>45993</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6"/>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4"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5"/>
      <c r="Q16" s="1263"/>
      <c r="R16" s="667"/>
      <c r="S16" s="668"/>
      <c r="T16" s="667"/>
      <c r="U16" s="668"/>
      <c r="V16" s="667"/>
      <c r="W16" s="668"/>
      <c r="X16" s="1265"/>
      <c r="Y16" s="338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5"/>
      <c r="Q18" s="1263"/>
      <c r="R18" s="667"/>
      <c r="S18" s="668"/>
      <c r="T18" s="667"/>
      <c r="U18" s="668"/>
      <c r="V18" s="667"/>
      <c r="W18" s="668"/>
      <c r="X18" s="1265"/>
      <c r="Y18" s="338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5"/>
      <c r="Q20" s="1263"/>
      <c r="R20" s="667"/>
      <c r="S20" s="668"/>
      <c r="T20" s="667"/>
      <c r="U20" s="668"/>
      <c r="V20" s="667"/>
      <c r="W20" s="668"/>
      <c r="X20" s="1265"/>
      <c r="Y20" s="338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5"/>
      <c r="Q22" s="1263"/>
      <c r="R22" s="667"/>
      <c r="S22" s="668"/>
      <c r="T22" s="667"/>
      <c r="U22" s="668"/>
      <c r="V22" s="667"/>
      <c r="W22" s="668"/>
      <c r="X22" s="1265"/>
      <c r="Y22" s="338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5"/>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5"/>
      <c r="Q24" s="1263"/>
      <c r="R24" s="667"/>
      <c r="S24" s="668"/>
      <c r="T24" s="667"/>
      <c r="U24" s="668"/>
      <c r="V24" s="667"/>
      <c r="W24" s="668"/>
      <c r="X24" s="1265"/>
      <c r="Y24" s="338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5"/>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5"/>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5"/>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5"/>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8725.98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00" t="s">
        <v>1770</v>
      </c>
      <c r="D4" s="3401"/>
      <c r="E4" s="3402" t="s">
        <v>1771</v>
      </c>
      <c r="F4" s="3403"/>
      <c r="G4" s="3400" t="s">
        <v>1772</v>
      </c>
      <c r="H4" s="3401"/>
      <c r="I4" s="3400" t="s">
        <v>1773</v>
      </c>
      <c r="J4" s="3401"/>
      <c r="K4" s="537" t="s">
        <v>1774</v>
      </c>
      <c r="L4" s="2485"/>
      <c r="M4" s="2486"/>
      <c r="N4" s="2486"/>
      <c r="O4" s="2486"/>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8" t="s">
        <v>1673</v>
      </c>
      <c r="D5" s="3419"/>
      <c r="E5" s="3425" t="s">
        <v>1674</v>
      </c>
      <c r="F5" s="3426"/>
      <c r="G5" s="3418" t="s">
        <v>1675</v>
      </c>
      <c r="H5" s="3419"/>
      <c r="I5" s="3418" t="s">
        <v>1676</v>
      </c>
      <c r="J5" s="3419"/>
      <c r="K5" s="537"/>
      <c r="L5" s="2485"/>
      <c r="M5" s="2486"/>
      <c r="N5" s="2486"/>
      <c r="O5" s="2486"/>
      <c r="P5" s="3435"/>
      <c r="Q5" s="3407"/>
      <c r="R5" s="3412"/>
      <c r="S5" s="3413"/>
      <c r="T5" s="3412"/>
      <c r="U5" s="3413"/>
      <c r="V5" s="3386"/>
      <c r="W5" s="3386"/>
      <c r="X5" s="1265"/>
      <c r="Y5" s="3412"/>
      <c r="Z5" s="3413"/>
      <c r="AA5" s="3398"/>
      <c r="AB5" s="3398"/>
      <c r="AC5" s="3431"/>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36"/>
      <c r="Q6" s="3409"/>
      <c r="R6" s="3412"/>
      <c r="S6" s="3413"/>
      <c r="T6" s="3414"/>
      <c r="U6" s="3415"/>
      <c r="V6" s="3386"/>
      <c r="W6" s="3386"/>
      <c r="X6" s="1265"/>
      <c r="Y6" s="3414"/>
      <c r="Z6" s="3415"/>
      <c r="AA6" s="3399"/>
      <c r="AB6" s="3399"/>
      <c r="AC6" s="3432"/>
    </row>
    <row r="7" spans="1:29" s="102" customFormat="1" ht="14.5" thickBot="1">
      <c r="A7" s="352" t="s">
        <v>1679</v>
      </c>
      <c r="B7" s="353"/>
      <c r="C7" s="354">
        <f>'数据-取费表'!B2</f>
        <v>45993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4"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5"/>
      <c r="Q16" s="1263"/>
      <c r="R16" s="667"/>
      <c r="S16" s="668"/>
      <c r="T16" s="667"/>
      <c r="U16" s="668"/>
      <c r="V16" s="667"/>
      <c r="W16" s="668"/>
      <c r="X16" s="1265"/>
      <c r="Y16" s="338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5"/>
      <c r="Q18" s="1263"/>
      <c r="R18" s="667"/>
      <c r="S18" s="668"/>
      <c r="T18" s="667"/>
      <c r="U18" s="668"/>
      <c r="V18" s="667"/>
      <c r="W18" s="668"/>
      <c r="X18" s="1265"/>
      <c r="Y18" s="338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5"/>
      <c r="Q20" s="1263"/>
      <c r="R20" s="667"/>
      <c r="S20" s="668"/>
      <c r="T20" s="667"/>
      <c r="U20" s="668"/>
      <c r="V20" s="667"/>
      <c r="W20" s="668"/>
      <c r="X20" s="1265"/>
      <c r="Y20" s="338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5"/>
      <c r="Q22" s="1263"/>
      <c r="R22" s="667"/>
      <c r="S22" s="668"/>
      <c r="T22" s="667"/>
      <c r="U22" s="668"/>
      <c r="V22" s="667"/>
      <c r="W22" s="668"/>
      <c r="X22" s="1265"/>
      <c r="Y22" s="338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5"/>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5"/>
      <c r="Q24" s="1263"/>
      <c r="R24" s="667"/>
      <c r="S24" s="668"/>
      <c r="T24" s="667"/>
      <c r="U24" s="668"/>
      <c r="V24" s="667"/>
      <c r="W24" s="668"/>
      <c r="X24" s="1265"/>
      <c r="Y24" s="338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5"/>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5"/>
      <c r="Q26" s="1263"/>
      <c r="R26" s="667"/>
      <c r="S26" s="668"/>
      <c r="T26" s="667"/>
      <c r="U26" s="668"/>
      <c r="V26" s="667"/>
      <c r="W26" s="668"/>
      <c r="X26" s="1265"/>
      <c r="Y26" s="338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5"/>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5"/>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5"/>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6" t="str">
        <f>A48</f>
        <v>成交单价（元/平方米）</v>
      </c>
      <c r="Q48" s="3385"/>
      <c r="R48" s="3386">
        <f>E48</f>
        <v>0</v>
      </c>
      <c r="S48" s="3386"/>
      <c r="T48" s="3386">
        <f>G48</f>
        <v>0</v>
      </c>
      <c r="U48" s="3386"/>
      <c r="V48" s="3386">
        <f>I48</f>
        <v>0</v>
      </c>
      <c r="W48" s="3386"/>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受贵公司委托，我公司对北京市房山区福通路1号院1号楼-2至10层1-1房地产抵押价值进行了预评估。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福通路1号院1号楼-2至10层1-1房地产，为北京万通新材工贸有限公司所有。根据《国有土地使用证》[]，估价对象（分摊）出让国有建设用地使用权面积为0平方米，建筑面积为8725.98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福通路1号院1号楼-2至10层1-1房地产,属北京万通新材工贸有限公司开发建设的，该项目尚在开发建设中。根据《国有土地使用证》[]，估价对象（分摊）出让国有建设用地使用权面积为0平方米，规划建筑面积为8725.98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山区福通路1号院1号楼-2至10层1-1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8725.98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860"/>
      <c r="M5" s="861"/>
      <c r="N5" s="861"/>
      <c r="O5" s="861"/>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860"/>
      <c r="M6" s="861"/>
      <c r="N6" s="861"/>
      <c r="O6" s="861"/>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8"/>
      <c r="Q15" s="1263"/>
      <c r="R15" s="667"/>
      <c r="S15" s="668"/>
      <c r="T15" s="667"/>
      <c r="U15" s="668"/>
      <c r="V15" s="667"/>
      <c r="W15" s="668"/>
      <c r="X15" s="1265"/>
      <c r="Y15" s="338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8"/>
      <c r="Q17" s="1263"/>
      <c r="R17" s="667"/>
      <c r="S17" s="668"/>
      <c r="T17" s="667"/>
      <c r="U17" s="668"/>
      <c r="V17" s="667"/>
      <c r="W17" s="668"/>
      <c r="X17" s="1265"/>
      <c r="Y17" s="338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8"/>
      <c r="Q19" s="1263"/>
      <c r="R19" s="667"/>
      <c r="S19" s="668"/>
      <c r="T19" s="667"/>
      <c r="U19" s="668"/>
      <c r="V19" s="667"/>
      <c r="W19" s="668"/>
      <c r="X19" s="1265"/>
      <c r="Y19" s="338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8"/>
      <c r="Q21" s="1263"/>
      <c r="R21" s="667"/>
      <c r="S21" s="668"/>
      <c r="T21" s="667"/>
      <c r="U21" s="668"/>
      <c r="V21" s="667"/>
      <c r="W21" s="668"/>
      <c r="X21" s="1265"/>
      <c r="Y21" s="338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5" t="str">
        <f>A37</f>
        <v>成交单价</v>
      </c>
      <c r="Q37" s="3385"/>
      <c r="R37" s="3386">
        <f>E37</f>
        <v>0</v>
      </c>
      <c r="S37" s="3386"/>
      <c r="T37" s="3386">
        <f>G37</f>
        <v>0</v>
      </c>
      <c r="U37" s="3386"/>
      <c r="V37" s="3386">
        <f>I37</f>
        <v>0</v>
      </c>
      <c r="W37" s="338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82" t="str">
        <f>A39</f>
        <v>估价对象XX用房的比较价值（楼面单价，元/平方米）</v>
      </c>
      <c r="Q39" s="338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8"/>
      <c r="Q15" s="1263"/>
      <c r="R15" s="667"/>
      <c r="S15" s="668"/>
      <c r="T15" s="667"/>
      <c r="U15" s="668"/>
      <c r="V15" s="667"/>
      <c r="W15" s="668"/>
      <c r="X15" s="1265"/>
      <c r="Y15" s="338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8"/>
      <c r="Q17" s="1263"/>
      <c r="R17" s="667"/>
      <c r="S17" s="668"/>
      <c r="T17" s="667"/>
      <c r="U17" s="668"/>
      <c r="V17" s="667"/>
      <c r="W17" s="668"/>
      <c r="X17" s="1265"/>
      <c r="Y17" s="338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8"/>
      <c r="Q19" s="1263"/>
      <c r="R19" s="667"/>
      <c r="S19" s="668"/>
      <c r="T19" s="667"/>
      <c r="U19" s="668"/>
      <c r="V19" s="667"/>
      <c r="W19" s="668"/>
      <c r="X19" s="1265"/>
      <c r="Y19" s="338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8"/>
      <c r="Q21" s="1263"/>
      <c r="R21" s="667"/>
      <c r="S21" s="668"/>
      <c r="T21" s="667"/>
      <c r="U21" s="668"/>
      <c r="V21" s="667"/>
      <c r="W21" s="668"/>
      <c r="X21" s="1265"/>
      <c r="Y21" s="338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82" t="str">
        <f>A37</f>
        <v>估价对象XX用房的比较价值（楼面单价，元/平方米）</v>
      </c>
      <c r="Q37" s="338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108</v>
      </c>
      <c r="G10" s="402"/>
      <c r="H10" s="119">
        <f>ROUND(100/'数据-取费表'!G16,0)</f>
        <v>108</v>
      </c>
      <c r="I10" s="402"/>
      <c r="J10" s="119">
        <f>ROUND(100/'数据-取费表'!G16,0)</f>
        <v>108</v>
      </c>
      <c r="K10" s="592"/>
      <c r="L10" s="2488"/>
      <c r="M10" s="2489"/>
      <c r="N10" s="2489"/>
      <c r="O10" s="2540"/>
      <c r="P10" s="3385"/>
      <c r="Q10" s="530" t="str">
        <f t="shared" si="6"/>
        <v>土地使用年限（年）</v>
      </c>
      <c r="R10" s="664" t="s">
        <v>14</v>
      </c>
      <c r="S10" s="665">
        <f t="shared" si="0"/>
        <v>108</v>
      </c>
      <c r="T10" s="664" t="s">
        <v>14</v>
      </c>
      <c r="U10" s="665">
        <f t="shared" si="1"/>
        <v>108</v>
      </c>
      <c r="V10" s="664" t="s">
        <v>14</v>
      </c>
      <c r="W10" s="665">
        <f t="shared" si="2"/>
        <v>108</v>
      </c>
      <c r="X10" s="666"/>
      <c r="Y10" s="3260"/>
      <c r="Z10" s="50" t="str">
        <f t="shared" si="7"/>
        <v>土地使用年限（年）</v>
      </c>
      <c r="AA10" s="50">
        <f t="shared" si="3"/>
        <v>0.92592592592592593</v>
      </c>
      <c r="AB10" s="50">
        <f t="shared" si="4"/>
        <v>0.92592592592592593</v>
      </c>
      <c r="AC10" s="50">
        <f t="shared" si="5"/>
        <v>0.92592592592592593</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5"/>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8"/>
      <c r="Q20" s="1263"/>
      <c r="R20" s="667"/>
      <c r="S20" s="668"/>
      <c r="T20" s="667"/>
      <c r="U20" s="668"/>
      <c r="V20" s="667"/>
      <c r="W20" s="668"/>
      <c r="X20" s="1265"/>
      <c r="Y20" s="338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8"/>
      <c r="Q24" s="1263"/>
      <c r="R24" s="667"/>
      <c r="S24" s="668"/>
      <c r="T24" s="667"/>
      <c r="U24" s="668"/>
      <c r="V24" s="667"/>
      <c r="W24" s="668"/>
      <c r="X24" s="1265"/>
      <c r="Y24" s="338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8"/>
      <c r="Q26" s="1263"/>
      <c r="R26" s="667"/>
      <c r="S26" s="668"/>
      <c r="T26" s="667"/>
      <c r="U26" s="668"/>
      <c r="V26" s="667"/>
      <c r="W26" s="668"/>
      <c r="X26" s="1265"/>
      <c r="Y26" s="338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8"/>
      <c r="Q28" s="530"/>
      <c r="R28" s="664"/>
      <c r="S28" s="665"/>
      <c r="T28" s="664"/>
      <c r="U28" s="665"/>
      <c r="V28" s="664"/>
      <c r="W28" s="665"/>
      <c r="X28" s="666"/>
      <c r="Y28" s="338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8"/>
      <c r="Q30" s="530"/>
      <c r="R30" s="664"/>
      <c r="S30" s="665"/>
      <c r="T30" s="664"/>
      <c r="U30" s="665"/>
      <c r="V30" s="664"/>
      <c r="W30" s="665"/>
      <c r="X30" s="666"/>
      <c r="Y30" s="338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8"/>
      <c r="Q33" s="1263"/>
      <c r="R33" s="667"/>
      <c r="S33" s="668"/>
      <c r="T33" s="667"/>
      <c r="U33" s="668"/>
      <c r="V33" s="667"/>
      <c r="W33" s="668"/>
      <c r="X33" s="1265"/>
      <c r="Y33" s="338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5" t="str">
        <f>A46</f>
        <v>成交单价</v>
      </c>
      <c r="Q46" s="3385"/>
      <c r="R46" s="3386">
        <f>E46</f>
        <v>0</v>
      </c>
      <c r="S46" s="3386"/>
      <c r="T46" s="3386">
        <f>G46</f>
        <v>0</v>
      </c>
      <c r="U46" s="3386"/>
      <c r="V46" s="3386">
        <f>I46</f>
        <v>0</v>
      </c>
      <c r="W46" s="338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5" t="str">
        <f>A47</f>
        <v>比较价值（元/平方米）</v>
      </c>
      <c r="Q47" s="3385"/>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82" t="str">
        <f>A48</f>
        <v>估价对象XX用房的比较价值（楼面单价，元/平方米）</v>
      </c>
      <c r="Q48" s="3383"/>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0"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7271.65</v>
      </c>
      <c r="F56" s="833" t="e">
        <f t="shared" ref="F56:F64" si="15">ROUND(B56*E56/10000,0)</f>
        <v>#DIV/0!</v>
      </c>
      <c r="G56" s="3396"/>
      <c r="H56" s="338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7271.65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47" t="s">
        <v>1919</v>
      </c>
      <c r="D6" s="3448"/>
      <c r="E6" s="3449" t="s">
        <v>1919</v>
      </c>
      <c r="F6" s="3450"/>
      <c r="G6" s="3447" t="s">
        <v>1919</v>
      </c>
      <c r="H6" s="3448"/>
      <c r="I6" s="3447" t="s">
        <v>1919</v>
      </c>
      <c r="J6" s="3448"/>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4.5" thickBot="1">
      <c r="A7" s="352" t="s">
        <v>1679</v>
      </c>
      <c r="B7" s="353"/>
      <c r="C7" s="354">
        <f>'数据-取费表'!B2</f>
        <v>45993</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108</v>
      </c>
      <c r="G10" s="371"/>
      <c r="H10" s="119">
        <f>ROUND(100/'数据-取费表'!G16,0)</f>
        <v>108</v>
      </c>
      <c r="I10" s="371"/>
      <c r="J10" s="119">
        <f>ROUND(100/'数据-取费表'!G16,0)</f>
        <v>108</v>
      </c>
      <c r="K10" s="592"/>
      <c r="L10" s="2488"/>
      <c r="M10" s="2489"/>
      <c r="N10" s="2489"/>
      <c r="O10" s="2540"/>
      <c r="P10" s="3385"/>
      <c r="Q10" s="530" t="str">
        <f t="shared" si="6"/>
        <v>土地使用年限（年）</v>
      </c>
      <c r="R10" s="664" t="s">
        <v>14</v>
      </c>
      <c r="S10" s="665">
        <f t="shared" si="0"/>
        <v>108</v>
      </c>
      <c r="T10" s="664" t="s">
        <v>14</v>
      </c>
      <c r="U10" s="665">
        <f t="shared" si="1"/>
        <v>108</v>
      </c>
      <c r="V10" s="664" t="s">
        <v>14</v>
      </c>
      <c r="W10" s="665">
        <f t="shared" si="2"/>
        <v>108</v>
      </c>
      <c r="X10" s="666"/>
      <c r="Y10" s="3260"/>
      <c r="Z10" s="50" t="str">
        <f t="shared" si="7"/>
        <v>土地使用年限（年）</v>
      </c>
      <c r="AA10" s="50">
        <f t="shared" si="3"/>
        <v>0.92592592592592593</v>
      </c>
      <c r="AB10" s="50">
        <f t="shared" si="4"/>
        <v>0.92592592592592593</v>
      </c>
      <c r="AC10" s="50">
        <f t="shared" si="5"/>
        <v>0.92592592592592593</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8"/>
      <c r="Q20" s="1263"/>
      <c r="R20" s="667"/>
      <c r="S20" s="668"/>
      <c r="T20" s="667"/>
      <c r="U20" s="668"/>
      <c r="V20" s="667"/>
      <c r="W20" s="668"/>
      <c r="X20" s="1265"/>
      <c r="Y20" s="338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8"/>
      <c r="Q24" s="530"/>
      <c r="R24" s="664"/>
      <c r="S24" s="665"/>
      <c r="T24" s="664"/>
      <c r="U24" s="665"/>
      <c r="V24" s="664"/>
      <c r="W24" s="665"/>
      <c r="X24" s="666"/>
      <c r="Y24" s="338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8"/>
      <c r="Q26" s="530"/>
      <c r="R26" s="664"/>
      <c r="S26" s="665"/>
      <c r="T26" s="664"/>
      <c r="U26" s="665"/>
      <c r="V26" s="664"/>
      <c r="W26" s="665"/>
      <c r="X26" s="666"/>
      <c r="Y26" s="338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8"/>
      <c r="Q29" s="1263"/>
      <c r="R29" s="667"/>
      <c r="S29" s="668"/>
      <c r="T29" s="667"/>
      <c r="U29" s="668"/>
      <c r="V29" s="667"/>
      <c r="W29" s="668"/>
      <c r="X29" s="1265"/>
      <c r="Y29" s="338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5" t="str">
        <f>A41</f>
        <v>成交单价</v>
      </c>
      <c r="Q41" s="3385"/>
      <c r="R41" s="3386">
        <f>E41</f>
        <v>0</v>
      </c>
      <c r="S41" s="3386"/>
      <c r="T41" s="3386">
        <f>G41</f>
        <v>0</v>
      </c>
      <c r="U41" s="3386"/>
      <c r="V41" s="3386">
        <f>I41</f>
        <v>0</v>
      </c>
      <c r="W41" s="338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5" t="str">
        <f>A42</f>
        <v>比较价值（元/平方米）</v>
      </c>
      <c r="Q42" s="3385"/>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82" t="str">
        <f>A43</f>
        <v>估价对象XX用房的比较价值（楼面单价，元/平方米）</v>
      </c>
      <c r="Q43" s="3383"/>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00"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7271.65</v>
      </c>
      <c r="F51" s="611" t="e">
        <f t="shared" ref="F51:F60" si="15">ROUND(B51*E51/10000,0)</f>
        <v>#DIV/0!</v>
      </c>
      <c r="G51" s="3396"/>
      <c r="H51" s="338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1397</v>
      </c>
      <c r="C2" s="1984" t="s">
        <v>2074</v>
      </c>
      <c r="D2" s="1984" t="s">
        <v>2075</v>
      </c>
      <c r="E2" s="2397">
        <f ca="1">SUMIF(E6:E13,"&lt;&gt;#ref!",E6:E13)</f>
        <v>8725.98</v>
      </c>
      <c r="F2" s="2543"/>
      <c r="G2" s="2543"/>
      <c r="H2" s="2543"/>
      <c r="I2" s="2543"/>
      <c r="J2" s="2543"/>
      <c r="K2" s="2543"/>
      <c r="L2" s="2543"/>
      <c r="M2" s="2543"/>
      <c r="N2" s="2543"/>
      <c r="O2" s="2543"/>
      <c r="P2" s="2543"/>
    </row>
    <row r="3" spans="1:16" ht="15.5">
      <c r="A3" s="1984" t="s">
        <v>2076</v>
      </c>
      <c r="B3" s="2387">
        <f ca="1">ROUND(B2*10000/E2,0)</f>
        <v>1601</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1397</v>
      </c>
      <c r="C6" s="1984" t="s">
        <v>2074</v>
      </c>
      <c r="D6" s="2543"/>
      <c r="E6" s="2397">
        <f ca="1">SUMIF(INDIRECT("'"&amp;A6&amp;"'"&amp;"!C:C"),"建筑面积",INDIRECT("'"&amp;A6&amp;"'"&amp;"!D:D"))</f>
        <v>8725.98</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93" sqref="G93:G10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8725.98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1397</v>
      </c>
      <c r="C2" s="1846" t="s">
        <v>1935</v>
      </c>
      <c r="D2" s="162" t="s">
        <v>1936</v>
      </c>
      <c r="E2" s="3119" t="s">
        <v>3403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3588</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1601</v>
      </c>
      <c r="C3" s="1846" t="s">
        <v>1941</v>
      </c>
      <c r="D3" s="162" t="s">
        <v>1942</v>
      </c>
      <c r="E3" s="3117" t="s">
        <v>2458</v>
      </c>
      <c r="F3" s="1848" t="s">
        <v>3429</v>
      </c>
      <c r="G3" s="708">
        <f>IF(F3="宗地容积率",'数据-汇总表'!I4,IF(F3="估价对象容积率",'数据-汇总表'!I6,'数据-汇总表'!I7))</f>
        <v>3.14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2765</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2256</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3190</v>
      </c>
      <c r="D5" s="1252">
        <f>ROUND(C6*C17+C20,0)</f>
        <v>3190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1915</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3190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1745</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3.14</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3190</v>
      </c>
      <c r="N9" s="813">
        <f>SUMPRODUCT((因素修正幅度!B277:B326=I2)*(因素修正幅度!C3:G3=E2)*(因素修正幅度!C277:G326))</f>
        <v>0.15</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8" t="s">
        <v>3254</v>
      </c>
      <c r="B20" s="159" t="s">
        <v>1994</v>
      </c>
      <c r="C20" s="3030">
        <f>ROUND(IF(F21="与级别开发程度一致",0,(G21-E21)/C21),0)</f>
        <v>0</v>
      </c>
      <c r="D20" s="3045" t="s">
        <v>1998</v>
      </c>
      <c r="E20" s="3046"/>
      <c r="F20" s="3474" t="s">
        <v>1995</v>
      </c>
      <c r="G20" s="347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9"/>
      <c r="B21" s="2002" t="s">
        <v>1997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45993</v>
      </c>
      <c r="H23" s="3047" t="s">
        <v>3431</v>
      </c>
      <c r="I23" s="3048" t="str">
        <f>IF(H23="季度增幅（自定义）",SUMIF(N25:N28,E2,O25:O28),"")</f>
        <v/>
      </c>
      <c r="J23" s="3140" t="s">
        <v>3432</v>
      </c>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0.9234</v>
      </c>
      <c r="D24" s="1902" t="s">
        <v>2007</v>
      </c>
      <c r="E24" s="1248">
        <f>存贷款利率!E28/100</f>
        <v>4.3499999999999997E-2</v>
      </c>
      <c r="F24" s="1902" t="s">
        <v>1999</v>
      </c>
      <c r="G24" s="724">
        <f>SUMIF(M30:Q30,E2,M33:Q33)</f>
        <v>0.05</v>
      </c>
      <c r="H24" s="1902" t="s">
        <v>2008</v>
      </c>
      <c r="I24" s="725">
        <f>SUMIF('数据-取费表'!C6:C15,E2,'数据-取费表'!F6:F15)/COUNTIF('数据-取费表'!C6:C15,E2)</f>
        <v>37.93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0.7853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0.7853</v>
      </c>
      <c r="E26" s="708">
        <f>ROUNDDOWN(G3,1)</f>
        <v>3.1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0.7883</v>
      </c>
      <c r="G26" s="708">
        <f>ROUNDUP(G3,1)</f>
        <v>3.2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0.78090000000000004</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1.0052000000000001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1397</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17</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1827</v>
      </c>
      <c r="D33" s="1940">
        <f>'数据-汇总表'!F19</f>
        <v>7271.65</v>
      </c>
      <c r="E33" s="727">
        <f>ROUND(C33*D33/10000,0)</f>
        <v>1329</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457</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2"/>
      <c r="B37" s="1955" t="s">
        <v>2036</v>
      </c>
      <c r="C37" s="167">
        <f>ROUND(D5*C22*C23*C24*C28*F37,0)</f>
        <v>1163</v>
      </c>
      <c r="D37" s="1940"/>
      <c r="E37" s="163">
        <f>ROUND(C37*D37/10000,0)</f>
        <v>0</v>
      </c>
      <c r="F37" s="163">
        <f>SUMIF(修正!A59:A70,G2,修正!B59:B70)</f>
        <v>0.5</v>
      </c>
      <c r="G37" s="163">
        <f>ROUND(IF(E2="工业",C37*$M$42,C37*$M$41),0)</f>
        <v>291</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3"/>
      <c r="B38" s="1884" t="s">
        <v>2037</v>
      </c>
      <c r="C38" s="167">
        <f>ROUND(D5*C22*C23*C24*C28*F38,0)</f>
        <v>465</v>
      </c>
      <c r="D38" s="1940"/>
      <c r="E38" s="163">
        <f t="shared" ref="E38:E42" si="4">ROUND(C38*D38/10000,0)</f>
        <v>0</v>
      </c>
      <c r="F38" s="163">
        <f>SUMIF(修正!A59:A70,G2,修正!C59:C70)</f>
        <v>0.2</v>
      </c>
      <c r="G38" s="163">
        <f>ROUND(IF(E2="工业",C38*$M$42,C38*$M$41),0)</f>
        <v>116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3257</v>
      </c>
      <c r="C39" s="167">
        <f>ROUND(D5*C22*C23*C24*C28*F39,0)</f>
        <v>465</v>
      </c>
      <c r="D39" s="1940"/>
      <c r="E39" s="163">
        <f t="shared" si="4"/>
        <v>0</v>
      </c>
      <c r="F39" s="163">
        <f>SUMIF(修正!A59:A70,G2,修正!D59:D70)</f>
        <v>0.2</v>
      </c>
      <c r="G39" s="163">
        <f>ROUND(IF(E2="工业",C39*$M$42,C39*$M$41),0)</f>
        <v>116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465</v>
      </c>
      <c r="D40" s="1940">
        <f>'数据-汇总表'!G19</f>
        <v>1454.33</v>
      </c>
      <c r="E40" s="163">
        <f t="shared" si="4"/>
        <v>68</v>
      </c>
      <c r="F40" s="167">
        <f>SUMIF(修正!A59:A70,G2,修正!E59:E70)</f>
        <v>0.2</v>
      </c>
      <c r="G40" s="163">
        <f>ROUND(IF(E2="工业",C40*$M$42,C40*$M$41),0)</f>
        <v>116</v>
      </c>
      <c r="H40" s="163">
        <f t="shared" si="5"/>
        <v>1454.33</v>
      </c>
      <c r="I40" s="163">
        <f t="shared" si="6"/>
        <v>17</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1.0052000000000001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t="s">
        <v>3433</v>
      </c>
      <c r="D93" s="2309">
        <f>SUMIF($J$92:$N$92,C93,J93:N93)</f>
        <v>0</v>
      </c>
      <c r="E93" s="3082">
        <f>ROUND(SUM(D93:D101),4)</f>
        <v>5.1999999999999998E-3</v>
      </c>
      <c r="F93" s="1675">
        <f>IF(E2="公共服务",SUMIF(L1:L12,G2,N1:N12),"——")</f>
        <v>0.15</v>
      </c>
      <c r="G93" s="3073">
        <v>1.8700000000000001E-2</v>
      </c>
      <c r="H93" s="3118">
        <f>IFERROR(ROUNDDOWN($F$93*I93/2,4),"——")</f>
        <v>1.8700000000000001E-2</v>
      </c>
      <c r="I93" s="3067">
        <v>0.25</v>
      </c>
      <c r="J93" s="1912">
        <f t="shared" ref="J93:J101" si="27">K93+$G93</f>
        <v>3.7400000000000003E-2</v>
      </c>
      <c r="K93" s="1912">
        <f t="shared" ref="K93:K101" si="28">$L93+$G93</f>
        <v>1.8700000000000001E-2</v>
      </c>
      <c r="L93" s="1912">
        <v>0</v>
      </c>
      <c r="M93" s="1912">
        <f t="shared" ref="M93:N101" si="29">L93-$G93</f>
        <v>-1.8700000000000001E-2</v>
      </c>
      <c r="N93" s="1912">
        <f t="shared" si="29"/>
        <v>-3.7400000000000003E-2</v>
      </c>
    </row>
    <row r="94" spans="1:37" ht="50">
      <c r="A94" s="3079" t="s">
        <v>3271</v>
      </c>
      <c r="B94" s="3070" t="str">
        <f>估价对象房地状况!C18</f>
        <v>估价对象周边道路状况、公共交通通达情况、停车便捷程度，综合评价交通便捷度较好</v>
      </c>
      <c r="C94" s="1887" t="s">
        <v>3433</v>
      </c>
      <c r="D94" s="2309">
        <f t="shared" ref="D94:D101" si="30">SUMIF($J$60:$N$60,C94,J94:N94)</f>
        <v>0</v>
      </c>
      <c r="E94" s="3083"/>
      <c r="F94" s="1675"/>
      <c r="G94" s="3073">
        <v>1.95E-2</v>
      </c>
      <c r="H94" s="3118">
        <f>IFERROR(ROUNDDOWN($F$93*I94/2,4),"——")</f>
        <v>1.95E-2</v>
      </c>
      <c r="I94" s="3067">
        <v>0.26</v>
      </c>
      <c r="J94" s="1912">
        <f t="shared" si="27"/>
        <v>3.9E-2</v>
      </c>
      <c r="K94" s="1912">
        <f t="shared" si="28"/>
        <v>1.95E-2</v>
      </c>
      <c r="L94" s="1912">
        <v>0</v>
      </c>
      <c r="M94" s="1912">
        <f t="shared" si="29"/>
        <v>-1.95E-2</v>
      </c>
      <c r="N94" s="1912">
        <f t="shared" si="29"/>
        <v>-3.9E-2</v>
      </c>
    </row>
    <row r="95" spans="1:37" ht="39">
      <c r="A95" s="3069" t="s">
        <v>3267</v>
      </c>
      <c r="B95" s="3070">
        <f>估价对象房地状况!C19</f>
        <v>0</v>
      </c>
      <c r="C95" s="1887" t="s">
        <v>3433</v>
      </c>
      <c r="D95" s="2309">
        <f t="shared" si="30"/>
        <v>0</v>
      </c>
      <c r="E95" s="3083"/>
      <c r="F95" s="1675"/>
      <c r="G95" s="3073">
        <v>8.2000000000000007E-3</v>
      </c>
      <c r="H95" s="3118">
        <f t="shared" ref="H95:H101" si="31">IFERROR(ROUNDDOWN($F$93*I95/2,4),"——")</f>
        <v>8.2000000000000007E-3</v>
      </c>
      <c r="I95" s="3067">
        <v>0.11</v>
      </c>
      <c r="J95" s="1912">
        <f t="shared" si="27"/>
        <v>1.6400000000000001E-2</v>
      </c>
      <c r="K95" s="1912">
        <f t="shared" si="28"/>
        <v>8.2000000000000007E-3</v>
      </c>
      <c r="L95" s="1912">
        <v>0</v>
      </c>
      <c r="M95" s="1912">
        <f t="shared" si="29"/>
        <v>-8.2000000000000007E-3</v>
      </c>
      <c r="N95" s="1912">
        <f t="shared" si="29"/>
        <v>-1.6400000000000001E-2</v>
      </c>
    </row>
    <row r="96" spans="1:37" ht="39">
      <c r="A96" s="3079" t="s">
        <v>3272</v>
      </c>
      <c r="B96" s="3085" t="s">
        <v>3283</v>
      </c>
      <c r="C96" s="1887" t="s">
        <v>3433</v>
      </c>
      <c r="D96" s="2309">
        <f t="shared" si="30"/>
        <v>0</v>
      </c>
      <c r="E96" s="3083"/>
      <c r="F96" s="1675"/>
      <c r="G96" s="3073">
        <v>3.7000000000000002E-3</v>
      </c>
      <c r="H96" s="3118">
        <f t="shared" si="31"/>
        <v>3.7000000000000002E-3</v>
      </c>
      <c r="I96" s="3067">
        <v>0.05</v>
      </c>
      <c r="J96" s="1912">
        <f t="shared" si="27"/>
        <v>7.4000000000000003E-3</v>
      </c>
      <c r="K96" s="1912">
        <f t="shared" si="28"/>
        <v>3.7000000000000002E-3</v>
      </c>
      <c r="L96" s="1912">
        <v>0</v>
      </c>
      <c r="M96" s="1912">
        <f t="shared" si="29"/>
        <v>-3.7000000000000002E-3</v>
      </c>
      <c r="N96" s="1912">
        <f t="shared" si="29"/>
        <v>-7.4000000000000003E-3</v>
      </c>
    </row>
    <row r="97" spans="1:14" ht="26">
      <c r="A97" s="3079" t="s">
        <v>3273</v>
      </c>
      <c r="B97" s="3070">
        <f>估价对象房地状况!C24</f>
        <v>0</v>
      </c>
      <c r="C97" s="1887" t="s">
        <v>3434</v>
      </c>
      <c r="D97" s="2309">
        <f t="shared" si="30"/>
        <v>-3.7000000000000002E-3</v>
      </c>
      <c r="E97" s="3083"/>
      <c r="F97" s="1675"/>
      <c r="G97" s="3073">
        <v>3.7000000000000002E-3</v>
      </c>
      <c r="H97" s="3118">
        <f t="shared" si="31"/>
        <v>3.7000000000000002E-3</v>
      </c>
      <c r="I97" s="3067">
        <v>0.05</v>
      </c>
      <c r="J97" s="1912">
        <f t="shared" si="27"/>
        <v>7.4000000000000003E-3</v>
      </c>
      <c r="K97" s="1912">
        <f t="shared" si="28"/>
        <v>3.7000000000000002E-3</v>
      </c>
      <c r="L97" s="1912">
        <v>0</v>
      </c>
      <c r="M97" s="1912">
        <f t="shared" si="29"/>
        <v>-3.7000000000000002E-3</v>
      </c>
      <c r="N97" s="1912">
        <f t="shared" si="29"/>
        <v>-7.4000000000000003E-3</v>
      </c>
    </row>
    <row r="98" spans="1:14" ht="26">
      <c r="A98" s="3079" t="s">
        <v>3274</v>
      </c>
      <c r="B98" s="3086" t="s">
        <v>3284</v>
      </c>
      <c r="C98" s="1887" t="s">
        <v>3433</v>
      </c>
      <c r="D98" s="2309">
        <f t="shared" si="30"/>
        <v>0</v>
      </c>
      <c r="E98" s="3083"/>
      <c r="F98" s="1675"/>
      <c r="G98" s="3073">
        <v>4.4999999999999997E-3</v>
      </c>
      <c r="H98" s="3118">
        <f t="shared" si="31"/>
        <v>4.4999999999999997E-3</v>
      </c>
      <c r="I98" s="3067">
        <v>0.06</v>
      </c>
      <c r="J98" s="1912">
        <f t="shared" si="27"/>
        <v>8.9999999999999993E-3</v>
      </c>
      <c r="K98" s="1912">
        <f t="shared" si="28"/>
        <v>4.4999999999999997E-3</v>
      </c>
      <c r="L98" s="1912">
        <v>0</v>
      </c>
      <c r="M98" s="1912">
        <f t="shared" si="29"/>
        <v>-4.4999999999999997E-3</v>
      </c>
      <c r="N98" s="1912">
        <f t="shared" si="29"/>
        <v>-8.9999999999999993E-3</v>
      </c>
    </row>
    <row r="99" spans="1:14" ht="26">
      <c r="A99" s="3079" t="s">
        <v>3275</v>
      </c>
      <c r="B99" s="3070" t="str">
        <f>估价对象房地状况!C21</f>
        <v>估价对象所在区域公共配套设施齐备情况</v>
      </c>
      <c r="C99" s="1887" t="s">
        <v>3434</v>
      </c>
      <c r="D99" s="2309">
        <f t="shared" si="30"/>
        <v>-4.4999999999999997E-3</v>
      </c>
      <c r="E99" s="3083"/>
      <c r="F99" s="1675"/>
      <c r="G99" s="3073">
        <v>4.4999999999999997E-3</v>
      </c>
      <c r="H99" s="3118">
        <f t="shared" si="31"/>
        <v>4.4999999999999997E-3</v>
      </c>
      <c r="I99" s="3067">
        <v>0.06</v>
      </c>
      <c r="J99" s="1912">
        <f t="shared" si="27"/>
        <v>8.9999999999999993E-3</v>
      </c>
      <c r="K99" s="1912">
        <f t="shared" si="28"/>
        <v>4.4999999999999997E-3</v>
      </c>
      <c r="L99" s="1912">
        <v>0</v>
      </c>
      <c r="M99" s="1912">
        <f t="shared" si="29"/>
        <v>-4.4999999999999997E-3</v>
      </c>
      <c r="N99" s="1912">
        <f t="shared" si="29"/>
        <v>-8.9999999999999993E-3</v>
      </c>
    </row>
    <row r="100" spans="1:14" ht="26">
      <c r="A100" s="3079" t="s">
        <v>3276</v>
      </c>
      <c r="B100" s="3070" t="str">
        <f>估价对象房地状况!C22</f>
        <v>估价对象所在区域基础设施水平</v>
      </c>
      <c r="C100" s="1887" t="s">
        <v>3435</v>
      </c>
      <c r="D100" s="2309">
        <f t="shared" si="30"/>
        <v>1.34E-2</v>
      </c>
      <c r="E100" s="3083"/>
      <c r="F100" s="1675"/>
      <c r="G100" s="3073">
        <v>6.7000000000000002E-3</v>
      </c>
      <c r="H100" s="3118">
        <f t="shared" si="31"/>
        <v>6.7000000000000002E-3</v>
      </c>
      <c r="I100" s="3067">
        <v>0.09</v>
      </c>
      <c r="J100" s="1912">
        <f t="shared" si="27"/>
        <v>1.34E-2</v>
      </c>
      <c r="K100" s="1912">
        <f t="shared" si="28"/>
        <v>6.7000000000000002E-3</v>
      </c>
      <c r="L100" s="1912">
        <v>0</v>
      </c>
      <c r="M100" s="1912">
        <f t="shared" si="29"/>
        <v>-6.7000000000000002E-3</v>
      </c>
      <c r="N100" s="1912">
        <f t="shared" si="29"/>
        <v>-1.34E-2</v>
      </c>
    </row>
    <row r="101" spans="1:14" ht="26.5" thickBot="1">
      <c r="A101" s="3080" t="s">
        <v>3277</v>
      </c>
      <c r="B101" s="3087" t="str">
        <f>估价对象房地状况!C20</f>
        <v>区域自然环境：；人文环境；综合评价环境状况一般</v>
      </c>
      <c r="C101" s="1887" t="s">
        <v>3433</v>
      </c>
      <c r="D101" s="2309">
        <f t="shared" si="30"/>
        <v>0</v>
      </c>
      <c r="E101" s="3084"/>
      <c r="F101" s="1675"/>
      <c r="G101" s="3073">
        <v>5.1999999999999998E-3</v>
      </c>
      <c r="H101" s="3118">
        <f t="shared" si="31"/>
        <v>5.1999999999999998E-3</v>
      </c>
      <c r="I101" s="3068">
        <v>7.0000000000000007E-2</v>
      </c>
      <c r="J101" s="1912">
        <f t="shared" si="27"/>
        <v>1.04E-2</v>
      </c>
      <c r="K101" s="1912">
        <f t="shared" si="28"/>
        <v>5.1999999999999998E-3</v>
      </c>
      <c r="L101" s="1912">
        <v>0</v>
      </c>
      <c r="M101" s="1912">
        <f t="shared" si="29"/>
        <v>-5.1999999999999998E-3</v>
      </c>
      <c r="N101" s="1912">
        <f t="shared" si="29"/>
        <v>-1.04E-2</v>
      </c>
    </row>
    <row r="103" spans="1:14" ht="13">
      <c r="A103" s="3470" t="s">
        <v>3292</v>
      </c>
      <c r="B103" s="3470"/>
      <c r="C103" s="3470"/>
      <c r="D103" s="3470"/>
      <c r="E103" s="3470"/>
      <c r="F103" s="3470"/>
      <c r="G103" s="3470"/>
      <c r="H103" s="3470"/>
      <c r="I103" s="3470"/>
      <c r="J103" s="3470"/>
      <c r="K103" s="1667"/>
      <c r="L103" s="1667"/>
      <c r="M103" s="1667"/>
      <c r="N103" s="1667"/>
    </row>
    <row r="104" spans="1:14" ht="13">
      <c r="A104" s="3471" t="s">
        <v>3293</v>
      </c>
      <c r="B104" s="3471" t="s">
        <v>3294</v>
      </c>
      <c r="C104" s="3089" t="s">
        <v>3295</v>
      </c>
      <c r="D104" s="3090"/>
      <c r="E104" s="3090"/>
      <c r="F104" s="3090"/>
      <c r="G104" s="3090"/>
      <c r="H104" s="3090"/>
      <c r="I104" s="3090"/>
      <c r="J104" s="3091"/>
      <c r="K104" s="3092"/>
      <c r="L104" s="3092"/>
      <c r="M104" s="3092"/>
      <c r="N104" s="3092"/>
    </row>
    <row r="105" spans="1:14" ht="13">
      <c r="A105" s="3471"/>
      <c r="B105" s="347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3.14</v>
      </c>
      <c r="C116" s="3098" t="s">
        <v>3311</v>
      </c>
      <c r="D116" s="3099">
        <f>SUMPRODUCT((A118:A122=F116)*(B117:M117=H116)*B118:M122)</f>
        <v>0.71109999999999995</v>
      </c>
      <c r="E116" s="162" t="s">
        <v>3312</v>
      </c>
      <c r="F116" s="3100" t="str">
        <f>E2</f>
        <v>公共服务</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0.96230000000000004</v>
      </c>
      <c r="C118" s="3088">
        <f>B118</f>
        <v>0.96230000000000004</v>
      </c>
      <c r="D118" s="3088">
        <f>ROUND(0.949-0.014*B116,4)</f>
        <v>0.90500000000000003</v>
      </c>
      <c r="E118" s="3088">
        <f>D118</f>
        <v>0.90500000000000003</v>
      </c>
      <c r="F118" s="3088">
        <f>E118</f>
        <v>0.90500000000000003</v>
      </c>
      <c r="G118" s="3088">
        <f>F118</f>
        <v>0.90500000000000003</v>
      </c>
      <c r="H118" s="3088">
        <f>G118</f>
        <v>0.90500000000000003</v>
      </c>
      <c r="I118" s="3088">
        <f>ROUND(0.8486-0.018*B116,4)</f>
        <v>0.79210000000000003</v>
      </c>
      <c r="J118" s="3088">
        <f t="shared" ref="J118:M122" si="35">I118</f>
        <v>0.79210000000000003</v>
      </c>
      <c r="K118" s="3088">
        <f t="shared" si="35"/>
        <v>0.79210000000000003</v>
      </c>
      <c r="L118" s="3088">
        <f t="shared" si="35"/>
        <v>0.79210000000000003</v>
      </c>
      <c r="M118" s="3108">
        <f t="shared" si="35"/>
        <v>0.79210000000000003</v>
      </c>
      <c r="N118" s="3096"/>
    </row>
    <row r="119" spans="1:14" ht="13">
      <c r="A119" s="3056" t="s">
        <v>3327</v>
      </c>
      <c r="B119" s="3088">
        <f>ROUND(0.993-0.0112*B116,4)</f>
        <v>0.95779999999999998</v>
      </c>
      <c r="C119" s="3088">
        <f>B119</f>
        <v>0.95779999999999998</v>
      </c>
      <c r="D119" s="3088">
        <f>ROUND(0.9415-0.0142*B116,4)</f>
        <v>0.89690000000000003</v>
      </c>
      <c r="E119" s="3088">
        <f t="shared" ref="E119:H120" si="36">D119</f>
        <v>0.89690000000000003</v>
      </c>
      <c r="F119" s="3088">
        <f t="shared" si="36"/>
        <v>0.89690000000000003</v>
      </c>
      <c r="G119" s="3088">
        <f t="shared" si="36"/>
        <v>0.89690000000000003</v>
      </c>
      <c r="H119" s="3088">
        <f t="shared" si="36"/>
        <v>0.89690000000000003</v>
      </c>
      <c r="I119" s="3088">
        <f>ROUND(0.838-0.0182*B116,4)</f>
        <v>0.78090000000000004</v>
      </c>
      <c r="J119" s="3088">
        <f t="shared" si="35"/>
        <v>0.78090000000000004</v>
      </c>
      <c r="K119" s="3088">
        <f t="shared" si="35"/>
        <v>0.78090000000000004</v>
      </c>
      <c r="L119" s="3088">
        <f t="shared" si="35"/>
        <v>0.78090000000000004</v>
      </c>
      <c r="M119" s="3108">
        <f t="shared" si="35"/>
        <v>0.78090000000000004</v>
      </c>
      <c r="N119" s="3096"/>
    </row>
    <row r="120" spans="1:14" ht="13">
      <c r="A120" s="3056" t="s">
        <v>3328</v>
      </c>
      <c r="B120" s="3088">
        <f>ROUND(0.9448-0.0115*B116,4)</f>
        <v>0.90869999999999995</v>
      </c>
      <c r="C120" s="3088">
        <f>B120</f>
        <v>0.90869999999999995</v>
      </c>
      <c r="D120" s="3088">
        <f>ROUND(0.937-0.0145*B116,4)</f>
        <v>0.89149999999999996</v>
      </c>
      <c r="E120" s="3088">
        <f t="shared" si="36"/>
        <v>0.89149999999999996</v>
      </c>
      <c r="F120" s="3088">
        <f t="shared" si="36"/>
        <v>0.89149999999999996</v>
      </c>
      <c r="G120" s="3088">
        <f t="shared" si="36"/>
        <v>0.89149999999999996</v>
      </c>
      <c r="H120" s="3088">
        <f t="shared" si="36"/>
        <v>0.89149999999999996</v>
      </c>
      <c r="I120" s="3088">
        <f>ROUND(0.7965-0.0185*B116,4)</f>
        <v>0.73839999999999995</v>
      </c>
      <c r="J120" s="3088">
        <f t="shared" si="35"/>
        <v>0.73839999999999995</v>
      </c>
      <c r="K120" s="3088">
        <f t="shared" si="35"/>
        <v>0.73839999999999995</v>
      </c>
      <c r="L120" s="3088">
        <f t="shared" si="35"/>
        <v>0.73839999999999995</v>
      </c>
      <c r="M120" s="3108">
        <f t="shared" si="35"/>
        <v>0.73839999999999995</v>
      </c>
      <c r="N120" s="3096"/>
    </row>
    <row r="121" spans="1:14" ht="13.5" thickBot="1">
      <c r="A121" s="3109" t="s">
        <v>3329</v>
      </c>
      <c r="B121" s="3110">
        <f>ROUND(0.7836-0.012*B116,4)</f>
        <v>0.74590000000000001</v>
      </c>
      <c r="C121" s="3110">
        <f>B121</f>
        <v>0.74590000000000001</v>
      </c>
      <c r="D121" s="3110">
        <f>ROUND(0.753-0.015*B116,4)</f>
        <v>0.70589999999999997</v>
      </c>
      <c r="E121" s="3110">
        <f>D121</f>
        <v>0.70589999999999997</v>
      </c>
      <c r="F121" s="3110">
        <f>E121</f>
        <v>0.70589999999999997</v>
      </c>
      <c r="G121" s="3110">
        <f>ROUND(0.6612-0.018*B116,4)</f>
        <v>0.60470000000000002</v>
      </c>
      <c r="H121" s="3110">
        <f>G121</f>
        <v>0.60470000000000002</v>
      </c>
      <c r="I121" s="3110">
        <f>ROUND(0.5905-0.019*B116,4)</f>
        <v>0.53080000000000005</v>
      </c>
      <c r="J121" s="3110">
        <f t="shared" si="35"/>
        <v>0.53080000000000005</v>
      </c>
      <c r="K121" s="3110">
        <f t="shared" si="35"/>
        <v>0.53080000000000005</v>
      </c>
      <c r="L121" s="3110">
        <f t="shared" si="35"/>
        <v>0.53080000000000005</v>
      </c>
      <c r="M121" s="3111">
        <f t="shared" si="35"/>
        <v>0.53080000000000005</v>
      </c>
      <c r="N121" s="3096"/>
    </row>
    <row r="122" spans="1:14" ht="13">
      <c r="A122" s="3112" t="s">
        <v>2612</v>
      </c>
      <c r="B122" s="3088">
        <f>ROUND(0.9404-0.0106*B116,4)</f>
        <v>0.90710000000000002</v>
      </c>
      <c r="C122" s="3088">
        <f>B122</f>
        <v>0.90710000000000002</v>
      </c>
      <c r="D122" s="3088">
        <f>ROUND(0.8955-0.0135*B116,4)</f>
        <v>0.85309999999999997</v>
      </c>
      <c r="E122" s="3088">
        <f t="shared" ref="E122:H122" si="37">D122</f>
        <v>0.85309999999999997</v>
      </c>
      <c r="F122" s="3088">
        <f t="shared" si="37"/>
        <v>0.85309999999999997</v>
      </c>
      <c r="G122" s="3088">
        <f t="shared" si="37"/>
        <v>0.85309999999999997</v>
      </c>
      <c r="H122" s="3088">
        <f t="shared" si="37"/>
        <v>0.85309999999999997</v>
      </c>
      <c r="I122" s="3088">
        <f>ROUND(0.7632-0.0166*B116,4)</f>
        <v>0.71109999999999995</v>
      </c>
      <c r="J122" s="3088">
        <f t="shared" si="35"/>
        <v>0.71109999999999995</v>
      </c>
      <c r="K122" s="3088">
        <f t="shared" si="35"/>
        <v>0.71109999999999995</v>
      </c>
      <c r="L122" s="3088">
        <f t="shared" si="35"/>
        <v>0.71109999999999995</v>
      </c>
      <c r="M122" s="3108">
        <f t="shared" si="35"/>
        <v>0.71109999999999995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7" t="s">
        <v>2607</v>
      </c>
      <c r="B20" s="3480" t="s">
        <v>2628</v>
      </c>
      <c r="C20" s="3167" t="s">
        <v>2439</v>
      </c>
      <c r="D20" s="3167"/>
      <c r="E20" s="2843">
        <v>1</v>
      </c>
      <c r="F20" s="2844" t="s">
        <v>2440</v>
      </c>
      <c r="G20" s="2844"/>
    </row>
    <row r="21" spans="1:13" ht="19.5" customHeight="1">
      <c r="A21" s="3488"/>
      <c r="B21" s="3476"/>
      <c r="C21" s="2856" t="s">
        <v>2441</v>
      </c>
      <c r="D21" s="2856"/>
      <c r="E21" s="2847">
        <v>1</v>
      </c>
      <c r="F21" s="2844" t="s">
        <v>2442</v>
      </c>
      <c r="G21" s="2844"/>
    </row>
    <row r="22" spans="1:13" ht="19.5" customHeight="1">
      <c r="A22" s="3488"/>
      <c r="B22" s="3476"/>
      <c r="C22" s="2856" t="s">
        <v>2443</v>
      </c>
      <c r="D22" s="2856"/>
      <c r="E22" s="2847">
        <v>0.9</v>
      </c>
      <c r="F22" s="2844" t="s">
        <v>2444</v>
      </c>
      <c r="G22" s="2844"/>
    </row>
    <row r="23" spans="1:13" ht="19.5" customHeight="1">
      <c r="A23" s="3488"/>
      <c r="B23" s="3476"/>
      <c r="C23" s="2856" t="s">
        <v>2445</v>
      </c>
      <c r="D23" s="2856"/>
      <c r="E23" s="2847">
        <v>0.9</v>
      </c>
      <c r="F23" s="2844" t="s">
        <v>2446</v>
      </c>
      <c r="G23" s="2844"/>
    </row>
    <row r="24" spans="1:13" ht="19.5" customHeight="1">
      <c r="A24" s="3488"/>
      <c r="B24" s="3476"/>
      <c r="C24" s="2856" t="s">
        <v>2447</v>
      </c>
      <c r="D24" s="2856"/>
      <c r="E24" s="2847">
        <v>0.8</v>
      </c>
      <c r="F24" s="2844" t="s">
        <v>2448</v>
      </c>
      <c r="G24" s="2844"/>
    </row>
    <row r="25" spans="1:13" ht="19.5" customHeight="1">
      <c r="A25" s="3488"/>
      <c r="B25" s="3476"/>
      <c r="C25" s="2856" t="s">
        <v>2449</v>
      </c>
      <c r="D25" s="2856"/>
      <c r="E25" s="2847">
        <v>0.8</v>
      </c>
      <c r="F25" s="2844"/>
      <c r="G25" s="2844"/>
    </row>
    <row r="26" spans="1:13" ht="19.5" customHeight="1">
      <c r="A26" s="3488"/>
      <c r="B26" s="3476"/>
      <c r="C26" s="2856" t="s">
        <v>3407</v>
      </c>
      <c r="D26" s="2856"/>
      <c r="E26" s="2847">
        <v>0.43</v>
      </c>
      <c r="F26" s="2844"/>
      <c r="G26" s="2844"/>
    </row>
    <row r="27" spans="1:13" ht="19.5" customHeight="1" thickBot="1">
      <c r="A27" s="3489"/>
      <c r="B27" s="3481"/>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2" t="s">
        <v>2631</v>
      </c>
      <c r="B29" s="3485" t="s">
        <v>2612</v>
      </c>
      <c r="C29" s="2841" t="s">
        <v>2452</v>
      </c>
      <c r="D29" s="2842"/>
      <c r="E29" s="2843">
        <v>1</v>
      </c>
      <c r="F29" s="2844" t="s">
        <v>2453</v>
      </c>
      <c r="G29" s="2844"/>
    </row>
    <row r="30" spans="1:13" ht="19.5" customHeight="1">
      <c r="A30" s="3483"/>
      <c r="B30" s="3479"/>
      <c r="C30" s="2845" t="s">
        <v>2454</v>
      </c>
      <c r="D30" s="2846"/>
      <c r="E30" s="2847">
        <v>1</v>
      </c>
      <c r="F30" s="2844" t="s">
        <v>2455</v>
      </c>
      <c r="G30" s="2844"/>
    </row>
    <row r="31" spans="1:13" ht="19.5" customHeight="1">
      <c r="A31" s="3483"/>
      <c r="B31" s="3479"/>
      <c r="C31" s="2845" t="s">
        <v>2456</v>
      </c>
      <c r="D31" s="2846"/>
      <c r="E31" s="2847">
        <v>0.8</v>
      </c>
      <c r="F31" s="2844" t="s">
        <v>2457</v>
      </c>
      <c r="G31" s="2844"/>
    </row>
    <row r="32" spans="1:13" ht="19.5" customHeight="1">
      <c r="A32" s="3483"/>
      <c r="B32" s="3479"/>
      <c r="C32" s="2845" t="s">
        <v>2458</v>
      </c>
      <c r="D32" s="2846"/>
      <c r="E32" s="2847">
        <v>0.8</v>
      </c>
      <c r="F32" s="2844" t="s">
        <v>2459</v>
      </c>
      <c r="G32" s="2844"/>
    </row>
    <row r="33" spans="1:7" ht="19.5" customHeight="1">
      <c r="A33" s="3483"/>
      <c r="B33" s="3479"/>
      <c r="C33" s="2845" t="s">
        <v>2460</v>
      </c>
      <c r="D33" s="2846"/>
      <c r="E33" s="2847">
        <v>0.8</v>
      </c>
      <c r="F33" s="2844" t="s">
        <v>2461</v>
      </c>
      <c r="G33" s="2844"/>
    </row>
    <row r="34" spans="1:7" ht="19.5" customHeight="1">
      <c r="A34" s="3483"/>
      <c r="B34" s="3479"/>
      <c r="C34" s="2845" t="s">
        <v>2462</v>
      </c>
      <c r="D34" s="2846"/>
      <c r="E34" s="2847">
        <v>0.7</v>
      </c>
      <c r="F34" s="2844" t="s">
        <v>2463</v>
      </c>
      <c r="G34" s="2844"/>
    </row>
    <row r="35" spans="1:7" ht="19.5" customHeight="1">
      <c r="A35" s="3483"/>
      <c r="B35" s="3479"/>
      <c r="C35" s="2845" t="s">
        <v>2464</v>
      </c>
      <c r="D35" s="2846"/>
      <c r="E35" s="2847">
        <v>0.8</v>
      </c>
      <c r="F35" s="2844" t="s">
        <v>2465</v>
      </c>
      <c r="G35" s="2844"/>
    </row>
    <row r="36" spans="1:7" ht="19.5" customHeight="1">
      <c r="A36" s="3483"/>
      <c r="B36" s="3479"/>
      <c r="C36" s="2845" t="s">
        <v>2466</v>
      </c>
      <c r="D36" s="2846"/>
      <c r="E36" s="2847">
        <v>0.6</v>
      </c>
      <c r="F36" s="2844" t="s">
        <v>2467</v>
      </c>
      <c r="G36" s="2844"/>
    </row>
    <row r="37" spans="1:7" ht="19.5" customHeight="1">
      <c r="A37" s="3483"/>
      <c r="B37" s="3479"/>
      <c r="C37" s="2845" t="s">
        <v>2468</v>
      </c>
      <c r="D37" s="2846"/>
      <c r="E37" s="2847">
        <v>0.2</v>
      </c>
      <c r="F37" s="2844" t="s">
        <v>2469</v>
      </c>
      <c r="G37" s="2844"/>
    </row>
    <row r="38" spans="1:7" ht="19.5" customHeight="1">
      <c r="A38" s="3483"/>
      <c r="B38" s="3479"/>
      <c r="C38" s="2845" t="s">
        <v>2470</v>
      </c>
      <c r="D38" s="2846"/>
      <c r="E38" s="2847">
        <v>0.2</v>
      </c>
      <c r="F38" s="2844" t="s">
        <v>2471</v>
      </c>
      <c r="G38" s="2844"/>
    </row>
    <row r="39" spans="1:7" ht="19.5" customHeight="1">
      <c r="A39" s="3483"/>
      <c r="B39" s="3477" t="s">
        <v>2632</v>
      </c>
      <c r="C39" s="2845" t="s">
        <v>2472</v>
      </c>
      <c r="D39" s="2846"/>
      <c r="E39" s="2847">
        <v>0.6</v>
      </c>
      <c r="F39" s="2844" t="s">
        <v>2473</v>
      </c>
      <c r="G39" s="2844"/>
    </row>
    <row r="40" spans="1:7" ht="19.5" customHeight="1">
      <c r="A40" s="3483"/>
      <c r="B40" s="3479"/>
      <c r="C40" s="2845" t="s">
        <v>2474</v>
      </c>
      <c r="D40" s="2846"/>
      <c r="E40" s="2847">
        <v>0.6</v>
      </c>
      <c r="F40" s="2844" t="s">
        <v>2475</v>
      </c>
      <c r="G40" s="2844"/>
    </row>
    <row r="41" spans="1:7" ht="19.5" customHeight="1" thickBot="1">
      <c r="A41" s="3484"/>
      <c r="B41" s="348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7" t="s">
        <v>2610</v>
      </c>
      <c r="B43" s="3485" t="s">
        <v>2634</v>
      </c>
      <c r="C43" s="2841" t="s">
        <v>2479</v>
      </c>
      <c r="D43" s="2842"/>
      <c r="E43" s="2843">
        <v>1</v>
      </c>
      <c r="F43" s="2844" t="s">
        <v>2480</v>
      </c>
      <c r="G43" s="2844"/>
    </row>
    <row r="44" spans="1:7" ht="19.5" customHeight="1">
      <c r="A44" s="3488"/>
      <c r="B44" s="3479"/>
      <c r="C44" s="2845" t="s">
        <v>2481</v>
      </c>
      <c r="D44" s="2846"/>
      <c r="E44" s="2847">
        <v>1</v>
      </c>
      <c r="F44" s="2844" t="s">
        <v>2482</v>
      </c>
      <c r="G44" s="2844"/>
    </row>
    <row r="45" spans="1:7" ht="19.5" customHeight="1">
      <c r="A45" s="3488"/>
      <c r="B45" s="3478"/>
      <c r="C45" s="2845" t="s">
        <v>2483</v>
      </c>
      <c r="D45" s="2846"/>
      <c r="E45" s="2847">
        <v>1.5</v>
      </c>
      <c r="F45" s="2844" t="s">
        <v>2484</v>
      </c>
      <c r="G45" s="2844"/>
    </row>
    <row r="46" spans="1:7" ht="19.5" customHeight="1">
      <c r="A46" s="3488"/>
      <c r="B46" s="2856" t="s">
        <v>2635</v>
      </c>
      <c r="C46" s="2845" t="s">
        <v>2636</v>
      </c>
      <c r="D46" s="2846"/>
      <c r="E46" s="2847">
        <v>2</v>
      </c>
      <c r="F46" s="2844" t="s">
        <v>2485</v>
      </c>
      <c r="G46" s="2844"/>
    </row>
    <row r="47" spans="1:7" ht="19.5" customHeight="1">
      <c r="A47" s="3488"/>
      <c r="B47" s="3477" t="s">
        <v>2637</v>
      </c>
      <c r="C47" s="2845" t="s">
        <v>2486</v>
      </c>
      <c r="D47" s="2846"/>
      <c r="E47" s="2847">
        <v>1</v>
      </c>
      <c r="F47" s="2844" t="s">
        <v>2487</v>
      </c>
      <c r="G47" s="2844"/>
    </row>
    <row r="48" spans="1:7" ht="19.5" customHeight="1">
      <c r="A48" s="3488"/>
      <c r="B48" s="3479"/>
      <c r="C48" s="2845" t="s">
        <v>2488</v>
      </c>
      <c r="D48" s="2846"/>
      <c r="E48" s="2847">
        <v>1</v>
      </c>
      <c r="F48" s="2844" t="s">
        <v>2489</v>
      </c>
      <c r="G48" s="2844"/>
    </row>
    <row r="49" spans="1:7" ht="19.5" customHeight="1">
      <c r="A49" s="3488"/>
      <c r="B49" s="3479"/>
      <c r="C49" s="2845" t="s">
        <v>2490</v>
      </c>
      <c r="D49" s="2846"/>
      <c r="E49" s="2847">
        <v>1</v>
      </c>
      <c r="F49" s="2844" t="s">
        <v>2491</v>
      </c>
      <c r="G49" s="2844"/>
    </row>
    <row r="50" spans="1:7" ht="19.5" customHeight="1">
      <c r="A50" s="3488"/>
      <c r="B50" s="3479"/>
      <c r="C50" s="2845" t="s">
        <v>2492</v>
      </c>
      <c r="D50" s="2846"/>
      <c r="E50" s="2847">
        <v>1</v>
      </c>
      <c r="F50" s="2844" t="s">
        <v>2493</v>
      </c>
      <c r="G50" s="2844"/>
    </row>
    <row r="51" spans="1:7" ht="19.5" customHeight="1">
      <c r="A51" s="3488"/>
      <c r="B51" s="3479"/>
      <c r="C51" s="2845" t="s">
        <v>2494</v>
      </c>
      <c r="D51" s="2846"/>
      <c r="E51" s="2847">
        <v>1</v>
      </c>
      <c r="F51" s="2844" t="s">
        <v>2495</v>
      </c>
      <c r="G51" s="2844"/>
    </row>
    <row r="52" spans="1:7" ht="19.5" customHeight="1">
      <c r="A52" s="3488"/>
      <c r="B52" s="3479"/>
      <c r="C52" s="2845" t="s">
        <v>2496</v>
      </c>
      <c r="D52" s="2846"/>
      <c r="E52" s="2847">
        <v>1</v>
      </c>
      <c r="F52" s="2844" t="s">
        <v>2497</v>
      </c>
      <c r="G52" s="2844"/>
    </row>
    <row r="53" spans="1:7" ht="19.5" customHeight="1" thickBot="1">
      <c r="A53" s="3489"/>
      <c r="B53" s="348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7" t="s">
        <v>2651</v>
      </c>
      <c r="C75" s="2830" t="s">
        <v>2652</v>
      </c>
      <c r="D75" s="2830" t="s">
        <v>2653</v>
      </c>
      <c r="E75" s="2856">
        <v>0.2</v>
      </c>
      <c r="F75" s="2856">
        <v>25</v>
      </c>
    </row>
    <row r="76" spans="1:7" ht="26">
      <c r="A76" s="2856">
        <v>2</v>
      </c>
      <c r="B76" s="3479"/>
      <c r="C76" s="2830" t="s">
        <v>2654</v>
      </c>
      <c r="D76" s="2830" t="s">
        <v>2655</v>
      </c>
      <c r="E76" s="2856">
        <v>0.2</v>
      </c>
      <c r="F76" s="2856">
        <v>25</v>
      </c>
    </row>
    <row r="77" spans="1:7" ht="26">
      <c r="A77" s="2856">
        <v>3</v>
      </c>
      <c r="B77" s="3479"/>
      <c r="C77" s="2830" t="s">
        <v>2656</v>
      </c>
      <c r="D77" s="2830" t="s">
        <v>2657</v>
      </c>
      <c r="E77" s="2856">
        <v>0.2</v>
      </c>
      <c r="F77" s="2856">
        <v>25</v>
      </c>
    </row>
    <row r="78" spans="1:7" ht="14">
      <c r="A78" s="2856">
        <v>4</v>
      </c>
      <c r="B78" s="3479"/>
      <c r="C78" s="2830" t="s">
        <v>2658</v>
      </c>
      <c r="D78" s="2830" t="s">
        <v>2659</v>
      </c>
      <c r="E78" s="2856">
        <v>0.15</v>
      </c>
      <c r="F78" s="2856">
        <v>20</v>
      </c>
    </row>
    <row r="79" spans="1:7" ht="26">
      <c r="A79" s="2856">
        <v>5</v>
      </c>
      <c r="B79" s="3479"/>
      <c r="C79" s="2830" t="s">
        <v>2660</v>
      </c>
      <c r="D79" s="2830" t="s">
        <v>2661</v>
      </c>
      <c r="E79" s="2856">
        <v>0.15</v>
      </c>
      <c r="F79" s="2856">
        <v>20</v>
      </c>
    </row>
    <row r="80" spans="1:7" ht="26">
      <c r="A80" s="2856">
        <v>6</v>
      </c>
      <c r="B80" s="3479"/>
      <c r="C80" s="2830" t="s">
        <v>2662</v>
      </c>
      <c r="D80" s="2830" t="s">
        <v>2663</v>
      </c>
      <c r="E80" s="2856">
        <v>0.15</v>
      </c>
      <c r="F80" s="2856">
        <v>20</v>
      </c>
    </row>
    <row r="81" spans="1:6" ht="26">
      <c r="A81" s="2856">
        <v>7</v>
      </c>
      <c r="B81" s="3479"/>
      <c r="C81" s="2830" t="s">
        <v>2664</v>
      </c>
      <c r="D81" s="2830" t="s">
        <v>2665</v>
      </c>
      <c r="E81" s="2856">
        <v>0.15</v>
      </c>
      <c r="F81" s="2856">
        <v>20</v>
      </c>
    </row>
    <row r="82" spans="1:6" ht="26">
      <c r="A82" s="2856">
        <v>8</v>
      </c>
      <c r="B82" s="3479"/>
      <c r="C82" s="2830" t="s">
        <v>2666</v>
      </c>
      <c r="D82" s="2830" t="s">
        <v>2667</v>
      </c>
      <c r="E82" s="2856">
        <v>0.1</v>
      </c>
      <c r="F82" s="2856">
        <v>15</v>
      </c>
    </row>
    <row r="83" spans="1:6" ht="26">
      <c r="A83" s="2856">
        <v>9</v>
      </c>
      <c r="B83" s="3479"/>
      <c r="C83" s="2830" t="s">
        <v>2668</v>
      </c>
      <c r="D83" s="2830" t="s">
        <v>2669</v>
      </c>
      <c r="E83" s="2856">
        <v>0.1</v>
      </c>
      <c r="F83" s="2856">
        <v>15</v>
      </c>
    </row>
    <row r="84" spans="1:6" ht="26">
      <c r="A84" s="2856">
        <v>10</v>
      </c>
      <c r="B84" s="3479"/>
      <c r="C84" s="2830" t="s">
        <v>2670</v>
      </c>
      <c r="D84" s="2830" t="s">
        <v>2671</v>
      </c>
      <c r="E84" s="2856">
        <v>0.1</v>
      </c>
      <c r="F84" s="2856">
        <v>15</v>
      </c>
    </row>
    <row r="85" spans="1:6" ht="26">
      <c r="A85" s="2856">
        <v>11</v>
      </c>
      <c r="B85" s="3479"/>
      <c r="C85" s="2830" t="s">
        <v>2672</v>
      </c>
      <c r="D85" s="2830" t="s">
        <v>2673</v>
      </c>
      <c r="E85" s="2856">
        <v>0.1</v>
      </c>
      <c r="F85" s="2856">
        <v>15</v>
      </c>
    </row>
    <row r="86" spans="1:6" ht="26">
      <c r="A86" s="2856">
        <v>12</v>
      </c>
      <c r="B86" s="3479"/>
      <c r="C86" s="2830" t="s">
        <v>2674</v>
      </c>
      <c r="D86" s="2830" t="s">
        <v>2675</v>
      </c>
      <c r="E86" s="2856">
        <v>0.1</v>
      </c>
      <c r="F86" s="2856">
        <v>15</v>
      </c>
    </row>
    <row r="87" spans="1:6" ht="14">
      <c r="A87" s="2856">
        <v>13</v>
      </c>
      <c r="B87" s="3479"/>
      <c r="C87" s="2830" t="s">
        <v>2676</v>
      </c>
      <c r="D87" s="2830" t="s">
        <v>2677</v>
      </c>
      <c r="E87" s="2856">
        <v>0.1</v>
      </c>
      <c r="F87" s="2856">
        <v>15</v>
      </c>
    </row>
    <row r="88" spans="1:6" ht="14">
      <c r="A88" s="2856">
        <v>14</v>
      </c>
      <c r="B88" s="3479"/>
      <c r="C88" s="2830" t="s">
        <v>2678</v>
      </c>
      <c r="D88" s="2830" t="s">
        <v>2679</v>
      </c>
      <c r="E88" s="2856">
        <v>0.1</v>
      </c>
      <c r="F88" s="2856">
        <v>15</v>
      </c>
    </row>
    <row r="89" spans="1:6" ht="14">
      <c r="A89" s="2856">
        <v>15</v>
      </c>
      <c r="B89" s="3479"/>
      <c r="C89" s="2830" t="s">
        <v>2680</v>
      </c>
      <c r="D89" s="2830" t="s">
        <v>2681</v>
      </c>
      <c r="E89" s="2856">
        <v>0.1</v>
      </c>
      <c r="F89" s="2856">
        <v>15</v>
      </c>
    </row>
    <row r="90" spans="1:6" ht="26">
      <c r="A90" s="2856">
        <v>16</v>
      </c>
      <c r="B90" s="3479"/>
      <c r="C90" s="2830" t="s">
        <v>2682</v>
      </c>
      <c r="D90" s="2830" t="s">
        <v>2683</v>
      </c>
      <c r="E90" s="2856">
        <v>0.1</v>
      </c>
      <c r="F90" s="2856">
        <v>15</v>
      </c>
    </row>
    <row r="91" spans="1:6" ht="26">
      <c r="A91" s="2856">
        <v>17</v>
      </c>
      <c r="B91" s="3478"/>
      <c r="C91" s="2830" t="s">
        <v>2684</v>
      </c>
      <c r="D91" s="2830" t="s">
        <v>2685</v>
      </c>
      <c r="E91" s="2856">
        <v>0.1</v>
      </c>
      <c r="F91" s="2856">
        <v>15</v>
      </c>
    </row>
    <row r="92" spans="1:6" ht="14">
      <c r="A92" s="2856">
        <v>18</v>
      </c>
      <c r="B92" s="3477" t="s">
        <v>2686</v>
      </c>
      <c r="C92" s="2830" t="s">
        <v>2687</v>
      </c>
      <c r="D92" s="2830" t="s">
        <v>2688</v>
      </c>
      <c r="E92" s="2856">
        <v>0.2</v>
      </c>
      <c r="F92" s="2856">
        <v>25</v>
      </c>
    </row>
    <row r="93" spans="1:6" ht="26">
      <c r="A93" s="2856">
        <v>19</v>
      </c>
      <c r="B93" s="3479"/>
      <c r="C93" s="2830" t="s">
        <v>2689</v>
      </c>
      <c r="D93" s="2830" t="s">
        <v>2690</v>
      </c>
      <c r="E93" s="2856">
        <v>0.2</v>
      </c>
      <c r="F93" s="2856">
        <v>25</v>
      </c>
    </row>
    <row r="94" spans="1:6" ht="14">
      <c r="A94" s="2856">
        <v>20</v>
      </c>
      <c r="B94" s="3479"/>
      <c r="C94" s="2830" t="s">
        <v>2691</v>
      </c>
      <c r="D94" s="2830" t="s">
        <v>2692</v>
      </c>
      <c r="E94" s="2856">
        <v>0.15</v>
      </c>
      <c r="F94" s="2856">
        <v>20</v>
      </c>
    </row>
    <row r="95" spans="1:6" ht="26">
      <c r="A95" s="2856">
        <v>21</v>
      </c>
      <c r="B95" s="3479"/>
      <c r="C95" s="2830" t="s">
        <v>2693</v>
      </c>
      <c r="D95" s="2830" t="s">
        <v>2694</v>
      </c>
      <c r="E95" s="2856">
        <v>0.15</v>
      </c>
      <c r="F95" s="2856">
        <v>20</v>
      </c>
    </row>
    <row r="96" spans="1:6" ht="26">
      <c r="A96" s="2856">
        <v>22</v>
      </c>
      <c r="B96" s="3479"/>
      <c r="C96" s="2830" t="s">
        <v>2695</v>
      </c>
      <c r="D96" s="2830" t="s">
        <v>2696</v>
      </c>
      <c r="E96" s="2856">
        <v>0.15</v>
      </c>
      <c r="F96" s="2856">
        <v>20</v>
      </c>
    </row>
    <row r="97" spans="1:6" ht="39">
      <c r="A97" s="2856">
        <v>23</v>
      </c>
      <c r="B97" s="3479"/>
      <c r="C97" s="2830" t="s">
        <v>2697</v>
      </c>
      <c r="D97" s="2830" t="s">
        <v>2698</v>
      </c>
      <c r="E97" s="2856">
        <v>0.15</v>
      </c>
      <c r="F97" s="2856">
        <v>20</v>
      </c>
    </row>
    <row r="98" spans="1:6" ht="14">
      <c r="A98" s="2856">
        <v>24</v>
      </c>
      <c r="B98" s="3479"/>
      <c r="C98" s="2830" t="s">
        <v>2699</v>
      </c>
      <c r="D98" s="2830" t="s">
        <v>2700</v>
      </c>
      <c r="E98" s="2856">
        <v>0.1</v>
      </c>
      <c r="F98" s="2856">
        <v>15</v>
      </c>
    </row>
    <row r="99" spans="1:6" ht="26">
      <c r="A99" s="2856">
        <v>25</v>
      </c>
      <c r="B99" s="3479"/>
      <c r="C99" s="2830" t="s">
        <v>2701</v>
      </c>
      <c r="D99" s="2830" t="s">
        <v>2702</v>
      </c>
      <c r="E99" s="2856">
        <v>0.1</v>
      </c>
      <c r="F99" s="2856">
        <v>15</v>
      </c>
    </row>
    <row r="100" spans="1:6" ht="26">
      <c r="A100" s="2856">
        <v>26</v>
      </c>
      <c r="B100" s="3479"/>
      <c r="C100" s="2830" t="s">
        <v>2703</v>
      </c>
      <c r="D100" s="2830" t="s">
        <v>2704</v>
      </c>
      <c r="E100" s="2856">
        <v>0.1</v>
      </c>
      <c r="F100" s="2856">
        <v>15</v>
      </c>
    </row>
    <row r="101" spans="1:6" ht="26">
      <c r="A101" s="2856">
        <v>27</v>
      </c>
      <c r="B101" s="3479"/>
      <c r="C101" s="2830" t="s">
        <v>2705</v>
      </c>
      <c r="D101" s="2830" t="s">
        <v>2706</v>
      </c>
      <c r="E101" s="2856">
        <v>0.1</v>
      </c>
      <c r="F101" s="2856">
        <v>15</v>
      </c>
    </row>
    <row r="102" spans="1:6" ht="26">
      <c r="A102" s="2856">
        <v>28</v>
      </c>
      <c r="B102" s="3479"/>
      <c r="C102" s="2830" t="s">
        <v>2707</v>
      </c>
      <c r="D102" s="2830" t="s">
        <v>2708</v>
      </c>
      <c r="E102" s="2856">
        <v>0.1</v>
      </c>
      <c r="F102" s="2856">
        <v>15</v>
      </c>
    </row>
    <row r="103" spans="1:6" ht="26">
      <c r="A103" s="2856">
        <v>29</v>
      </c>
      <c r="B103" s="3479"/>
      <c r="C103" s="2830" t="s">
        <v>2709</v>
      </c>
      <c r="D103" s="2830" t="s">
        <v>2710</v>
      </c>
      <c r="E103" s="2856">
        <v>0.1</v>
      </c>
      <c r="F103" s="2856">
        <v>15</v>
      </c>
    </row>
    <row r="104" spans="1:6" ht="26">
      <c r="A104" s="2856">
        <v>30</v>
      </c>
      <c r="B104" s="3479"/>
      <c r="C104" s="2830" t="s">
        <v>2711</v>
      </c>
      <c r="D104" s="2830" t="s">
        <v>2712</v>
      </c>
      <c r="E104" s="2856">
        <v>0.1</v>
      </c>
      <c r="F104" s="2856">
        <v>15</v>
      </c>
    </row>
    <row r="105" spans="1:6" ht="26">
      <c r="A105" s="2856">
        <v>31</v>
      </c>
      <c r="B105" s="3479"/>
      <c r="C105" s="2830" t="s">
        <v>2713</v>
      </c>
      <c r="D105" s="2830" t="s">
        <v>2714</v>
      </c>
      <c r="E105" s="2856">
        <v>0.1</v>
      </c>
      <c r="F105" s="2856">
        <v>15</v>
      </c>
    </row>
    <row r="106" spans="1:6" ht="26">
      <c r="A106" s="2856">
        <v>32</v>
      </c>
      <c r="B106" s="3479"/>
      <c r="C106" s="2830" t="s">
        <v>2715</v>
      </c>
      <c r="D106" s="2830" t="s">
        <v>2716</v>
      </c>
      <c r="E106" s="2856">
        <v>0.1</v>
      </c>
      <c r="F106" s="2856">
        <v>15</v>
      </c>
    </row>
    <row r="107" spans="1:6" ht="26">
      <c r="A107" s="2856">
        <v>33</v>
      </c>
      <c r="B107" s="3479"/>
      <c r="C107" s="2830" t="s">
        <v>2717</v>
      </c>
      <c r="D107" s="2830" t="s">
        <v>2718</v>
      </c>
      <c r="E107" s="2856">
        <v>0.1</v>
      </c>
      <c r="F107" s="2856">
        <v>15</v>
      </c>
    </row>
    <row r="108" spans="1:6" ht="26">
      <c r="A108" s="2856">
        <v>34</v>
      </c>
      <c r="B108" s="3478"/>
      <c r="C108" s="2830" t="s">
        <v>2719</v>
      </c>
      <c r="D108" s="2830" t="s">
        <v>2720</v>
      </c>
      <c r="E108" s="2856">
        <v>0.1</v>
      </c>
      <c r="F108" s="2856">
        <v>15</v>
      </c>
    </row>
    <row r="109" spans="1:6" ht="26">
      <c r="A109" s="2856">
        <v>35</v>
      </c>
      <c r="B109" s="3477" t="s">
        <v>2721</v>
      </c>
      <c r="C109" s="2856" t="s">
        <v>2722</v>
      </c>
      <c r="D109" s="2830" t="s">
        <v>2723</v>
      </c>
      <c r="E109" s="2856">
        <v>0.15</v>
      </c>
      <c r="F109" s="2856">
        <v>20</v>
      </c>
    </row>
    <row r="110" spans="1:6" ht="26">
      <c r="A110" s="2856">
        <v>36</v>
      </c>
      <c r="B110" s="3479"/>
      <c r="C110" s="2856" t="s">
        <v>2724</v>
      </c>
      <c r="D110" s="2830" t="s">
        <v>2725</v>
      </c>
      <c r="E110" s="2856">
        <v>0.15</v>
      </c>
      <c r="F110" s="2856">
        <v>20</v>
      </c>
    </row>
    <row r="111" spans="1:6" ht="26">
      <c r="A111" s="2856">
        <v>37</v>
      </c>
      <c r="B111" s="3479"/>
      <c r="C111" s="2856" t="s">
        <v>2726</v>
      </c>
      <c r="D111" s="2830" t="s">
        <v>2727</v>
      </c>
      <c r="E111" s="2856">
        <v>0.15</v>
      </c>
      <c r="F111" s="2856">
        <v>20</v>
      </c>
    </row>
    <row r="112" spans="1:6" ht="14">
      <c r="A112" s="2856">
        <v>38</v>
      </c>
      <c r="B112" s="3479"/>
      <c r="C112" s="2856" t="s">
        <v>2728</v>
      </c>
      <c r="D112" s="2830" t="s">
        <v>2729</v>
      </c>
      <c r="E112" s="2856">
        <v>0.1</v>
      </c>
      <c r="F112" s="2856">
        <v>15</v>
      </c>
    </row>
    <row r="113" spans="1:6" ht="26">
      <c r="A113" s="2856">
        <v>39</v>
      </c>
      <c r="B113" s="3479"/>
      <c r="C113" s="2856" t="s">
        <v>2730</v>
      </c>
      <c r="D113" s="2830" t="s">
        <v>2731</v>
      </c>
      <c r="E113" s="2856">
        <v>0.1</v>
      </c>
      <c r="F113" s="2856">
        <v>15</v>
      </c>
    </row>
    <row r="114" spans="1:6" ht="26">
      <c r="A114" s="2856">
        <v>40</v>
      </c>
      <c r="B114" s="3478"/>
      <c r="C114" s="2856" t="s">
        <v>2732</v>
      </c>
      <c r="D114" s="2830" t="s">
        <v>2733</v>
      </c>
      <c r="E114" s="2856">
        <v>0.1</v>
      </c>
      <c r="F114" s="2856">
        <v>15</v>
      </c>
    </row>
    <row r="115" spans="1:6" ht="26">
      <c r="A115" s="2856">
        <v>41</v>
      </c>
      <c r="B115" s="3476" t="s">
        <v>2734</v>
      </c>
      <c r="C115" s="2856" t="s">
        <v>2735</v>
      </c>
      <c r="D115" s="2830" t="s">
        <v>2736</v>
      </c>
      <c r="E115" s="2856">
        <v>0.1</v>
      </c>
      <c r="F115" s="2856">
        <v>15</v>
      </c>
    </row>
    <row r="116" spans="1:6" ht="14">
      <c r="A116" s="2856">
        <v>42</v>
      </c>
      <c r="B116" s="3476"/>
      <c r="C116" s="2856" t="s">
        <v>2737</v>
      </c>
      <c r="D116" s="2830" t="s">
        <v>2738</v>
      </c>
      <c r="E116" s="2856">
        <v>0.1</v>
      </c>
      <c r="F116" s="2856">
        <v>15</v>
      </c>
    </row>
    <row r="117" spans="1:6" ht="26">
      <c r="A117" s="2856">
        <v>43</v>
      </c>
      <c r="B117" s="3476"/>
      <c r="C117" s="2856" t="s">
        <v>2739</v>
      </c>
      <c r="D117" s="2830" t="s">
        <v>2740</v>
      </c>
      <c r="E117" s="2856">
        <v>0.1</v>
      </c>
      <c r="F117" s="2856">
        <v>15</v>
      </c>
    </row>
    <row r="118" spans="1:6" ht="26">
      <c r="A118" s="2856">
        <v>44</v>
      </c>
      <c r="B118" s="3477" t="s">
        <v>2741</v>
      </c>
      <c r="C118" s="2856" t="s">
        <v>2742</v>
      </c>
      <c r="D118" s="2830" t="s">
        <v>2743</v>
      </c>
      <c r="E118" s="2856">
        <v>0.1</v>
      </c>
      <c r="F118" s="2856">
        <v>15</v>
      </c>
    </row>
    <row r="119" spans="1:6" ht="26">
      <c r="A119" s="2856">
        <v>45</v>
      </c>
      <c r="B119" s="3478"/>
      <c r="C119" s="2830" t="s">
        <v>2744</v>
      </c>
      <c r="D119" s="2830" t="s">
        <v>2745</v>
      </c>
      <c r="E119" s="2856">
        <v>0.1</v>
      </c>
      <c r="F119" s="2856">
        <v>15</v>
      </c>
    </row>
    <row r="120" spans="1:6" ht="26">
      <c r="A120" s="2856">
        <v>46</v>
      </c>
      <c r="B120" s="3477" t="s">
        <v>2746</v>
      </c>
      <c r="C120" s="2856" t="s">
        <v>2747</v>
      </c>
      <c r="D120" s="2830" t="s">
        <v>2748</v>
      </c>
      <c r="E120" s="2856">
        <v>0.1</v>
      </c>
      <c r="F120" s="2856">
        <v>15</v>
      </c>
    </row>
    <row r="121" spans="1:6" ht="26">
      <c r="A121" s="2856">
        <v>47</v>
      </c>
      <c r="B121" s="3478"/>
      <c r="C121" s="2856" t="s">
        <v>2749</v>
      </c>
      <c r="D121" s="2830" t="s">
        <v>2750</v>
      </c>
      <c r="E121" s="2856">
        <v>0.1</v>
      </c>
      <c r="F121" s="2856">
        <v>15</v>
      </c>
    </row>
    <row r="122" spans="1:6" ht="26">
      <c r="A122" s="2856">
        <v>48</v>
      </c>
      <c r="B122" s="3477" t="s">
        <v>2751</v>
      </c>
      <c r="C122" s="2856" t="s">
        <v>2752</v>
      </c>
      <c r="D122" s="2830" t="s">
        <v>2753</v>
      </c>
      <c r="E122" s="2856">
        <v>0.1</v>
      </c>
      <c r="F122" s="2856">
        <v>15</v>
      </c>
    </row>
    <row r="123" spans="1:6" ht="14">
      <c r="A123" s="2856">
        <v>49</v>
      </c>
      <c r="B123" s="3478"/>
      <c r="C123" s="2856" t="s">
        <v>2754</v>
      </c>
      <c r="D123" s="2830" t="s">
        <v>2755</v>
      </c>
      <c r="E123" s="2856">
        <v>0.1</v>
      </c>
      <c r="F123" s="2856">
        <v>15</v>
      </c>
    </row>
    <row r="124" spans="1:6" ht="26">
      <c r="A124" s="2856">
        <v>50</v>
      </c>
      <c r="B124" s="3476" t="s">
        <v>2756</v>
      </c>
      <c r="C124" s="2856" t="s">
        <v>2757</v>
      </c>
      <c r="D124" s="2830" t="s">
        <v>2758</v>
      </c>
      <c r="E124" s="2856">
        <v>0.1</v>
      </c>
      <c r="F124" s="2856">
        <v>15</v>
      </c>
    </row>
    <row r="125" spans="1:6" ht="26">
      <c r="A125" s="2856">
        <v>51</v>
      </c>
      <c r="B125" s="3476"/>
      <c r="C125" s="2856" t="s">
        <v>2759</v>
      </c>
      <c r="D125" s="2830" t="s">
        <v>2760</v>
      </c>
      <c r="E125" s="2856">
        <v>0.1</v>
      </c>
      <c r="F125" s="2856">
        <v>15</v>
      </c>
    </row>
    <row r="126" spans="1:6" ht="26">
      <c r="A126" s="2856">
        <v>52</v>
      </c>
      <c r="B126" s="3476" t="s">
        <v>2761</v>
      </c>
      <c r="C126" s="2856" t="s">
        <v>2762</v>
      </c>
      <c r="D126" s="2830" t="s">
        <v>2763</v>
      </c>
      <c r="E126" s="2856">
        <v>0.1</v>
      </c>
      <c r="F126" s="2856">
        <v>15</v>
      </c>
    </row>
    <row r="127" spans="1:6" ht="26">
      <c r="A127" s="2856">
        <v>53</v>
      </c>
      <c r="B127" s="3476"/>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6" t="s">
        <v>2769</v>
      </c>
      <c r="C129" s="2856" t="s">
        <v>2770</v>
      </c>
      <c r="D129" s="2830" t="s">
        <v>2771</v>
      </c>
      <c r="E129" s="2856">
        <v>0.1</v>
      </c>
      <c r="F129" s="2856">
        <v>15</v>
      </c>
    </row>
    <row r="130" spans="1:6" ht="14">
      <c r="A130" s="2856">
        <v>56</v>
      </c>
      <c r="B130" s="3476"/>
      <c r="C130" s="2856" t="s">
        <v>2772</v>
      </c>
      <c r="D130" s="2830" t="s">
        <v>2773</v>
      </c>
      <c r="E130" s="2856">
        <v>0.1</v>
      </c>
      <c r="F130" s="2856">
        <v>15</v>
      </c>
    </row>
    <row r="131" spans="1:6" ht="26">
      <c r="A131" s="2856">
        <v>57</v>
      </c>
      <c r="B131" s="3476"/>
      <c r="C131" s="2856" t="s">
        <v>2774</v>
      </c>
      <c r="D131" s="2830" t="s">
        <v>2775</v>
      </c>
      <c r="E131" s="2856">
        <v>0.1</v>
      </c>
      <c r="F131" s="2856">
        <v>15</v>
      </c>
    </row>
    <row r="132" spans="1:6" ht="26">
      <c r="A132" s="2856">
        <v>58</v>
      </c>
      <c r="B132" s="3476" t="s">
        <v>2776</v>
      </c>
      <c r="C132" s="2856" t="s">
        <v>2777</v>
      </c>
      <c r="D132" s="2830" t="s">
        <v>2778</v>
      </c>
      <c r="E132" s="2856">
        <v>0.1</v>
      </c>
      <c r="F132" s="2856">
        <v>15</v>
      </c>
    </row>
    <row r="133" spans="1:6" ht="26">
      <c r="A133" s="2856">
        <v>59</v>
      </c>
      <c r="B133" s="3476"/>
      <c r="C133" s="2856" t="s">
        <v>2779</v>
      </c>
      <c r="D133" s="2830" t="s">
        <v>2780</v>
      </c>
      <c r="E133" s="2856">
        <v>0.1</v>
      </c>
      <c r="F133" s="2856">
        <v>15</v>
      </c>
    </row>
    <row r="134" spans="1:6" ht="26">
      <c r="A134" s="2856">
        <v>60</v>
      </c>
      <c r="B134" s="3477" t="s">
        <v>2781</v>
      </c>
      <c r="C134" s="2856" t="s">
        <v>2782</v>
      </c>
      <c r="D134" s="2830" t="s">
        <v>2783</v>
      </c>
      <c r="E134" s="2856">
        <v>0.1</v>
      </c>
      <c r="F134" s="2856">
        <v>15</v>
      </c>
    </row>
    <row r="135" spans="1:6" ht="26">
      <c r="A135" s="2856">
        <v>61</v>
      </c>
      <c r="B135" s="3478"/>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6" t="s">
        <v>2789</v>
      </c>
      <c r="C137" s="2856" t="s">
        <v>2790</v>
      </c>
      <c r="D137" s="2830" t="s">
        <v>2791</v>
      </c>
      <c r="E137" s="2856">
        <v>0.1</v>
      </c>
      <c r="F137" s="2856">
        <v>15</v>
      </c>
    </row>
    <row r="138" spans="1:6" ht="14">
      <c r="A138" s="2856">
        <v>64</v>
      </c>
      <c r="B138" s="3476"/>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0.8659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0.7883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5" thickBot="1">
      <c r="A4" s="1391"/>
      <c r="B4" s="3175" t="s">
        <v>917</v>
      </c>
      <c r="C4" s="3175"/>
      <c r="D4" s="3175"/>
      <c r="E4" s="1391"/>
    </row>
    <row r="5" spans="1:5" ht="16" thickTop="1">
      <c r="B5" s="3173" t="s">
        <v>909</v>
      </c>
      <c r="C5" s="1392" t="s">
        <v>910</v>
      </c>
      <c r="D5" s="797">
        <f ca="1">结果表!H101</f>
        <v>5522</v>
      </c>
    </row>
    <row r="6" spans="1:5" ht="15.5">
      <c r="B6" s="3173"/>
      <c r="C6" s="1392" t="s">
        <v>911</v>
      </c>
      <c r="D6" s="797" t="str">
        <f ca="1">NUMBERSTRING(INT(D5*10000),2)&amp;"元整"</f>
        <v>伍仟伍佰贰拾贰万元整</v>
      </c>
    </row>
    <row r="7" spans="1:5" ht="15.5">
      <c r="B7" s="3178"/>
      <c r="C7" s="1393" t="s">
        <v>912</v>
      </c>
      <c r="D7" s="798">
        <f ca="1">结果表!H102</f>
        <v>6328</v>
      </c>
    </row>
    <row r="8" spans="1:5" ht="15.5">
      <c r="B8" s="3179" t="str">
        <f>结果表!E103</f>
        <v>2.估价师知悉的法定优先受偿款</v>
      </c>
      <c r="C8" s="1394" t="s">
        <v>913</v>
      </c>
      <c r="D8" s="798">
        <f>结果表!H103</f>
        <v>0</v>
      </c>
    </row>
    <row r="9" spans="1:5" ht="15.5">
      <c r="B9" s="318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2" t="str">
        <f>结果表!E107</f>
        <v>3.房地产抵押价值</v>
      </c>
      <c r="C13" s="1397" t="s">
        <v>910</v>
      </c>
      <c r="D13" s="800">
        <f ca="1">结果表!H107</f>
        <v>5522</v>
      </c>
    </row>
    <row r="14" spans="1:5" ht="15.5">
      <c r="B14" s="3173"/>
      <c r="C14" s="1392" t="s">
        <v>911</v>
      </c>
      <c r="D14" s="797" t="str">
        <f ca="1">NUMBERSTRING(INT(D13*10000),2)&amp;"元整"</f>
        <v>伍仟伍佰贰拾贰万元整</v>
      </c>
    </row>
    <row r="15" spans="1:5" ht="15.5">
      <c r="B15" s="3178"/>
      <c r="C15" s="1393" t="s">
        <v>921</v>
      </c>
      <c r="D15" s="806">
        <f ca="1">结果表!H108</f>
        <v>6328</v>
      </c>
    </row>
    <row r="16" spans="1:5" ht="15">
      <c r="B16" s="3179" t="str">
        <f>结果表!E109</f>
        <v>——</v>
      </c>
      <c r="C16" s="1397" t="s">
        <v>922</v>
      </c>
      <c r="D16" s="1398" t="str">
        <f>结果表!H109</f>
        <v>——</v>
      </c>
    </row>
    <row r="17" spans="1:5" ht="15.5">
      <c r="B17" s="3180"/>
      <c r="C17" s="1392" t="s">
        <v>923</v>
      </c>
      <c r="D17" s="797" t="e">
        <f>NUMBERSTRING(INT(D16*10000),2)&amp;"元整"</f>
        <v>#VALUE!</v>
      </c>
    </row>
    <row r="18" spans="1:5" ht="15.5">
      <c r="B18" s="3181"/>
      <c r="C18" s="1393" t="s">
        <v>912</v>
      </c>
      <c r="D18" s="806" t="str">
        <f>结果表!H110</f>
        <v>——</v>
      </c>
    </row>
    <row r="19" spans="1:5" ht="15.5">
      <c r="B19" s="3172" t="str">
        <f>结果表!E111</f>
        <v>——</v>
      </c>
      <c r="C19" s="1397" t="s">
        <v>910</v>
      </c>
      <c r="D19" s="798" t="str">
        <f>结果表!H111</f>
        <v>——</v>
      </c>
    </row>
    <row r="20" spans="1:5" ht="15.5">
      <c r="B20" s="3173"/>
      <c r="C20" s="1392" t="s">
        <v>923</v>
      </c>
      <c r="D20" s="797" t="e">
        <f>NUMBERSTRING(INT(D19*10000),2)&amp;"元整"</f>
        <v>#VALUE!</v>
      </c>
    </row>
    <row r="21" spans="1:5" ht="16" thickBot="1">
      <c r="B21" s="317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30702</v>
      </c>
      <c r="C2" s="2" t="s">
        <v>106</v>
      </c>
      <c r="D2" s="191"/>
      <c r="E2" s="191"/>
      <c r="F2" s="191"/>
      <c r="G2" s="191"/>
    </row>
    <row r="3" spans="1:7" s="192" customFormat="1" ht="18" customHeight="1" thickBot="1">
      <c r="A3" s="195" t="s">
        <v>58</v>
      </c>
      <c r="B3" s="196">
        <f ca="1">ROUND(B2*10000/'数据-汇总表'!E3,0)</f>
        <v>35185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166</v>
      </c>
      <c r="D10" s="795">
        <f>'数据-汇总表'!E6</f>
        <v>8725.98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175</v>
      </c>
      <c r="D19" s="204">
        <f>'数据-汇总表'!E3</f>
        <v>8725.98</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2120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26654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3910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3490</v>
      </c>
      <c r="D34" s="209"/>
      <c r="E34" s="212"/>
      <c r="F34" s="249">
        <f>IF('数据-取费表'!B24=0,1,'数据-取费表'!N16)</f>
        <v>1</v>
      </c>
      <c r="G34" s="211" t="s">
        <v>89</v>
      </c>
    </row>
    <row r="35" spans="1:7" ht="13.5" customHeight="1">
      <c r="A35" s="734" t="s">
        <v>351</v>
      </c>
      <c r="B35" s="207" t="s">
        <v>33</v>
      </c>
      <c r="C35" s="212">
        <f>ROUND(C34*F35,0)</f>
        <v>175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175</v>
      </c>
      <c r="D37" s="209">
        <f>'数据-汇总表'!E3</f>
        <v>8725.98</v>
      </c>
      <c r="E37" s="241">
        <f>'数据-取费表'!B35</f>
        <v>200</v>
      </c>
      <c r="F37" s="251"/>
      <c r="G37" s="253" t="s">
        <v>92</v>
      </c>
    </row>
    <row r="38" spans="1:7" ht="13.5" customHeight="1">
      <c r="A38" s="734" t="s">
        <v>354</v>
      </c>
      <c r="B38" s="207" t="s">
        <v>36</v>
      </c>
      <c r="C38" s="212">
        <f>ROUND(C34*F38,0)</f>
        <v>70</v>
      </c>
      <c r="D38" s="212"/>
      <c r="E38" s="212"/>
      <c r="F38" s="251">
        <f>'数据-取费表'!B36</f>
        <v>0.02</v>
      </c>
      <c r="G38" s="211" t="s">
        <v>90</v>
      </c>
    </row>
    <row r="39" spans="1:7" s="206" customFormat="1" ht="13.5" customHeight="1">
      <c r="A39" s="731" t="s">
        <v>338</v>
      </c>
      <c r="B39" s="202" t="s">
        <v>77</v>
      </c>
      <c r="C39" s="224">
        <f>ROUND(C33*F20,0)</f>
        <v>78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122</v>
      </c>
      <c r="D42" s="230"/>
      <c r="E42" s="230"/>
      <c r="F42" s="231"/>
      <c r="G42" s="3353" t="s">
        <v>94</v>
      </c>
    </row>
    <row r="43" spans="1:7" ht="13.5" customHeight="1">
      <c r="A43" s="734" t="s">
        <v>347</v>
      </c>
      <c r="B43" s="207" t="s">
        <v>426</v>
      </c>
      <c r="C43" s="230">
        <f ca="1">ROUND(IF('数据-取费表'!B22&lt;=1,C39*F22*'数据-取费表'!B21/2,C39*(POWER((1+F22),'数据-取费表'!B21/2)-1)),0)</f>
        <v>2</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399</v>
      </c>
      <c r="D45" s="227">
        <f>C47</f>
        <v>2E-3</v>
      </c>
      <c r="E45" s="228" t="s">
        <v>102</v>
      </c>
      <c r="F45" s="238"/>
      <c r="G45" s="239" t="s">
        <v>434</v>
      </c>
    </row>
    <row r="46" spans="1:7" s="206" customFormat="1" ht="13.5" customHeight="1">
      <c r="A46" s="734" t="s">
        <v>349</v>
      </c>
      <c r="B46" s="240" t="s">
        <v>427</v>
      </c>
      <c r="C46" s="241">
        <f>ROUND((C33+C39)*F27,0)</f>
        <v>399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4877</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4048</v>
      </c>
      <c r="D51" s="224"/>
      <c r="E51" s="224"/>
      <c r="F51" s="256"/>
      <c r="G51" s="226" t="s">
        <v>37</v>
      </c>
    </row>
    <row r="52" spans="1:7" s="200" customFormat="1" ht="16.5" thickBot="1">
      <c r="A52" s="257" t="s">
        <v>38</v>
      </c>
      <c r="B52" s="258"/>
      <c r="C52" s="259">
        <f ca="1">C31+C51</f>
        <v>30702</v>
      </c>
      <c r="D52" s="258"/>
      <c r="E52" s="258"/>
      <c r="F52" s="258"/>
      <c r="G52" s="260"/>
    </row>
    <row r="55" spans="1:7" ht="15.5">
      <c r="B55" s="262" t="s">
        <v>39</v>
      </c>
      <c r="C55" s="263"/>
    </row>
    <row r="56" spans="1:7" ht="13">
      <c r="B56" s="265" t="s">
        <v>40</v>
      </c>
      <c r="C56" s="266">
        <f ca="1">ROUND(C51/C52,3)</f>
        <v>0.13200000000000001</v>
      </c>
    </row>
    <row r="57" spans="1:7" ht="13">
      <c r="B57" s="265" t="s">
        <v>41</v>
      </c>
      <c r="C57" s="267">
        <f ca="1">1-C56</f>
        <v>0.86799999999999999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0" t="s">
        <v>3181</v>
      </c>
      <c r="B1" s="349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1" t="s">
        <v>3232</v>
      </c>
      <c r="B1" s="3491"/>
      <c r="C1" s="3491"/>
      <c r="D1" s="3491"/>
      <c r="E1" s="3491"/>
      <c r="F1" s="349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45993</v>
      </c>
      <c r="B1" s="2928" t="s">
        <v>3376</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3" t="s">
        <v>2827</v>
      </c>
      <c r="S29" s="3494"/>
      <c r="T29" s="3494"/>
      <c r="U29" s="3494"/>
      <c r="V29" s="3494"/>
      <c r="W29" s="3494"/>
      <c r="X29" s="2895"/>
      <c r="Y29" s="3493" t="s">
        <v>2828</v>
      </c>
      <c r="Z29" s="3494"/>
      <c r="AA29" s="3494"/>
      <c r="AB29" s="3494"/>
      <c r="AC29" s="3494"/>
      <c r="AD29" s="349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6" t="s">
        <v>2839</v>
      </c>
      <c r="B1" s="3506"/>
      <c r="C1" s="3506"/>
      <c r="D1" s="3506"/>
      <c r="E1" s="3506"/>
      <c r="F1" s="3506"/>
      <c r="G1" s="350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45993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85"/>
      <c r="B3" s="3185"/>
      <c r="C3" s="3185"/>
      <c r="D3" s="801" t="s">
        <v>925</v>
      </c>
      <c r="E3" s="801" t="s">
        <v>931</v>
      </c>
      <c r="F3" s="801" t="s">
        <v>925</v>
      </c>
      <c r="G3" s="801" t="s">
        <v>926</v>
      </c>
      <c r="H3" s="801" t="s">
        <v>925</v>
      </c>
      <c r="I3" s="801" t="s">
        <v>926</v>
      </c>
    </row>
    <row r="4" spans="1:9" ht="31">
      <c r="A4" s="1403" t="str">
        <f>项目基本情况!S2</f>
        <v>北京市房山区福通路1号院1号楼-2至10层1-1房地产</v>
      </c>
      <c r="B4" s="801">
        <f>项目基本情况!C17</f>
        <v>8725.98</v>
      </c>
      <c r="C4" s="801">
        <f>项目基本情况!C18</f>
        <v>0</v>
      </c>
      <c r="D4" s="801">
        <f>结果表!D118</f>
        <v>0</v>
      </c>
      <c r="E4" s="801">
        <f>结果表!E118</f>
        <v>0</v>
      </c>
      <c r="F4" s="801">
        <f>结果表!F118</f>
        <v>0</v>
      </c>
      <c r="G4" s="801">
        <f>结果表!G118</f>
        <v>0</v>
      </c>
      <c r="H4" s="801">
        <f ca="1">结果表!H118</f>
        <v>5522</v>
      </c>
      <c r="I4" s="801">
        <f ca="1">结果表!I118</f>
        <v>6328</v>
      </c>
    </row>
    <row r="5" spans="1:9" ht="30" customHeight="1">
      <c r="A5" s="3185" t="s">
        <v>927</v>
      </c>
      <c r="B5" s="3185"/>
      <c r="C5" s="3185"/>
      <c r="D5" s="3185" t="str">
        <f>结果表!D119</f>
        <v>零元整</v>
      </c>
      <c r="E5" s="3185"/>
      <c r="F5" s="3185" t="str">
        <f>结果表!F119</f>
        <v>零元整</v>
      </c>
      <c r="G5" s="3185"/>
      <c r="H5" s="3185" t="str">
        <f ca="1">结果表!H119</f>
        <v>伍仟伍佰贰拾贰万元整</v>
      </c>
      <c r="I5" s="3185"/>
    </row>
    <row r="6" spans="1:9" ht="15.5">
      <c r="A6" s="3184" t="str">
        <f>结果表!A120</f>
        <v>估价师知悉的法定优先受偿款</v>
      </c>
      <c r="B6" s="3184"/>
      <c r="C6" s="3184"/>
      <c r="D6" s="3184">
        <f>结果表!D120</f>
        <v>0</v>
      </c>
      <c r="E6" s="3184"/>
      <c r="F6" s="3184"/>
      <c r="G6" s="3184"/>
      <c r="H6" s="3184"/>
      <c r="I6" s="3184"/>
    </row>
    <row r="7" spans="1:9" ht="15.5">
      <c r="A7" s="3185" t="s">
        <v>927</v>
      </c>
      <c r="B7" s="3185"/>
      <c r="C7" s="3185"/>
      <c r="D7" s="3186" t="str">
        <f>结果表!D121</f>
        <v>零元整</v>
      </c>
      <c r="E7" s="3187"/>
      <c r="F7" s="3187"/>
      <c r="G7" s="3187"/>
      <c r="H7" s="3187"/>
      <c r="I7" s="3188"/>
    </row>
    <row r="8" spans="1:9" ht="15.5">
      <c r="A8" s="3184" t="str">
        <f>结果表!A122</f>
        <v>房地产抵押价值</v>
      </c>
      <c r="B8" s="3184"/>
      <c r="C8" s="3184"/>
      <c r="D8" s="3184">
        <f ca="1">结果表!D122</f>
        <v>5522</v>
      </c>
      <c r="E8" s="3184"/>
      <c r="F8" s="3184"/>
      <c r="G8" s="3184"/>
      <c r="H8" s="3184"/>
      <c r="I8" s="3184"/>
    </row>
    <row r="9" spans="1:9" ht="15.5">
      <c r="A9" s="3185" t="s">
        <v>927</v>
      </c>
      <c r="B9" s="3185"/>
      <c r="C9" s="3185"/>
      <c r="D9" s="3185" t="str">
        <f ca="1">结果表!D123</f>
        <v>伍仟伍佰贰拾贰万元整</v>
      </c>
      <c r="E9" s="3185"/>
      <c r="F9" s="3185"/>
      <c r="G9" s="3185"/>
      <c r="H9" s="3185"/>
      <c r="I9" s="3185"/>
    </row>
    <row r="10" spans="1:9" ht="15.5">
      <c r="A10" s="3184" t="str">
        <f>结果表!A124</f>
        <v/>
      </c>
      <c r="B10" s="3184"/>
      <c r="C10" s="3184"/>
      <c r="D10" s="3184" t="str">
        <f>结果表!D124</f>
        <v>——</v>
      </c>
      <c r="E10" s="3184"/>
      <c r="F10" s="3184"/>
      <c r="G10" s="3184"/>
      <c r="H10" s="3184"/>
      <c r="I10" s="3184"/>
    </row>
    <row r="11" spans="1:9" ht="15.5">
      <c r="A11" s="3185" t="s">
        <v>927</v>
      </c>
      <c r="B11" s="3185"/>
      <c r="C11" s="3185"/>
      <c r="D11" s="3185" t="e">
        <f>结果表!D125</f>
        <v>#VALUE!</v>
      </c>
      <c r="E11" s="3185"/>
      <c r="F11" s="3185"/>
      <c r="G11" s="3185"/>
      <c r="H11" s="3185"/>
      <c r="I11" s="3185"/>
    </row>
    <row r="12" spans="1:9" ht="15.5">
      <c r="A12" s="3184" t="str">
        <f>结果表!A126</f>
        <v/>
      </c>
      <c r="B12" s="3184"/>
      <c r="C12" s="3184"/>
      <c r="D12" s="3184" t="str">
        <f>结果表!D126</f>
        <v>——</v>
      </c>
      <c r="E12" s="3184"/>
      <c r="F12" s="3184"/>
      <c r="G12" s="3184"/>
      <c r="H12" s="3184"/>
      <c r="I12" s="3184"/>
    </row>
    <row r="13" spans="1:9" ht="16" thickBot="1">
      <c r="A13" s="3182" t="s">
        <v>927</v>
      </c>
      <c r="B13" s="3182"/>
      <c r="C13" s="3182"/>
      <c r="D13" s="3182" t="e">
        <f>结果表!D127</f>
        <v>#VALUE!</v>
      </c>
      <c r="E13" s="3182"/>
      <c r="F13" s="3182"/>
      <c r="G13" s="3182"/>
      <c r="H13" s="3182"/>
      <c r="I13" s="3182"/>
    </row>
    <row r="14" spans="1:9" ht="14.5" thickTop="1">
      <c r="A14" s="3183" t="s">
        <v>932</v>
      </c>
      <c r="B14" s="3183"/>
      <c r="C14" s="3183"/>
      <c r="D14" s="3183"/>
      <c r="E14" s="3183"/>
      <c r="F14" s="3183"/>
      <c r="G14" s="3183"/>
      <c r="H14" s="3183"/>
      <c r="I14" s="318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7" t="s">
        <v>949</v>
      </c>
      <c r="B1" s="3197"/>
      <c r="C1" s="3197"/>
      <c r="D1" s="3197"/>
    </row>
    <row r="2" spans="1:4" ht="18">
      <c r="A2" s="3198" t="s">
        <v>933</v>
      </c>
      <c r="B2" s="3198"/>
      <c r="C2" s="3198"/>
      <c r="D2" s="319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9" t="s">
        <v>942</v>
      </c>
      <c r="B11" s="3191"/>
      <c r="C11" s="3191"/>
      <c r="D11" s="3191"/>
    </row>
    <row r="12" spans="1:4" ht="15.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5" t="s">
        <v>956</v>
      </c>
      <c r="B15" s="3200" t="s">
        <v>109</v>
      </c>
      <c r="C15" s="3201"/>
    </row>
    <row r="16" spans="1:7" ht="14">
      <c r="A16" s="3206"/>
      <c r="B16" s="3200" t="s">
        <v>42</v>
      </c>
      <c r="C16" s="3201"/>
    </row>
    <row r="17" spans="1:3" ht="14">
      <c r="A17" s="3206"/>
      <c r="B17" s="3203" t="s">
        <v>957</v>
      </c>
      <c r="C17" s="1429" t="s">
        <v>956</v>
      </c>
    </row>
    <row r="18" spans="1:3" ht="14">
      <c r="A18" s="3206"/>
      <c r="B18" s="3203"/>
      <c r="C18" s="1429" t="s">
        <v>958</v>
      </c>
    </row>
    <row r="19" spans="1:3" ht="14">
      <c r="A19" s="3206"/>
      <c r="B19" s="3203"/>
      <c r="C19" s="1429" t="s">
        <v>959</v>
      </c>
    </row>
    <row r="20" spans="1:3" ht="14">
      <c r="A20" s="3207"/>
      <c r="B20" s="3202" t="s">
        <v>960</v>
      </c>
      <c r="C20" s="3201"/>
    </row>
    <row r="21" spans="1:3" ht="14">
      <c r="A21" s="1430" t="s">
        <v>961</v>
      </c>
      <c r="B21" s="1431"/>
      <c r="C21" s="1432"/>
    </row>
    <row r="22" spans="1:3" ht="14">
      <c r="A22" s="3204" t="s">
        <v>962</v>
      </c>
      <c r="B22" s="3202" t="s">
        <v>963</v>
      </c>
      <c r="C22" s="3201"/>
    </row>
    <row r="23" spans="1:3" ht="14">
      <c r="A23" s="3204"/>
      <c r="B23" s="3202" t="s">
        <v>964</v>
      </c>
      <c r="C23" s="3201"/>
    </row>
    <row r="24" spans="1:3" ht="14">
      <c r="A24" s="3204"/>
      <c r="B24" s="3202" t="s">
        <v>965</v>
      </c>
      <c r="C24" s="3201"/>
    </row>
    <row r="25" spans="1:3" ht="14">
      <c r="A25" s="3204"/>
      <c r="B25" s="3203" t="s">
        <v>966</v>
      </c>
      <c r="C25" s="1429" t="s">
        <v>967</v>
      </c>
    </row>
    <row r="26" spans="1:3" ht="14">
      <c r="A26" s="3204"/>
      <c r="B26" s="3203"/>
      <c r="C26" s="1429" t="s">
        <v>968</v>
      </c>
    </row>
    <row r="27" spans="1:3" ht="14">
      <c r="A27" s="3204"/>
      <c r="B27" s="3203"/>
      <c r="C27" s="1429" t="s">
        <v>969</v>
      </c>
    </row>
    <row r="28" spans="1:3" ht="14">
      <c r="A28" s="3204"/>
      <c r="B28" s="3203"/>
      <c r="C28" s="1429" t="s">
        <v>970</v>
      </c>
    </row>
    <row r="29" spans="1:3" ht="14">
      <c r="A29" s="3204"/>
      <c r="B29" s="3203"/>
      <c r="C29" s="1429" t="s">
        <v>971</v>
      </c>
    </row>
    <row r="30" spans="1:3" ht="14">
      <c r="A30" s="3204"/>
      <c r="B30" s="3203"/>
      <c r="C30" s="1429" t="s">
        <v>972</v>
      </c>
    </row>
    <row r="31" spans="1:3" ht="14">
      <c r="A31" s="3204"/>
      <c r="B31" s="3203"/>
      <c r="C31" s="1429" t="s">
        <v>973</v>
      </c>
    </row>
    <row r="32" spans="1:3" ht="14">
      <c r="A32" s="3204"/>
      <c r="B32" s="3203"/>
      <c r="C32" s="1429" t="s">
        <v>974</v>
      </c>
    </row>
    <row r="33" spans="1:3" ht="14">
      <c r="A33" s="3204"/>
      <c r="B33" s="320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2025-12-02T05:44:34Z</dcterms:modified>
</cp:coreProperties>
</file>