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48" i="34" l="1"/>
  <c r="G37" i="34"/>
  <c r="E37" i="34"/>
  <c r="I37" i="34"/>
  <c r="E20" i="1"/>
  <c r="C37" i="34"/>
  <c r="C34" i="34"/>
  <c r="C12" i="4"/>
  <c r="D2" i="4"/>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M60"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L109"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I2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S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AA45" i="34"/>
  <c r="AB45" i="34"/>
  <c r="W29" i="34"/>
  <c r="U34" i="34"/>
  <c r="S34" i="34"/>
  <c r="AC25"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M7" i="43"/>
  <c r="N1" i="43"/>
  <c r="G4" i="47" s="1"/>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F7" i="61"/>
  <c r="D7" i="61"/>
  <c r="D4" i="61"/>
  <c r="F6" i="61"/>
  <c r="C19" i="9"/>
  <c r="D6" i="61"/>
  <c r="E2" i="37"/>
  <c r="D5" i="61"/>
  <c r="F5" i="61"/>
  <c r="E2" i="21"/>
  <c r="D19" i="9"/>
  <c r="D3" i="61"/>
  <c r="E2" i="11"/>
  <c r="E2" i="36"/>
  <c r="D20" i="9"/>
  <c r="F4" i="61"/>
  <c r="E2" i="33"/>
  <c r="C20" i="9"/>
  <c r="H23" i="31"/>
  <c r="E2" i="35"/>
  <c r="F3" i="61"/>
  <c r="E2" i="34"/>
  <c r="AA41" i="34" l="1"/>
  <c r="W41" i="34"/>
  <c r="H40" i="34"/>
  <c r="U40" i="34" s="1"/>
  <c r="F40" i="34"/>
  <c r="AA40" i="34" s="1"/>
  <c r="F118" i="34"/>
  <c r="G118" i="34" s="1"/>
  <c r="J40" i="34"/>
  <c r="AC40" i="34" s="1"/>
  <c r="AB38" i="34"/>
  <c r="W38" i="34"/>
  <c r="J37" i="34"/>
  <c r="W37" i="34" s="1"/>
  <c r="F37" i="34"/>
  <c r="AA37" i="34" s="1"/>
  <c r="G112" i="34"/>
  <c r="H112" i="34" s="1"/>
  <c r="I112" i="34" s="1"/>
  <c r="J112" i="34" s="1"/>
  <c r="K112" i="34" s="1"/>
  <c r="L112" i="34" s="1"/>
  <c r="M112" i="34" s="1"/>
  <c r="H37" i="34"/>
  <c r="F80" i="34"/>
  <c r="G80" i="34" s="1"/>
  <c r="J17" i="34"/>
  <c r="AC17" i="34" s="1"/>
  <c r="F78" i="34"/>
  <c r="G78" i="34" s="1"/>
  <c r="F15" i="34"/>
  <c r="AA15" i="34" s="1"/>
  <c r="H15" i="34"/>
  <c r="AB15" i="34" s="1"/>
  <c r="J15" i="34"/>
  <c r="AB44" i="34"/>
  <c r="AA44" i="34"/>
  <c r="W44" i="34"/>
  <c r="S43" i="34"/>
  <c r="AC39" i="34"/>
  <c r="S38" i="34"/>
  <c r="U36" i="34"/>
  <c r="S36" i="34"/>
  <c r="AA33" i="34"/>
  <c r="W43" i="34"/>
  <c r="U43" i="34"/>
  <c r="AB41" i="34"/>
  <c r="S40" i="34"/>
  <c r="AB40" i="34"/>
  <c r="AA39" i="34"/>
  <c r="AC36" i="34"/>
  <c r="AB35" i="34"/>
  <c r="W35" i="34"/>
  <c r="AC33" i="34"/>
  <c r="AB33" i="34"/>
  <c r="AC23" i="34"/>
  <c r="U23" i="34"/>
  <c r="S23" i="34"/>
  <c r="S21" i="34"/>
  <c r="AC21" i="34"/>
  <c r="AB19" i="34"/>
  <c r="W17" i="34"/>
  <c r="AB17" i="34"/>
  <c r="S17" i="34"/>
  <c r="S15" i="34"/>
  <c r="U15" i="34"/>
  <c r="AC10" i="34"/>
  <c r="S10" i="34"/>
  <c r="H10" i="34"/>
  <c r="AA9" i="34"/>
  <c r="U9" i="34"/>
  <c r="W9"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I29" i="1"/>
  <c r="H30" i="1"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W40" i="34" l="1"/>
  <c r="U37" i="34"/>
  <c r="AB37" i="34"/>
  <c r="AC15" i="34"/>
  <c r="W15" i="34"/>
  <c r="AA27" i="34"/>
  <c r="AB10" i="34"/>
  <c r="U10" i="34"/>
  <c r="AB27" i="34"/>
  <c r="F51" i="15"/>
  <c r="C50" i="15" s="1"/>
  <c r="F31" i="15"/>
  <c r="E125" i="57"/>
  <c r="AC27" i="34"/>
  <c r="W27" i="34"/>
  <c r="F7" i="35"/>
  <c r="AA7" i="35" s="1"/>
  <c r="R38" i="35" s="1"/>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C7" i="35" l="1"/>
  <c r="V38" i="35" s="1"/>
  <c r="I38" i="35" s="1"/>
  <c r="F60" i="15"/>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J7" i="21"/>
  <c r="W7" i="21" s="1"/>
  <c r="D6" i="59"/>
  <c r="C5" i="59"/>
  <c r="D5" i="59" s="1"/>
  <c r="M20" i="43"/>
  <c r="C65" i="15"/>
  <c r="J63" i="40"/>
  <c r="I65" i="40"/>
  <c r="AB7" i="21"/>
  <c r="T48" i="21" s="1"/>
  <c r="G48" i="21" s="1"/>
  <c r="U7" i="21"/>
  <c r="AC7" i="21"/>
  <c r="V48" i="21" s="1"/>
  <c r="I48" i="21" s="1"/>
  <c r="J59" i="34"/>
  <c r="M70" i="39"/>
  <c r="N68" i="39"/>
  <c r="S7" i="2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R50" i="34" l="1"/>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C19" i="57"/>
  <c r="B3" i="34" l="1"/>
  <c r="C103" i="57"/>
  <c r="G19" i="57"/>
  <c r="D22" i="57"/>
  <c r="G47" i="40"/>
  <c r="H47" i="40" s="1"/>
  <c r="E42" i="40"/>
  <c r="C20" i="57"/>
  <c r="G20" i="57" l="1"/>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97" i="57" l="1"/>
  <c r="C81" i="57"/>
  <c r="C82" i="57" s="1"/>
  <c r="E82" i="57" s="1"/>
  <c r="E83" i="57" s="1"/>
  <c r="G14" i="62"/>
  <c r="B6" i="62" s="1"/>
  <c r="D8" i="52"/>
  <c r="B29" i="60"/>
  <c r="D16" i="50"/>
  <c r="B30" i="60" s="1"/>
  <c r="M69" i="57"/>
  <c r="N69" i="57" s="1"/>
  <c r="M67" i="57"/>
  <c r="N67" i="57" s="1"/>
  <c r="M66" i="57"/>
  <c r="N66" i="57" s="1"/>
  <c r="M70" i="57"/>
  <c r="N70" i="57" s="1"/>
  <c r="M68" i="57"/>
  <c r="N68" i="57" s="1"/>
  <c r="M65" i="57"/>
  <c r="N65" i="57" s="1"/>
  <c r="C98" i="57"/>
  <c r="E98" i="57" s="1"/>
  <c r="E99" i="57" s="1"/>
  <c r="D130" i="57"/>
  <c r="D17" i="50"/>
  <c r="C79" i="9"/>
  <c r="C80" i="9" s="1"/>
  <c r="E80" i="9" s="1"/>
  <c r="E81" i="9" s="1"/>
  <c r="C95" i="9"/>
  <c r="C96" i="9" s="1"/>
  <c r="E96" i="9" s="1"/>
  <c r="E97" i="9" s="1"/>
  <c r="O58" i="9"/>
  <c r="Q57" i="9"/>
  <c r="C81" i="9"/>
  <c r="M65" i="9"/>
  <c r="N65" i="9" s="1"/>
  <c r="M64" i="9"/>
  <c r="N64" i="9" s="1"/>
  <c r="M67" i="9"/>
  <c r="N67" i="9" s="1"/>
  <c r="M63" i="9"/>
  <c r="N63" i="9" s="1"/>
  <c r="N69" i="9" s="1"/>
  <c r="O69" i="9" s="1"/>
  <c r="M66" i="9"/>
  <c r="N66" i="9" s="1"/>
  <c r="O59" i="9"/>
  <c r="M68" i="9"/>
  <c r="N68" i="9" s="1"/>
  <c r="D6" i="62" l="1"/>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<sst xmlns="http://schemas.openxmlformats.org/spreadsheetml/2006/main" count="6989" uniqueCount="3047">
  <si>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</si>
  <si>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</si>
  <si>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</si>
  <si>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</si>
  <si>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</si>
  <si>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</si>
  <si>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</si>
  <si>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</si>
  <si>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</si>
  <si>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</si>
  <si>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</si>
  <si>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</si>
  <si>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</si>
  <si>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</si>
  <si>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</si>
  <si>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</si>
  <si>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</si>
  <si>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</si>
  <si>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</si>
  <si>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</si>
  <si>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</si>
  <si>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</si>
  <si>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</si>
  <si>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</si>
  <si>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</si>
  <si>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</si>
  <si>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</si>
  <si>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</si>
  <si>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</si>
  <si>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</si>
  <si>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</si>
  <si>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</si>
  <si>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</si>
  <si>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</si>
  <si>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</si>
  <si>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</si>
  <si>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</si>
  <si>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</si>
  <si>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</si>
  <si>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</si>
  <si>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</si>
  <si>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</si>
  <si>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</si>
  <si>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</si>
  <si>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</si>
  <si>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</si>
  <si>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</si>
  <si>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</si>
  <si>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</si>
  <si>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</si>
  <si>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</si>
  <si>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</si>
  <si>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</si>
  <si>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</si>
  <si>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</si>
  <si>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</si>
  <si>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</si>
  <si>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</si>
  <si>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</si>
  <si>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</si>
  <si>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</si>
  <si>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</si>
  <si>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</si>
  <si>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</si>
  <si>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</si>
  <si>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</si>
  <si>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</si>
  <si>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</si>
  <si>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</si>
  <si>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</si>
  <si>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</si>
  <si>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</si>
  <si>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</si>
  <si>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</si>
  <si>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</si>
  <si>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</si>
  <si>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</si>
  <si>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</si>
  <si>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</si>
  <si>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</si>
  <si>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</si>
  <si>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</si>
  <si>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</si>
  <si>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</si>
  <si>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</si>
  <si>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</si>
  <si>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</si>
  <si>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</si>
  <si>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</si>
  <si>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</si>
  <si>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</si>
  <si>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</si>
  <si>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</si>
  <si>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</si>
  <si>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</si>
  <si>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</si>
  <si>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</si>
  <si>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</si>
  <si>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</si>
  <si>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</si>
  <si>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</si>
  <si>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</si>
  <si>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</si>
  <si>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</si>
  <si>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</si>
  <si>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</si>
  <si>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</si>
  <si>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</si>
  <si>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</si>
  <si>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</si>
  <si>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</si>
  <si>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</si>
  <si>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</si>
  <si>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</si>
  <si>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</si>
  <si>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</si>
  <si>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</si>
  <si>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</si>
  <si>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</si>
  <si>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</si>
  <si>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</si>
  <si>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</si>
  <si>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</si>
  <si>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</si>
  <si>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</si>
  <si>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</si>
  <si>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</si>
  <si>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</si>
  <si>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</si>
  <si>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</si>
  <si>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</si>
  <si>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</si>
  <si>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</si>
  <si>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</si>
  <si>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</si>
  <si>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</si>
  <si>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</si>
  <si>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</si>
  <si>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</si>
  <si>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</si>
  <si>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</si>
  <si>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</si>
  <si>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</si>
  <si>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</si>
  <si>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</si>
  <si>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</si>
  <si>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</si>
  <si>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</si>
  <si>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</si>
  <si>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</si>
  <si>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</si>
  <si>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</si>
  <si>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</si>
  <si>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</si>
  <si>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</si>
  <si>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</si>
  <si>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</si>
  <si>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</si>
  <si>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</si>
  <si>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</si>
  <si>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</si>
  <si>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</si>
  <si>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</si>
  <si>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</si>
  <si>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</si>
  <si>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</si>
  <si>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</si>
  <si>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</si>
  <si>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</si>
  <si>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</si>
  <si>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</si>
  <si>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</si>
  <si>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</si>
  <si>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</si>
  <si>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</si>
  <si>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</si>
  <si>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</si>
  <si>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</si>
  <si>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</si>
  <si>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</si>
  <si>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</si>
  <si>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</si>
  <si>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</si>
  <si>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</si>
  <si>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</si>
  <si>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</si>
  <si>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</si>
  <si>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</si>
  <si>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</si>
  <si>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</si>
  <si>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</si>
  <si>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</si>
  <si>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</si>
  <si>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</si>
  <si>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</si>
  <si>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</si>
  <si>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</si>
  <si>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</si>
  <si>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</si>
  <si>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</si>
  <si>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</si>
  <si>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</si>
  <si>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</si>
  <si>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</si>
  <si>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</si>
  <si>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</si>
  <si>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</si>
  <si>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</si>
  <si>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</si>
  <si>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</si>
  <si>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</si>
  <si>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</si>
  <si>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</si>
  <si>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</si>
  <si>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</si>
  <si>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</si>
  <si>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</si>
  <si>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</si>
  <si>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</si>
  <si>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</si>
  <si>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</si>
  <si>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</si>
  <si>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</si>
  <si>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</si>
  <si>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</si>
  <si>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</si>
  <si>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</si>
  <si>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</si>
  <si>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</si>
  <si>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</si>
  <si>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</si>
  <si>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</si>
  <si>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</si>
  <si>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</si>
  <si>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</si>
  <si>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</si>
  <si>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</si>
  <si>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</si>
  <si>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</si>
  <si>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</si>
  <si>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</si>
  <si>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</si>
  <si>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</si>
  <si>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</si>
  <si>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</si>
  <si>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</si>
  <si>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</si>
  <si>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</si>
  <si>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</si>
  <si>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</si>
  <si>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</si>
  <si>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</si>
  <si>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</si>
  <si>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</si>
  <si>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</si>
  <si>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</si>
  <si>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</si>
  <si>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</si>
  <si>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</si>
  <si>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</si>
  <si>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</si>
  <si>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</si>
  <si>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</si>
  <si>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</si>
  <si>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</si>
  <si>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</si>
  <si>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</si>
  <si>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</si>
  <si>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</si>
  <si>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</si>
  <si>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</si>
  <si>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</si>
  <si>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</si>
  <si>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</si>
  <si>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</si>
  <si>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</si>
  <si>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</si>
  <si>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</si>
  <si>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</si>
  <si>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</si>
  <si>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</si>
  <si>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</si>
  <si>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</si>
  <si>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</si>
  <si>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</si>
  <si>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</si>
  <si>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</si>
  <si>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</si>
  <si>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</si>
  <si>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</si>
  <si>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</si>
  <si>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</si>
  <si>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</si>
  <si>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</si>
  <si>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</si>
  <si>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</si>
  <si>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</si>
  <si>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</si>
  <si>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</si>
  <si>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</si>
  <si>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</si>
  <si>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</si>
  <si>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</si>
  <si>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</si>
  <si>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</si>
  <si>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</si>
  <si>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</si>
  <si>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</si>
  <si>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</si>
  <si>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</si>
  <si>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</si>
  <si>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</si>
  <si>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</si>
  <si>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</si>
  <si>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</si>
  <si>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</si>
  <si>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</si>
  <si>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</si>
  <si>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</si>
  <si>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</si>
  <si>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</si>
  <si>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</si>
  <si>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</si>
  <si>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</si>
  <si>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</si>
  <si>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</si>
  <si>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</si>
  <si>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</si>
  <si>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</si>
  <si>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</si>
  <si>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</si>
  <si>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</si>
  <si>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</si>
  <si>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</si>
  <si>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</si>
  <si>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</si>
  <si>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</si>
  <si>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</si>
  <si>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</si>
  <si>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</si>
  <si>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</si>
  <si>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</si>
  <si>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</si>
  <si>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</si>
  <si>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</si>
  <si>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</si>
  <si>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</si>
  <si>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</si>
  <si>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</si>
  <si>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</si>
  <si>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</si>
  <si>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</si>
  <si>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</si>
  <si>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</si>
  <si>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</si>
  <si>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</si>
  <si>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</si>
  <si>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</si>
  <si>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</si>
  <si>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</si>
  <si>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</si>
  <si>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</si>
  <si>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</si>
  <si>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</si>
  <si>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</si>
  <si>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</si>
  <si>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</si>
  <si>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</si>
  <si>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</si>
  <si>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</si>
  <si>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</si>
  <si>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</si>
  <si>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</si>
  <si>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</si>
  <si>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</si>
  <si>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</si>
  <si>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</si>
  <si>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</si>
  <si>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</si>
  <si>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</si>
  <si>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</si>
  <si>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</si>
  <si>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</si>
  <si>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</si>
  <si>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</si>
  <si>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</si>
  <si>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</si>
  <si>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</si>
  <si>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</si>
  <si>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</si>
  <si>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</si>
  <si>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</si>
  <si>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</si>
  <si>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</si>
  <si>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</si>
  <si>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</si>
  <si>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</si>
  <si>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</si>
  <si>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</si>
  <si>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</si>
  <si>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</si>
  <si>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</si>
  <si>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</si>
  <si>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</si>
  <si>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</si>
  <si>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</si>
  <si>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</si>
  <si>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</si>
  <si>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</si>
  <si>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</si>
  <si>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</si>
  <si>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</si>
  <si>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</si>
  <si>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</si>
  <si>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</si>
  <si>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</si>
  <si>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</si>
  <si>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</si>
  <si>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</si>
  <si>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</si>
  <si>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</si>
  <si>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</si>
  <si>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</si>
  <si>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</si>
  <si>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</si>
  <si>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</si>
  <si>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</si>
  <si>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</si>
  <si>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</si>
  <si>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</si>
  <si>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</si>
  <si>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</si>
  <si>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</si>
  <si>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</si>
  <si>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</si>
  <si>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</si>
  <si>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</si>
  <si>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</si>
  <si>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</si>
  <si>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</si>
  <si>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</si>
  <si>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</si>
  <si>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</si>
  <si>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</si>
  <si>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</si>
  <si>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</si>
  <si>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</si>
  <si>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</si>
  <si>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</si>
  <si>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</si>
  <si>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</si>
  <si>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</si>
  <si>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</si>
  <si>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</si>
  <si>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</si>
  <si>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</si>
  <si>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</si>
  <si>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</si>
  <si>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</si>
  <si>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</si>
  <si>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</si>
  <si>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</si>
  <si>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</si>
  <si>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</si>
  <si>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</si>
  <si>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</si>
  <si>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</si>
  <si>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</si>
  <si>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</si>
  <si>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</si>
  <si>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</si>
  <si>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</si>
  <si>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</si>
  <si>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</si>
  <si>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</si>
  <si>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</si>
  <si>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</si>
  <si>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</si>
  <si>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</si>
  <si>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</si>
  <si>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</si>
  <si>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</si>
  <si>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</si>
  <si>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</si>
  <si>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</si>
  <si>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</si>
  <si>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</si>
  <si>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</si>
  <si>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</si>
  <si>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</si>
  <si>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</si>
  <si>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</si>
  <si>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</si>
  <si>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</si>
  <si>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</si>
  <si>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</si>
  <si>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</si>
  <si>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</si>
  <si>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</si>
  <si>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</si>
  <si>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</si>
  <si>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</si>
  <si>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</si>
  <si>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</si>
  <si>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</si>
  <si>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</si>
  <si>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</si>
  <si>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</si>
  <si>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</si>
  <si>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</si>
  <si>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</si>
  <si>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</si>
  <si>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</si>
  <si>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</si>
  <si>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</si>
  <si>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</si>
  <si>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</si>
  <si>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</si>
  <si>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</si>
  <si>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</si>
  <si>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</si>
  <si>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</si>
  <si>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</si>
  <si>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</si>
  <si>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</si>
  <si>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</si>
  <si>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</si>
  <si>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</si>
  <si>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</si>
  <si>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</si>
  <si>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</si>
  <si>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</si>
  <si>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</si>
  <si>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</si>
  <si>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</si>
  <si>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</si>
  <si>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</si>
  <si>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</si>
  <si>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</si>
  <si>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</si>
  <si>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</si>
  <si>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</si>
  <si>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</si>
  <si>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</si>
  <si>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</si>
  <si>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</si>
  <si>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</si>
  <si>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</si>
  <si>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</si>
  <si>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</si>
  <si>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</si>
  <si>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</si>
  <si>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</si>
  <si>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</si>
  <si>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</si>
  <si>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</si>
  <si>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</si>
  <si>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</si>
  <si>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</si>
  <si>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</si>
  <si>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</si>
  <si>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</si>
  <si>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</si>
  <si>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</si>
  <si>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</si>
  <si>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</si>
  <si>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</si>
  <si>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</si>
  <si>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</si>
  <si>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</si>
  <si>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</si>
  <si>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</si>
  <si>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</si>
  <si>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</si>
  <si>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</si>
  <si>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</si>
  <si>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</si>
  <si>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</si>
  <si>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</si>
  <si>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</si>
  <si>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</si>
  <si>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</si>
  <si>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</si>
  <si>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</si>
  <si>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</si>
  <si>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</si>
  <si>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</si>
  <si>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</si>
  <si>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</si>
  <si>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</si>
  <si>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</si>
  <si>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</si>
  <si>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</si>
  <si>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</si>
  <si>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</si>
  <si>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</si>
  <si>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</si>
  <si>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</si>
  <si>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</si>
  <si>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</si>
  <si>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</si>
  <si>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</si>
  <si>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</si>
  <si>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</si>
  <si>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</si>
  <si>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</si>
  <si>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</si>
  <si>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</si>
  <si>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</si>
  <si>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</si>
  <si>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</si>
  <si>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</si>
  <si>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</si>
  <si>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</si>
  <si>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</si>
  <si>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</si>
  <si>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</si>
  <si>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</si>
  <si>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</si>
  <si>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</si>
  <si>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</si>
  <si>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</si>
  <si>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</si>
  <si>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</si>
  <si>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</si>
  <si>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</si>
  <si>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</si>
  <si>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</si>
  <si>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</si>
  <si>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</si>
  <si>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</si>
  <si>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</si>
  <si>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</si>
  <si>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</si>
  <si>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</si>
  <si>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</si>
  <si>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</si>
  <si>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</si>
  <si>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</si>
  <si>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</si>
  <si>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</si>
  <si>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</si>
  <si>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</si>
  <si>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</si>
  <si>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</si>
  <si>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</si>
  <si>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</si>
  <si>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</si>
  <si>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</si>
  <si>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</si>
  <si>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</si>
  <si>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</si>
  <si>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</si>
  <si>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</si>
  <si>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</si>
  <si>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</si>
  <si>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</si>
  <si>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</si>
  <si>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</si>
  <si>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</si>
  <si>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</si>
  <si>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</si>
  <si>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</si>
  <si>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</si>
  <si>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</si>
  <si>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</si>
  <si>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</si>
  <si>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</si>
  <si>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</si>
  <si>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</si>
  <si>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</si>
  <si>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</si>
  <si>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</si>
  <si>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</si>
  <si>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</si>
  <si>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</si>
  <si>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</si>
  <si>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</si>
  <si>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</si>
  <si>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</si>
  <si>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</si>
  <si>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</si>
  <si>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</si>
  <si>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</si>
  <si>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</si>
  <si>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</si>
  <si>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</si>
  <si>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</si>
  <si>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</si>
  <si>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</si>
  <si>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</si>
  <si>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</si>
  <si>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</si>
  <si>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</si>
  <si>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</si>
  <si>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</si>
  <si>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</si>
  <si>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</si>
  <si>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</si>
  <si>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</si>
  <si>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</si>
  <si>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</si>
  <si>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</si>
  <si>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</si>
  <si>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</si>
  <si>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</si>
  <si>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</si>
  <si>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</si>
  <si>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</si>
  <si>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</si>
  <si>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</si>
  <si>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</si>
  <si>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</si>
  <si>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</si>
  <si>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</si>
  <si>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</si>
  <si>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</si>
  <si>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</si>
  <si>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</si>
  <si>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</si>
  <si>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</si>
  <si>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</si>
  <si>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</si>
  <si>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</si>
  <si>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</si>
  <si>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</si>
  <si>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</si>
  <si>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</si>
  <si>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</si>
  <si>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</si>
  <si>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</si>
  <si>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</si>
  <si>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</si>
  <si>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</si>
  <si>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</si>
  <si>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</si>
  <si>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</si>
  <si>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</si>
  <si>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</si>
  <si>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</si>
  <si>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</si>
  <si>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</si>
  <si>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</si>
  <si>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</si>
  <si>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</si>
  <si>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</si>
  <si>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</si>
  <si>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</si>
  <si>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</si>
  <si>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</si>
  <si>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</si>
  <si>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</si>
  <si>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</si>
  <si>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</si>
  <si>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</si>
  <si>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</si>
  <si>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</si>
  <si>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</si>
  <si>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</si>
  <si>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</si>
  <si>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</si>
  <si>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</si>
  <si>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</si>
  <si>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</si>
  <si>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</si>
  <si>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</si>
  <si>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</si>
  <si>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</si>
  <si>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</si>
  <si>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</si>
  <si>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</si>
  <si>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</si>
  <si>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</si>
  <si>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</si>
  <si>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</si>
  <si>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</si>
  <si>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</si>
  <si>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</si>
  <si>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</si>
  <si>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</si>
  <si>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</si>
  <si>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</si>
  <si>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</si>
  <si>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</si>
  <si>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</si>
  <si>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</si>
  <si>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</si>
  <si>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</si>
  <si>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</si>
  <si>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</si>
  <si>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</si>
  <si>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</si>
  <si>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</si>
  <si>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</si>
  <si>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</si>
  <si>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</si>
  <si>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</si>
  <si>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</si>
  <si>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</si>
  <si>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</si>
  <si>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</si>
  <si>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</si>
  <si>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</si>
  <si>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</si>
  <si>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</si>
  <si>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</si>
  <si>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</si>
  <si>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</si>
  <si>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</si>
  <si>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</si>
  <si>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</si>
  <si>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</si>
  <si>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</si>
  <si>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</si>
  <si>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</si>
  <si>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</si>
  <si>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</si>
  <si>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</si>
  <si>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</si>
  <si>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</si>
  <si>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</si>
  <si>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</si>
  <si>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</si>
  <si>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</si>
  <si>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</si>
  <si>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</si>
  <si>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</si>
  <si>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</si>
  <si>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</si>
  <si>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</si>
  <si>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</si>
  <si>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</si>
  <si>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</si>
  <si>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</si>
  <si>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</si>
  <si>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</si>
  <si>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</si>
  <si>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</si>
  <si>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</si>
  <si>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</si>
  <si>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</si>
  <si>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</si>
  <si>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</si>
  <si>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</si>
  <si>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</si>
  <si>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</si>
  <si>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</si>
  <si>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</si>
  <si>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</si>
  <si>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</si>
  <si>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</si>
  <si>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</si>
  <si>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</si>
  <si>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</si>
  <si>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</si>
  <si>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</si>
  <si>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</si>
  <si>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</si>
  <si>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</si>
  <si>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</si>
  <si>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</si>
  <si>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</si>
  <si>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</si>
  <si>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</si>
  <si>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</si>
  <si>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</si>
  <si>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</si>
  <si>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</si>
  <si>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</si>
  <si>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</si>
  <si>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</si>
  <si>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</si>
  <si>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</si>
  <si>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</si>
  <si>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</si>
  <si>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</si>
  <si>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</si>
  <si>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</si>
  <si>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</si>
  <si>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</si>
  <si>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</si>
  <si>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</si>
  <si>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</si>
  <si>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</si>
  <si>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</si>
  <si>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</si>
  <si>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</si>
  <si>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</si>
  <si>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</si>
  <si>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</si>
  <si>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</si>
  <si>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</si>
  <si>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</si>
  <si>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</si>
  <si>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</si>
  <si>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</si>
  <si>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</si>
  <si>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</si>
  <si>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</si>
  <si>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</si>
  <si>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</si>
  <si>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</si>
  <si>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</si>
  <si>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</si>
  <si>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</si>
  <si>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</si>
  <si>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</si>
  <si>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</si>
  <si>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</si>
  <si>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</si>
  <si>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</si>
  <si>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</si>
  <si>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</si>
  <si>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</si>
  <si>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</si>
  <si>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</si>
  <si>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</si>
  <si>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</si>
  <si>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</si>
  <si>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</si>
  <si>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</si>
  <si>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</si>
  <si>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</si>
  <si>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</si>
  <si>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</si>
  <si>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</si>
  <si>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</si>
  <si>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</si>
  <si>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</si>
  <si>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</si>
  <si>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</si>
  <si>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</si>
  <si>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</si>
  <si>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</si>
  <si>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</si>
  <si>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</si>
  <si>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</si>
  <si>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</si>
  <si>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</si>
  <si>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</si>
  <si>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</si>
  <si>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</si>
  <si>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</si>
  <si>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</si>
  <si>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</si>
  <si>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</si>
  <si>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</si>
  <si>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</si>
  <si>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</si>
  <si>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</si>
  <si>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</si>
  <si>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</si>
  <si>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</si>
  <si>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</si>
  <si>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</si>
  <si>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</si>
  <si>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</si>
  <si>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</si>
  <si>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</si>
  <si>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</si>
  <si>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</si>
  <si>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</si>
  <si>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</si>
  <si>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</si>
  <si>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</si>
  <si>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</si>
  <si>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</si>
  <si>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</si>
  <si>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</si>
  <si>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</si>
  <si>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</si>
  <si>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</si>
  <si>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</si>
  <si>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</si>
  <si>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</si>
  <si>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</si>
  <si>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</si>
  <si>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</si>
  <si>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</si>
  <si>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</si>
  <si>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</si>
  <si>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</si>
  <si>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</si>
  <si>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</si>
  <si>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</si>
  <si>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</si>
  <si>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</si>
  <si>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</si>
  <si>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</si>
  <si>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</si>
  <si>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</si>
  <si>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</si>
  <si>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</si>
  <si>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</si>
  <si>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</si>
  <si>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</si>
  <si>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</si>
  <si>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</si>
  <si>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</si>
  <si>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</si>
  <si>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</si>
  <si>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</si>
  <si>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</si>
  <si>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</si>
  <si>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</si>
  <si>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</si>
  <si>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</si>
  <si>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</si>
  <si>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</si>
  <si>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</si>
  <si>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</si>
  <si>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</si>
  <si>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</si>
  <si>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</si>
  <si>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</si>
  <si>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</si>
  <si>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</si>
  <si>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</si>
  <si>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</si>
  <si>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</si>
  <si>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</si>
  <si>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</si>
  <si>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</si>
  <si>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</si>
  <si>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</si>
  <si>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</si>
  <si>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</si>
  <si>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</si>
  <si>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</si>
  <si>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</si>
  <si>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</si>
  <si>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</si>
  <si>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</si>
  <si>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</si>
  <si>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</si>
  <si>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</si>
  <si>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</si>
  <si>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</si>
  <si>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</si>
  <si>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</si>
  <si>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</si>
  <si>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</si>
  <si>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</si>
  <si>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</si>
  <si>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</si>
  <si>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</si>
  <si>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</si>
  <si>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</si>
  <si>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</si>
  <si>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</si>
  <si>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</si>
  <si>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</si>
  <si>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</si>
  <si>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</si>
  <si>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</si>
  <si>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</si>
  <si>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</si>
  <si>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</si>
  <si>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</si>
  <si>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</si>
  <si>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</si>
  <si>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</si>
  <si>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</si>
  <si>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</si>
  <si>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</si>
  <si>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</si>
  <si>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</si>
  <si>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</si>
  <si>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</si>
  <si>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</si>
  <si>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</si>
  <si>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</si>
  <si>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</si>
  <si>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</si>
  <si>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</si>
  <si>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</si>
  <si>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</si>
  <si>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</si>
  <si>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</si>
  <si>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</si>
  <si>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</si>
  <si>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</si>
  <si>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</si>
  <si>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</si>
  <si>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</si>
  <si>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</si>
  <si>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</si>
  <si>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</si>
  <si>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</si>
  <si>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</si>
  <si>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</si>
  <si>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</si>
  <si>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</si>
  <si>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</si>
  <si>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</si>
  <si>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</si>
  <si>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</si>
  <si>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</si>
  <si>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</si>
  <si>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</si>
  <si>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</si>
  <si>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</si>
  <si>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</si>
  <si>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</si>
  <si>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</si>
  <si>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</si>
  <si>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</si>
  <si>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</si>
  <si>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</si>
  <si>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</si>
  <si>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</si>
  <si>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</si>
  <si>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</si>
  <si>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</si>
  <si>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</si>
  <si>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</si>
  <si>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</si>
  <si>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</si>
  <si>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</si>
  <si>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</si>
  <si>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</si>
  <si>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</si>
  <si>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</si>
  <si>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</si>
  <si>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</si>
  <si>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</si>
  <si>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</si>
  <si>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</si>
  <si>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</si>
  <si>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</si>
  <si>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</si>
  <si>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</si>
  <si>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</si>
  <si>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</si>
  <si>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</si>
  <si>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</si>
  <si>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</si>
  <si>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</si>
  <si>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</si>
  <si>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</si>
  <si>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</si>
  <si>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</si>
  <si>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</si>
  <si>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</si>
  <si>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</si>
  <si>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</si>
  <si>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</si>
  <si>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</si>
  <si>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</si>
  <si>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</si>
  <si>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</si>
  <si>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</si>
  <si>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</si>
  <si>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</si>
  <si>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</si>
  <si>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</si>
  <si>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</si>
  <si>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</si>
  <si>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</si>
  <si>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</si>
  <si>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</si>
  <si>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</si>
  <si>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</si>
  <si>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</si>
  <si>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</si>
  <si>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</si>
  <si>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</si>
  <si>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</si>
  <si>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</si>
  <si>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</si>
  <si>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</si>
  <si>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</si>
  <si>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</si>
  <si>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</si>
  <si>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</si>
  <si>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</si>
  <si>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</si>
  <si>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</si>
  <si>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</si>
  <si>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</si>
  <si>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</si>
  <si>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</si>
  <si>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</si>
  <si>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</si>
  <si>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</si>
  <si>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</si>
  <si>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</si>
  <si>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</si>
  <si>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</si>
  <si>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</si>
  <si>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</si>
  <si>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</si>
  <si>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</si>
  <si>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</si>
  <si>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</si>
  <si>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</si>
  <si>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</si>
  <si>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</si>
  <si>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</si>
  <si>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</si>
  <si>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</si>
  <si>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</si>
  <si>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</si>
  <si>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</si>
  <si>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</si>
  <si>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</si>
  <si>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</si>
  <si>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</si>
  <si>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</si>
  <si>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</si>
  <si>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</si>
  <si>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</si>
  <si>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</si>
  <si>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</si>
  <si>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</si>
  <si>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</si>
  <si>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</si>
  <si>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</si>
  <si>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</si>
  <si>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</si>
  <si>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</si>
  <si>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</si>
  <si>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</si>
  <si>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</si>
  <si>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</si>
  <si>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</si>
  <si>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</si>
  <si>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</si>
  <si>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</si>
  <si>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</si>
  <si>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</si>
  <si>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</si>
  <si>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</si>
  <si>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</si>
  <si>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</si>
  <si>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</si>
  <si>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</si>
  <si>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</si>
  <si>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</si>
  <si>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</si>
  <si>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</si>
  <si>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</si>
  <si>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</si>
  <si>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</si>
  <si>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</si>
  <si>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</si>
  <si>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</si>
  <si>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</si>
  <si>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</si>
  <si>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</si>
  <si>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</si>
  <si>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</si>
  <si>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</si>
  <si>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</si>
  <si>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</si>
  <si>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</si>
  <si>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</si>
  <si>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</si>
  <si>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</si>
  <si>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</si>
  <si>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</si>
  <si>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</si>
  <si>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</si>
  <si>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</si>
  <si>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</si>
  <si>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</si>
  <si>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</si>
  <si>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</si>
  <si>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</si>
  <si>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</si>
  <si>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</si>
  <si>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</si>
  <si>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</si>
  <si>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</si>
  <si>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</si>
  <si>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</si>
  <si>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</si>
  <si>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</si>
  <si>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</si>
  <si>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</si>
  <si>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</si>
  <si>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</si>
  <si>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</si>
  <si>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</si>
  <si>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</si>
  <si>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</si>
  <si>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</si>
  <si>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</si>
  <si>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</si>
  <si>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</si>
  <si>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</si>
  <si>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</si>
  <si>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</si>
  <si>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</si>
  <si>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</si>
  <si>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</si>
  <si>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</si>
  <si>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</si>
  <si>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</si>
  <si>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</si>
  <si>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</si>
  <si>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</si>
  <si>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</si>
  <si>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</si>
  <si>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</si>
  <si>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</si>
  <si>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</si>
  <si>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</si>
  <si>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</si>
  <si>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</si>
  <si>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</si>
  <si>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</si>
  <si>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</si>
  <si>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</si>
  <si>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</si>
  <si>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</si>
  <si>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</si>
  <si>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</si>
  <si>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</si>
  <si>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</si>
  <si>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</si>
  <si>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</si>
  <si>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</si>
  <si>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</si>
  <si>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</si>
  <si>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</si>
  <si>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</si>
  <si>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</si>
  <si>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</si>
  <si>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</si>
  <si>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</si>
  <si>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</si>
  <si>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</si>
  <si>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</si>
  <si>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</si>
  <si>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</si>
  <si>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</si>
  <si>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</si>
  <si>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</si>
  <si>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</si>
  <si>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</si>
  <si>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</si>
  <si>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</si>
  <si>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</si>
  <si>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</si>
  <si>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</si>
  <si>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</si>
  <si>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</si>
  <si>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</si>
  <si>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</si>
  <si>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</si>
  <si>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</si>
  <si>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</si>
  <si>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</si>
  <si>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</si>
  <si>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</si>
  <si>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</si>
  <si>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</si>
  <si>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</si>
  <si>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</si>
  <si>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</si>
  <si>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</si>
  <si>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</si>
  <si>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</si>
  <si>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</si>
  <si>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</si>
  <si>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</si>
  <si>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</si>
  <si>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</si>
  <si>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</si>
  <si>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</si>
  <si>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</si>
  <si>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</si>
  <si>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</si>
  <si>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</si>
  <si>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</si>
  <si>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</si>
  <si>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</si>
  <si>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</si>
  <si>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</si>
  <si>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</si>
  <si>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</si>
  <si>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</si>
  <si>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</si>
  <si>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</si>
  <si>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</si>
  <si>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</si>
  <si>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</si>
  <si>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</si>
  <si>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</si>
  <si>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</si>
  <si>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</si>
  <si>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</si>
  <si>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</si>
  <si>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</si>
  <si>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</si>
  <si>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</si>
  <si>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</si>
  <si>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</si>
  <si>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</si>
  <si>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</si>
  <si>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</si>
  <si>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</si>
  <si>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</si>
  <si>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</si>
  <si>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</si>
  <si>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</si>
  <si>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</si>
  <si>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</si>
  <si>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</si>
  <si>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</si>
  <si>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</si>
  <si>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</si>
  <si>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</si>
  <si>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</si>
  <si>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</si>
  <si>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</si>
  <si>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</si>
  <si>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</si>
  <si>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</si>
  <si>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</si>
  <si>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</si>
  <si>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</si>
  <si>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</si>
  <si>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</si>
  <si>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</si>
  <si>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</si>
  <si>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</si>
  <si>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</si>
  <si>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</si>
  <si>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</si>
  <si>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</si>
  <si>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</si>
  <si>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</si>
  <si>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</si>
  <si>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</si>
  <si>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</si>
  <si>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</si>
  <si>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</si>
  <si>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</si>
  <si>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</si>
  <si>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</si>
  <si>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</si>
  <si>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</si>
  <si>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</si>
  <si>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</si>
  <si>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</si>
  <si>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</si>
  <si>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</si>
  <si>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</si>
  <si>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</si>
  <si>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</si>
  <si>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</si>
  <si>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</si>
  <si>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</si>
  <si>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</si>
  <si>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</si>
  <si>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</si>
  <si>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</si>
  <si>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</si>
  <si>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</si>
  <si>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</si>
  <si>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</si>
  <si>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</si>
  <si>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</si>
  <si>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</si>
  <si>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</si>
  <si>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</si>
  <si>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</si>
  <si>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</si>
  <si>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</si>
  <si>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</si>
  <si>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</si>
  <si>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</si>
  <si>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</si>
  <si>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</si>
  <si>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</si>
  <si>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</si>
  <si>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</si>
  <si>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</si>
  <si>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</si>
  <si>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</si>
  <si>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</si>
  <si>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</si>
  <si>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</si>
  <si>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</si>
  <si>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</si>
  <si>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</si>
  <si>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</si>
  <si>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</si>
  <si>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</si>
  <si>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</si>
  <si>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</si>
  <si>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</si>
  <si>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</si>
  <si>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</si>
  <si>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</si>
  <si>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</si>
  <si>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</si>
  <si>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</si>
  <si>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</si>
  <si>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</si>
  <si>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</si>
  <si>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</si>
  <si>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</si>
  <si>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</si>
  <si>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</si>
  <si>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</si>
  <si>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</si>
  <si>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</si>
  <si>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</si>
  <si>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</si>
  <si>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</si>
  <si>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</si>
  <si>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</si>
  <si>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</si>
  <si>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</si>
  <si>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</si>
  <si>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</si>
  <si>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</si>
  <si>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</si>
  <si>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</si>
  <si>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</si>
  <si>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</si>
  <si>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</si>
  <si>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</si>
  <si>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</si>
  <si>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</si>
  <si>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</si>
  <si>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</si>
  <si>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</si>
  <si>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</si>
  <si>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</si>
  <si>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</si>
  <si>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</si>
  <si>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</si>
  <si>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</si>
  <si>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</si>
  <si>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</si>
  <si>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</si>
  <si>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</si>
  <si>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</si>
  <si>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</si>
  <si>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</si>
  <si>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</si>
  <si>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</si>
  <si>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</si>
  <si>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</si>
  <si>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</si>
  <si>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</si>
  <si>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</si>
  <si>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</si>
  <si>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</si>
  <si>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</si>
  <si>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</si>
  <si>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</si>
  <si>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</si>
  <si>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</si>
  <si>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</si>
  <si>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</si>
  <si>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</si>
  <si>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</si>
  <si>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</si>
  <si>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</si>
  <si>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</si>
  <si>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</si>
  <si>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</si>
  <si>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</si>
  <si>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</si>
  <si>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</si>
  <si>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</si>
  <si>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</si>
  <si>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</si>
  <si>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</si>
  <si>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</si>
  <si>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</si>
  <si>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</si>
  <si>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</si>
  <si>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</si>
  <si>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</si>
  <si>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</si>
  <si>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</si>
  <si>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</si>
  <si>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</si>
  <si>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</si>
  <si>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</si>
  <si>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</si>
  <si>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</si>
  <si>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</si>
  <si>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</si>
  <si>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</si>
  <si>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</si>
  <si>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</si>
  <si>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</si>
  <si>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</si>
  <si>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</si>
  <si>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</si>
  <si>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</si>
  <si>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</si>
  <si>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</si>
  <si>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</si>
  <si>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</si>
  <si>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</si>
  <si>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</si>
  <si>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</si>
  <si>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</si>
  <si>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</si>
  <si>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</si>
  <si>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</si>
  <si>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</si>
  <si>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</si>
  <si>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</si>
  <si>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</si>
  <si>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</si>
  <si>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</si>
  <si>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</si>
  <si>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</si>
  <si>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</si>
  <si>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</si>
  <si>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</si>
  <si>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</si>
  <si>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</si>
  <si>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</si>
  <si>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</si>
  <si>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</si>
  <si>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</si>
  <si>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</si>
  <si>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</si>
  <si>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</si>
  <si>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</si>
  <si>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</si>
  <si>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</si>
  <si>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</si>
  <si>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</si>
  <si>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</si>
  <si>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</si>
  <si>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</si>
  <si>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</si>
  <si>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</si>
  <si>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</si>
  <si>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</si>
  <si>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</si>
  <si>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</si>
  <si>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</si>
  <si>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</si>
  <si>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</si>
  <si>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</si>
  <si>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</si>
  <si>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</si>
  <si>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</si>
  <si>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</si>
  <si>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</si>
  <si>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</si>
  <si>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</si>
  <si>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</si>
  <si>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</si>
  <si>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</si>
  <si>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</si>
  <si>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</si>
  <si>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</si>
  <si>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</si>
  <si>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</si>
  <si>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</si>
  <si>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</si>
  <si>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</si>
  <si>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</si>
  <si>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</si>
  <si>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</si>
  <si>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</si>
  <si>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</si>
  <si>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</si>
  <si>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</si>
  <si>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</si>
  <si>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</si>
  <si>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</si>
  <si>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</si>
  <si>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</si>
  <si>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</si>
  <si>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</si>
  <si>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</si>
  <si>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</si>
  <si>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</si>
  <si>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</si>
  <si>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</si>
  <si>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</si>
  <si>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</si>
  <si>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</si>
  <si>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</si>
  <si>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</si>
  <si>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</si>
  <si>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</si>
  <si>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</si>
  <si>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</si>
  <si>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</si>
  <si>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</si>
  <si>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</si>
  <si>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</si>
  <si>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</si>
  <si>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</si>
  <si>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</si>
  <si>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</si>
  <si>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</si>
  <si>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</si>
  <si>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</si>
  <si>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</si>
  <si>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</si>
  <si>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</si>
  <si>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</si>
  <si>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</si>
  <si>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</si>
  <si>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</si>
  <si>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</si>
  <si>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</si>
  <si>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</si>
  <si>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</si>
  <si>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</si>
  <si>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</si>
  <si>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</si>
  <si>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</si>
  <si>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</si>
  <si>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</si>
  <si>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</si>
  <si>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</si>
  <si>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</si>
  <si>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</si>
  <si>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</si>
  <si>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</si>
  <si>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</si>
  <si>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</si>
  <si>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</si>
  <si>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</si>
  <si>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</si>
  <si>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</si>
  <si>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</si>
  <si>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</si>
  <si>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</si>
  <si>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</si>
  <si>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</si>
  <si>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</si>
  <si>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</si>
  <si>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</si>
  <si>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</si>
  <si>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</si>
  <si>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</si>
  <si>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</si>
  <si>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</si>
  <si>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</si>
  <si>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</si>
  <si>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</si>
  <si>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</si>
  <si>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</si>
  <si>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</si>
  <si>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</si>
  <si>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</si>
  <si>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</si>
  <si>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</si>
  <si>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</si>
  <si>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</si>
  <si>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</si>
  <si>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</si>
  <si>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</si>
  <si>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</si>
  <si>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</si>
  <si>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</si>
  <si>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</si>
  <si>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</si>
  <si>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</si>
  <si>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</si>
  <si>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</si>
  <si>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</si>
  <si>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</si>
  <si>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</si>
  <si>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</si>
  <si>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</si>
  <si>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</si>
  <si>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</si>
  <si>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</si>
  <si>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</si>
  <si>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</si>
  <si>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</si>
  <si>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</si>
  <si>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</si>
  <si>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</si>
  <si>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</si>
  <si>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</si>
  <si>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</si>
  <si>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</si>
  <si>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</si>
  <si>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</si>
  <si>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</si>
  <si>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</si>
  <si>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</si>
  <si>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</si>
  <si>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</si>
  <si>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</si>
  <si>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</si>
  <si>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</si>
  <si>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</si>
  <si>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</si>
  <si>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</si>
  <si>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</si>
  <si>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</si>
  <si>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</si>
  <si>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</si>
  <si>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</si>
  <si>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</si>
  <si>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</si>
  <si>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</si>
  <si>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</si>
  <si>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</si>
  <si>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</si>
  <si>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</si>
  <si>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</si>
  <si>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</si>
  <si>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</si>
  <si>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</si>
  <si>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</si>
  <si>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</si>
  <si>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</si>
  <si>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</si>
  <si>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</si>
  <si>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</si>
  <si>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</si>
  <si>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</si>
  <si>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</si>
  <si>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</si>
  <si>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</si>
  <si>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</si>
  <si>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</si>
  <si>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</si>
  <si>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</si>
  <si>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</si>
  <si>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</si>
  <si>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</si>
  <si>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</si>
  <si>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</si>
  <si>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</si>
  <si>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</si>
  <si>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</si>
  <si>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</si>
  <si>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</si>
  <si>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</si>
  <si>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</si>
  <si>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</si>
  <si>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</si>
  <si>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</si>
  <si>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</si>
  <si>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</si>
  <si>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</si>
  <si>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</si>
  <si>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</si>
  <si>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</si>
  <si>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</si>
  <si>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</si>
  <si>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</si>
  <si>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</si>
  <si>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</si>
  <si>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</si>
  <si>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</si>
  <si>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</si>
  <si>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</si>
  <si>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</si>
  <si>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</si>
  <si>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</si>
  <si>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</si>
  <si>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</si>
  <si>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</si>
  <si>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</si>
  <si>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</si>
  <si>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</si>
  <si>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</si>
  <si>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</si>
  <si>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</si>
  <si>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</si>
  <si>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</si>
  <si>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</si>
  <si>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</si>
  <si>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</si>
  <si>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</si>
  <si>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</si>
  <si>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</si>
  <si>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</si>
  <si>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</si>
  <si>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</si>
  <si>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</si>
  <si>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</si>
  <si>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</si>
  <si>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</si>
  <si>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</si>
  <si>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</si>
  <si>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</si>
  <si>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</si>
  <si>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</si>
  <si>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</si>
  <si>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</si>
  <si>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</si>
  <si>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</si>
  <si>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</si>
  <si>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</si>
  <si>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</si>
  <si>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</si>
  <si>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</si>
  <si>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</si>
  <si>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</si>
  <si>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</si>
  <si>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</si>
  <si>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</si>
  <si>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</si>
  <si>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</si>
  <si>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</si>
  <si>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</si>
  <si>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</si>
  <si>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</si>
  <si>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</si>
  <si>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</si>
  <si>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</si>
  <si>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</si>
  <si>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</si>
  <si>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</si>
  <si>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</si>
  <si>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</si>
  <si>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</si>
  <si>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</si>
  <si>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</si>
  <si>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</si>
  <si>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</si>
  <si>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</si>
  <si>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</si>
  <si>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</si>
  <si>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</si>
  <si>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</si>
  <si>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</si>
  <si>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</si>
  <si>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</si>
  <si>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</si>
  <si>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</si>
  <si>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</si>
  <si>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</si>
  <si>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</si>
  <si>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</si>
  <si>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</si>
  <si>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</si>
  <si>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</si>
  <si>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</si>
  <si>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</si>
  <si>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</si>
  <si>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</si>
  <si>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</si>
  <si>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</si>
  <si>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</si>
  <si>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</si>
  <si>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</si>
  <si>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</si>
  <si>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</si>
  <si>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</si>
  <si>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</si>
  <si>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</si>
  <si>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</si>
  <si>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</si>
  <si>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</si>
  <si>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</si>
  <si>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</si>
  <si>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</si>
  <si>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</si>
  <si>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</si>
  <si>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</si>
  <si>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</si>
  <si>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</si>
  <si>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</si>
  <si>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</si>
  <si>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</si>
  <si>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</si>
  <si>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</si>
  <si>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</si>
  <si>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</si>
  <si>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</si>
  <si>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</si>
  <si>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</si>
  <si>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</si>
  <si>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</si>
  <si>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</si>
  <si>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</si>
  <si>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</si>
  <si>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</si>
  <si>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</si>
  <si>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</si>
  <si>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</si>
  <si>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</si>
  <si>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</si>
  <si>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</si>
  <si>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</si>
  <si>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</si>
  <si>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</si>
  <si>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</si>
  <si>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</si>
  <si>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</si>
  <si>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</si>
  <si>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</si>
  <si>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</si>
  <si>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</si>
  <si>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</si>
  <si>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</si>
  <si>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</si>
  <si>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</si>
  <si>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</si>
  <si>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</si>
  <si>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</si>
  <si>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</si>
  <si>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</si>
  <si>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</si>
  <si>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</si>
  <si>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</si>
  <si>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</si>
  <si>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</si>
  <si>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</si>
  <si>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</si>
  <si>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</si>
  <si>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</si>
  <si>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</si>
  <si>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</si>
  <si>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</si>
  <si>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</si>
  <si>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</si>
  <si>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</si>
  <si>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</si>
  <si>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</si>
  <si>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</si>
  <si>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</si>
  <si>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</si>
  <si>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</si>
  <si>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</si>
  <si>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</si>
  <si>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</si>
  <si>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</si>
  <si>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</si>
  <si>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</si>
  <si>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</si>
  <si>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</si>
  <si>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</si>
  <si>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</si>
  <si>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</si>
  <si>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</si>
  <si>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</si>
  <si>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</si>
  <si>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</si>
  <si>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</si>
  <si>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</si>
  <si>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</si>
  <si>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</si>
  <si>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</si>
  <si>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</si>
  <si>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</si>
  <si>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</si>
  <si>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</si>
  <si>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</si>
  <si>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</si>
  <si>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</si>
  <si>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</si>
  <si>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</si>
  <si>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</si>
  <si>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</si>
  <si>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</si>
  <si>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</si>
  <si>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</si>
  <si>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</si>
  <si>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</si>
  <si>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</si>
  <si>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</si>
  <si>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</si>
  <si>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</si>
  <si>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</si>
  <si>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</si>
  <si>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</si>
  <si>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</si>
  <si>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</si>
  <si>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</si>
  <si>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</si>
  <si>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</si>
  <si>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</si>
  <si>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</si>
  <si>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</si>
  <si>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</si>
  <si>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</si>
  <si>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</si>
  <si>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</si>
  <si>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</si>
  <si>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</si>
  <si>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</si>
  <si>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</si>
  <si>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</si>
  <si>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</si>
  <si>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</si>
  <si>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</si>
  <si>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</si>
  <si>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</si>
  <si>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</si>
  <si>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</si>
  <si>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</si>
  <si>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</si>
  <si>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</si>
  <si>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</si>
  <si>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</si>
  <si>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</si>
  <si>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</si>
  <si>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</si>
  <si>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</si>
  <si>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</si>
  <si>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</si>
  <si>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</si>
  <si>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</si>
  <si>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</si>
  <si>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</si>
  <si>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</si>
  <si>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</si>
  <si>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</si>
  <si>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</si>
  <si>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</si>
  <si>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</si>
  <si>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</si>
  <si>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</si>
  <si>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</si>
  <si>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</si>
  <si>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</si>
  <si>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</si>
  <si>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</si>
  <si>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</si>
  <si>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</si>
  <si>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</si>
  <si>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</si>
  <si>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</si>
  <si>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</si>
  <si>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</si>
  <si>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</si>
  <si>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</si>
  <si>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</si>
  <si>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</si>
  <si>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</si>
  <si>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</si>
  <si>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</si>
  <si>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</si>
  <si>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</si>
  <si>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</si>
  <si>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</si>
  <si>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</si>
  <si>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</si>
  <si>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</si>
  <si>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</si>
  <si>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</si>
  <si>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</si>
  <si>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</si>
  <si>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</si>
  <si>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</si>
  <si>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</si>
  <si>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</si>
  <si>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</si>
  <si>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</si>
  <si>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</si>
  <si>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</si>
  <si>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</si>
  <si>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</si>
  <si>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</si>
  <si>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</si>
  <si>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</si>
  <si>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</si>
  <si>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</si>
  <si>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</si>
  <si>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</si>
  <si>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</si>
  <si>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</si>
  <si>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</si>
  <si>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</si>
  <si>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</si>
  <si>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</si>
  <si>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</si>
  <si>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</si>
  <si>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</si>
  <si>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</si>
  <si>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</si>
  <si>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</si>
  <si>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</si>
  <si>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</si>
  <si>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</si>
  <si>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</si>
  <si>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</si>
  <si>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</si>
  <si>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</si>
  <si>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</si>
  <si>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</si>
  <si>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</si>
  <si>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</si>
  <si>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</si>
  <si>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</si>
  <si>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</si>
  <si>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</si>
  <si>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</si>
  <si>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</si>
  <si>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</si>
  <si>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</si>
  <si>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</si>
  <si>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</si>
  <si>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</si>
  <si>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</si>
  <si>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</si>
  <si>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</si>
  <si>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</si>
  <si>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</si>
  <si>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</si>
  <si>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</si>
  <si>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</si>
  <si>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</si>
  <si>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</si>
  <si>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</si>
  <si>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</si>
  <si>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</si>
  <si>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</si>
  <si>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</si>
  <si>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</si>
  <si>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</si>
  <si>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</si>
  <si>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</si>
  <si>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</si>
  <si>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</si>
  <si>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</si>
  <si>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</si>
  <si>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</si>
  <si>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</si>
  <si>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</si>
  <si>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</si>
  <si>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</si>
  <si>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</si>
  <si>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</si>
  <si>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</si>
  <si>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</si>
  <si>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</si>
  <si>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</si>
  <si>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</si>
  <si>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</si>
  <si>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</si>
  <si>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</si>
  <si>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</si>
  <si>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</si>
  <si>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</si>
  <si>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</si>
  <si>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</si>
  <si>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</si>
  <si>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</si>
  <si>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</si>
  <si>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</si>
  <si>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</si>
  <si>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</si>
  <si>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</si>
  <si>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</si>
  <si>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</si>
  <si>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</si>
  <si>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</si>
  <si>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</si>
  <si>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</si>
  <si>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</si>
  <si>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</si>
  <si>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</si>
  <si>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</si>
  <si>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</si>
  <si>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</si>
  <si>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</si>
  <si>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</si>
  <si>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</si>
  <si>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</si>
  <si>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</si>
  <si>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</si>
  <si>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</si>
  <si>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</si>
  <si>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</si>
  <si>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</si>
  <si>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</si>
  <si>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</si>
  <si>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</si>
  <si>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</si>
  <si>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</si>
  <si>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</si>
  <si>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</si>
  <si>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</si>
  <si>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</si>
  <si>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</si>
  <si>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</si>
  <si>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</si>
  <si>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</si>
  <si>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</si>
  <si>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</si>
  <si>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</si>
  <si>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</si>
  <si>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</si>
  <si>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</si>
  <si>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</si>
  <si>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</si>
  <si>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</si>
  <si>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</si>
  <si>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</si>
  <si>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</si>
  <si>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</si>
  <si>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</si>
  <si>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</si>
  <si>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</si>
  <si>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</si>
  <si>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</si>
  <si>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</si>
  <si>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</si>
  <si>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</si>
  <si>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</si>
  <si>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</si>
  <si>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</si>
  <si>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</si>
  <si>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</si>
  <si>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</si>
  <si>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</si>
  <si>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</si>
  <si>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</si>
  <si>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</si>
  <si>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</si>
  <si>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</si>
  <si>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</si>
  <si>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</si>
  <si>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</si>
  <si>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</si>
  <si>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</si>
  <si>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</si>
  <si>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</si>
  <si>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</si>
  <si>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</si>
  <si>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</si>
  <si>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</si>
  <si>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</si>
  <si>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</si>
  <si>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</si>
  <si>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</si>
  <si>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</si>
  <si>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</si>
  <si>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</si>
  <si>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</si>
  <si>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</si>
  <si>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</si>
  <si>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</si>
  <si>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</si>
  <si>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</si>
  <si>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</si>
  <si>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</si>
  <si>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</si>
  <si>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</si>
  <si>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</si>
  <si>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</si>
  <si>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</si>
  <si>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</si>
  <si>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</si>
  <si>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</si>
  <si>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</si>
  <si>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</si>
  <si>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</si>
  <si>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</si>
  <si>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</si>
  <si>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</si>
  <si>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</si>
  <si>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</si>
  <si>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</si>
  <si>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</si>
  <si>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</si>
  <si>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</si>
  <si>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</si>
  <si>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</si>
  <si>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</si>
  <si>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</si>
  <si>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</si>
  <si>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</si>
  <si>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</si>
  <si>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</si>
  <si>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</si>
  <si>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</si>
  <si>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</si>
  <si>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</si>
  <si>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</si>
  <si>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</si>
  <si>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</si>
  <si>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</si>
  <si>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</si>
  <si>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</si>
  <si>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</si>
  <si>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</si>
  <si>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</si>
  <si>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</si>
  <si>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</si>
  <si>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</si>
  <si>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</si>
  <si>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</si>
  <si>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</si>
  <si>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</si>
  <si>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</si>
  <si>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</si>
  <si>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</si>
  <si>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</si>
  <si>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</si>
  <si>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</si>
  <si>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</si>
  <si>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</si>
  <si>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</si>
  <si>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</si>
  <si>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</si>
  <si>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</si>
  <si>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</si>
  <si>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</si>
  <si>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</si>
  <si>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</si>
  <si>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</si>
  <si>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</si>
  <si>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</si>
  <si>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</si>
  <si>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</si>
  <si>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</si>
  <si>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</si>
  <si>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</si>
  <si>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</si>
  <si>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</si>
  <si>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</si>
  <si>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</si>
  <si>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</si>
  <si>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</si>
  <si>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</si>
  <si>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</si>
  <si>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</si>
  <si>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</si>
  <si>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</si>
  <si>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</si>
  <si>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</si>
  <si>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</si>
  <si>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</si>
  <si>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</si>
  <si>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</si>
  <si>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</si>
  <si>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</si>
  <si>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</si>
  <si>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</si>
  <si>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</si>
  <si>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</si>
  <si>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</si>
  <si>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</si>
  <si>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</si>
  <si>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</si>
  <si>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</si>
  <si>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</si>
  <si>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</si>
  <si>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</si>
  <si>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</si>
  <si>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</si>
  <si>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</si>
  <si>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</si>
  <si>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</si>
  <si>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</si>
  <si>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</si>
  <si>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</si>
  <si>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</si>
  <si>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</si>
  <si>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</si>
  <si>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</si>
  <si>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</si>
  <si>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</si>
  <si>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</si>
  <si>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</si>
  <si>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</si>
  <si>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</si>
  <si>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</si>
  <si>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</si>
  <si>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</si>
  <si>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</si>
  <si>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</si>
  <si>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</si>
  <si>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</si>
  <si>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</si>
  <si>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</si>
  <si>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</si>
  <si>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</si>
  <si>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</si>
  <si>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</si>
  <si>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</si>
  <si>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</si>
  <si>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</si>
  <si>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</si>
  <si>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</si>
  <si>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</si>
  <si>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</si>
  <si>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</si>
  <si>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</si>
  <si>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</si>
  <si>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</si>
  <si>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</si>
  <si>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</si>
  <si>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</si>
  <si>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</si>
  <si>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</si>
  <si>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</si>
  <si>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</si>
  <si>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</si>
  <si>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</si>
  <si>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</si>
  <si>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</si>
  <si>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</si>
  <si>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</si>
  <si>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</si>
  <si>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</si>
  <si>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</si>
  <si>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</si>
  <si>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</si>
  <si>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</si>
  <si>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</si>
  <si>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</si>
  <si>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</si>
  <si>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</si>
  <si>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</si>
  <si>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</si>
  <si>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</si>
  <si>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</si>
  <si>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</si>
  <si>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</si>
  <si>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</si>
  <si>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</si>
  <si>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</si>
  <si>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</si>
  <si>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</si>
  <si>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</si>
  <si>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</si>
  <si>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</si>
  <si>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</si>
  <si>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</si>
  <si>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</si>
  <si>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</si>
  <si>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</si>
  <si>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</si>
  <si>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</si>
  <si>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</si>
  <si>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</si>
  <si>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</si>
  <si>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</si>
  <si>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</si>
  <si>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</si>
  <si>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</si>
  <si>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</si>
  <si>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</si>
  <si>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</si>
  <si>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</si>
  <si>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</si>
  <si>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</si>
  <si>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</si>
  <si>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</si>
  <si>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</si>
  <si>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</si>
  <si>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</si>
  <si>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</si>
  <si>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</si>
  <si>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</si>
  <si>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</si>
  <si>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</si>
  <si>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</si>
  <si>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</si>
  <si>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</si>
  <si>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</si>
  <si>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</si>
  <si>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</si>
  <si>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</si>
  <si>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</si>
  <si>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</si>
  <si>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</si>
  <si>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</si>
  <si>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</si>
  <si>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</si>
  <si>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</si>
  <si>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</si>
  <si>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</si>
  <si>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</si>
  <si>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</si>
  <si>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</si>
  <si>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</si>
  <si>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</si>
  <si>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</si>
  <si>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</si>
  <si>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</si>
  <si>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</si>
  <si>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</si>
  <si>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</si>
  <si>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</si>
  <si>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</si>
  <si>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</si>
  <si>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</si>
  <si>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</si>
  <si>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</si>
  <si>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</si>
  <si>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</si>
  <si>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</si>
  <si>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</si>
  <si>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</si>
  <si>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</si>
  <si>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</si>
  <si>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</si>
  <si>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</si>
  <si>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</si>
  <si>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</si>
  <si>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</si>
  <si>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</si>
  <si>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</si>
  <si>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</si>
  <si>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</si>
  <si>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</si>
  <si>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</si>
  <si>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</si>
  <si>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</si>
  <si>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</si>
  <si>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</si>
  <si>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</si>
  <si>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</si>
  <si>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</si>
  <si>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</si>
  <si>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</si>
  <si>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</si>
  <si>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</si>
  <si>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</si>
  <si>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</si>
  <si>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</si>
  <si>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</si>
  <si>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</si>
  <si>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</si>
  <si>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</si>
  <si>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</si>
  <si>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</si>
  <si>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</si>
  <si>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</si>
  <si>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</si>
  <si>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</si>
  <si>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</si>
  <si>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</si>
  <si>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</si>
  <si>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</si>
  <si>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</si>
  <si>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</si>
  <si>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</si>
  <si>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</si>
  <si>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</si>
  <si>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</si>
  <si>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</si>
  <si>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</si>
  <si>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</si>
  <si>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</si>
  <si>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</si>
  <si>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</si>
  <si>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</si>
  <si>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</si>
  <si>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</si>
  <si>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</si>
  <si>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</si>
  <si>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</si>
  <si>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</si>
  <si>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</si>
  <si>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</si>
  <si>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</si>
  <si>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</si>
  <si>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</si>
  <si>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</si>
  <si>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</si>
  <si>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</si>
  <si>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</si>
  <si>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</si>
  <si>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</si>
  <si>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</si>
  <si>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</si>
  <si>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</si>
  <si>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</si>
  <si>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</si>
  <si>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</si>
  <si>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</si>
  <si>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</si>
  <si>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</si>
  <si>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</si>
  <si>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</si>
  <si>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</si>
  <si>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</si>
  <si>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</si>
  <si>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</si>
  <si>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</si>
  <si>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</si>
  <si>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</si>
  <si>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</si>
  <si>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</si>
  <si>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</si>
  <si>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</si>
  <si>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</si>
  <si>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</si>
  <si>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</si>
  <si>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</si>
  <si>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</si>
  <si>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</si>
  <si>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</si>
  <si>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</si>
  <si>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</si>
  <si>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</si>
  <si>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</si>
  <si>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</si>
  <si>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</si>
  <si>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</si>
  <si>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</si>
  <si>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</si>
  <si>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</si>
  <si>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</si>
  <si>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</si>
  <si>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</si>
  <si>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</si>
  <si>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</si>
  <si>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</si>
  <si>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</si>
  <si>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</si>
  <si>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</si>
  <si>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</si>
  <si>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</si>
  <si>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</si>
  <si>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</si>
  <si>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</si>
  <si>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</si>
  <si>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</si>
  <si>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</si>
  <si>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</si>
  <si>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</si>
  <si>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</si>
  <si>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</si>
  <si>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</si>
  <si>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</si>
  <si>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</si>
  <si>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</si>
  <si>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</si>
  <si>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</si>
  <si>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</si>
  <si>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</si>
  <si>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</si>
  <si>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</si>
  <si>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</si>
  <si>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</si>
  <si>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</si>
  <si>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</si>
  <si>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</si>
  <si>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</si>
  <si>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</si>
  <si>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</si>
  <si>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</si>
  <si>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</si>
  <si>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</si>
  <si>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</si>
  <si>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</si>
  <si>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</si>
  <si>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</si>
  <si>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</si>
  <si>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</si>
  <si>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</si>
  <si>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</si>
  <si>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</si>
  <si>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</si>
  <si>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</si>
  <si>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</si>
  <si>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</si>
  <si>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</si>
  <si>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</si>
  <si>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</si>
  <si>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</si>
  <si>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</si>
  <si>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</si>
  <si>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</si>
  <si>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</si>
  <si>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</si>
  <si>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</si>
  <si>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</si>
  <si>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</si>
  <si>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</si>
  <si>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</si>
  <si>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</si>
  <si>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</si>
  <si>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</si>
  <si>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</si>
  <si>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</si>
  <si>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</si>
  <si>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</si>
  <si>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</si>
  <si>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</si>
  <si>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</si>
  <si>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</si>
  <si>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</si>
  <si>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</si>
  <si>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</si>
  <si>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</si>
  <si>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</si>
  <si>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</si>
  <si>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</si>
  <si>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</si>
  <si>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</si>
  <si>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</si>
  <si>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</si>
  <si>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</si>
  <si>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</si>
  <si>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</si>
  <si>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</si>
  <si>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</si>
  <si>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</si>
  <si>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</si>
  <si>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</si>
  <si>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</si>
  <si>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</si>
  <si>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</si>
  <si>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</si>
  <si>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</si>
  <si>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</si>
  <si>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</si>
  <si>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</si>
  <si>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</si>
  <si>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</si>
  <si>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</si>
  <si>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</si>
  <si>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</si>
  <si>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</si>
  <si>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</si>
  <si>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</si>
  <si>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</si>
  <si>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</si>
  <si>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</si>
  <si>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</si>
  <si>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</si>
  <si>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</si>
  <si>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</si>
  <si>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</si>
  <si>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</si>
  <si>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</si>
  <si>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</si>
  <si>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</si>
  <si>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</si>
  <si>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</si>
  <si>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</si>
  <si>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</si>
  <si>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</si>
  <si>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</si>
  <si>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</si>
  <si>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</si>
  <si>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</si>
  <si>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</si>
  <si>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</si>
  <si>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</si>
  <si>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</si>
  <si>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</si>
  <si>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</si>
  <si>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</si>
  <si>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</si>
  <si>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</si>
  <si>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</si>
  <si>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</si>
  <si>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</si>
  <si>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</si>
  <si>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</si>
  <si>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</si>
  <si>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</si>
  <si>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</si>
  <si>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</si>
  <si>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</si>
  <si>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</si>
  <si>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</si>
  <si>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</si>
  <si>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</si>
  <si>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</si>
  <si>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</si>
  <si>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</si>
  <si>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</si>
  <si>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</si>
  <si>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</si>
  <si>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</si>
  <si>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</si>
  <si>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</si>
  <si>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</si>
  <si>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</si>
  <si>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</si>
  <si>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</si>
  <si>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</si>
  <si>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</si>
  <si>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</si>
  <si>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</si>
  <si>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</si>
  <si>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</si>
  <si>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</si>
  <si>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</si>
  <si>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</si>
  <si>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</si>
  <si>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</si>
  <si>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</si>
  <si>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</si>
  <si>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</si>
  <si>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</si>
  <si>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</si>
  <si>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</si>
  <si>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</si>
  <si>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</si>
  <si>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</si>
  <si>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</si>
  <si>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</si>
  <si>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</si>
  <si>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</si>
  <si>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</si>
  <si>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</si>
  <si>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</si>
  <si>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</si>
  <si>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</si>
  <si>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</si>
  <si>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</si>
  <si>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</si>
  <si>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</si>
  <si>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</si>
  <si>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</si>
  <si>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</si>
  <si>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</si>
  <si>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</si>
  <si>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</si>
  <si>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</si>
  <si>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</si>
  <si>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</si>
  <si>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</si>
  <si>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</si>
  <si>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</si>
  <si>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</si>
  <si>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</si>
  <si>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</si>
  <si>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</si>
  <si>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</si>
  <si>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</si>
  <si>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</si>
  <si>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</si>
  <si>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</si>
  <si>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</si>
  <si>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</si>
  <si>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</si>
  <si>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</si>
  <si>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</si>
  <si>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</si>
  <si>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</si>
  <si>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</si>
  <si>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</si>
  <si>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</si>
  <si>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</si>
  <si>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</si>
  <si>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</si>
  <si>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</si>
  <si>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</si>
  <si>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</si>
  <si>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</si>
  <si>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</si>
  <si>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</si>
  <si>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</si>
  <si>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</si>
  <si>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</si>
  <si>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</si>
  <si>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</si>
  <si>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</si>
  <si>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</si>
  <si>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</si>
  <si>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</si>
  <si>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</si>
  <si>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</si>
  <si>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</si>
  <si>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</si>
  <si>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</si>
  <si>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</si>
  <si>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</si>
  <si>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</si>
  <si>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</si>
  <si>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</si>
  <si>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</si>
  <si>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</si>
  <si>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</si>
  <si>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</si>
  <si>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</si>
  <si>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</si>
  <si>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</si>
  <si>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</si>
  <si>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</si>
  <si>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</si>
  <si>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</si>
  <si>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</si>
  <si>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</si>
  <si>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</si>
  <si>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</si>
  <si>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</si>
  <si>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</si>
  <si>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</si>
  <si>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</si>
  <si>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</si>
  <si>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</si>
  <si>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</si>
  <si>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</si>
  <si>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</si>
  <si>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</si>
  <si>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</si>
  <si>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</si>
  <si>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</si>
  <si>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</si>
  <si>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</si>
  <si>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</si>
  <si>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</si>
  <si>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</si>
  <si>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</si>
  <si>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</si>
  <si>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办公</t>
  </si>
  <si>
    <t>比较法-办公</t>
  </si>
  <si>
    <t>低区</t>
  </si>
  <si>
    <t>低区</t>
    <phoneticPr fontId="26" type="noConversion"/>
  </si>
  <si>
    <t>中区</t>
    <phoneticPr fontId="26" type="noConversion"/>
  </si>
  <si>
    <t>高区</t>
  </si>
  <si>
    <t>高区</t>
    <phoneticPr fontId="26" type="noConversion"/>
  </si>
  <si>
    <t>企业</t>
  </si>
  <si>
    <t>仅计算典型户型</t>
  </si>
  <si>
    <t>万方大厦</t>
    <phoneticPr fontId="4" type="noConversion"/>
  </si>
  <si>
    <t>北京one</t>
    <phoneticPr fontId="4" type="noConversion"/>
  </si>
  <si>
    <t>办公</t>
    <phoneticPr fontId="26" type="noConversion"/>
  </si>
  <si>
    <t>30-40（含）</t>
  </si>
  <si>
    <t>七通</t>
  </si>
  <si>
    <t>中区</t>
  </si>
  <si>
    <t>标准写字楼</t>
  </si>
  <si>
    <t>标准写字楼</t>
    <phoneticPr fontId="26" type="noConversion"/>
  </si>
  <si>
    <t>钢混</t>
    <phoneticPr fontId="26" type="noConversion"/>
  </si>
  <si>
    <t>精装修</t>
  </si>
  <si>
    <t>精装修</t>
    <phoneticPr fontId="26" type="noConversion"/>
  </si>
  <si>
    <t>甲级</t>
  </si>
  <si>
    <t>甲级</t>
    <phoneticPr fontId="26" type="noConversion"/>
  </si>
  <si>
    <t>专业物业管理</t>
  </si>
  <si>
    <t>专业物业管理</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</si>
  <si>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</si>
  <si>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</si>
  <si>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</si>
  <si>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</si>
  <si>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</si>
  <si>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</si>
  <si>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</si>
  <si>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</si>
  <si>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</si>
  <si>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</si>
  <si>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</si>
  <si>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</si>
  <si>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普通装修</t>
  </si>
  <si>
    <t>普通装修</t>
    <phoneticPr fontId="26" type="noConversion"/>
  </si>
  <si>
    <t>楼层</t>
    <phoneticPr fontId="20" type="noConversion"/>
  </si>
  <si>
    <t>装修</t>
    <phoneticPr fontId="20" type="noConversion"/>
  </si>
  <si>
    <t>普通装修</t>
    <phoneticPr fontId="20" type="noConversion"/>
  </si>
  <si>
    <t>低区</t>
    <phoneticPr fontId="20" type="noConversion"/>
  </si>
  <si>
    <r>
      <t>电话市调：低区3</t>
    </r>
    <r>
      <rPr>
        <sz val="11"/>
        <color theme="1"/>
        <rFont val="宋体"/>
        <family val="3"/>
        <charset val="134"/>
        <scheme val="minor"/>
      </rPr>
      <t>5000左右，租金3-6元不等，</t>
    </r>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</si>
</sst>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322384</xdr:colOff>
      <xdr:row>22</xdr:row>
      <xdr:rowOff>4148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
          <a:ext cx="4454769" cy="3711570"/>
        </a:xfrm>
        <a:prstGeom prst="rect">
          <a:avLst/>
        </a:prstGeom>
      </xdr:spPr>
    </xdr:pic>
    <xdr:clientData/>
  </xdr:twoCellAnchor>
  <xdr:twoCellAnchor editAs="oneCell">
    <xdr:from>
      <xdr:col>8</xdr:col>
      <xdr:colOff>1</xdr:colOff>
      <xdr:row>0</xdr:row>
      <xdr:rowOff>0</xdr:rowOff>
    </xdr:from>
    <xdr:to>
      <xdr:col>11</xdr:col>
      <xdr:colOff>525657</xdr:colOff>
      <xdr:row>31</xdr:row>
      <xdr:rowOff>80596</xdr:rowOff>
    </xdr:to>
    <xdr:pic>
      <xdr:nvPicPr>
        <xdr:cNvPr id="4" name="图片 3"/>
        <xdr:cNvPicPr>
          <a:picLocks noChangeAspect="1"/>
        </xdr:cNvPicPr>
      </xdr:nvPicPr>
      <xdr:blipFill>
        <a:blip xmlns:r="http://schemas.openxmlformats.org/officeDocument/2006/relationships" r:embed="rId2"/>
        <a:stretch>
          <a:fillRect/>
        </a:stretch>
      </xdr:blipFill>
      <xdr:spPr>
        <a:xfrm>
          <a:off x="5509847" y="0"/>
          <a:ext cx="2591848" cy="5304692"/>
        </a:xfrm>
        <a:prstGeom prst="rect">
          <a:avLst/>
        </a:prstGeom>
      </xdr:spPr>
    </xdr:pic>
    <xdr:clientData/>
  </xdr:twoCellAnchor>
  <xdr:twoCellAnchor editAs="oneCell">
    <xdr:from>
      <xdr:col>13</xdr:col>
      <xdr:colOff>1</xdr:colOff>
      <xdr:row>0</xdr:row>
      <xdr:rowOff>0</xdr:rowOff>
    </xdr:from>
    <xdr:to>
      <xdr:col>16</xdr:col>
      <xdr:colOff>644771</xdr:colOff>
      <xdr:row>32</xdr:row>
      <xdr:rowOff>77109</xdr:rowOff>
    </xdr:to>
    <xdr:pic>
      <xdr:nvPicPr>
        <xdr:cNvPr id="5" name="图片 4"/>
        <xdr:cNvPicPr>
          <a:picLocks noChangeAspect="1"/>
        </xdr:cNvPicPr>
      </xdr:nvPicPr>
      <xdr:blipFill>
        <a:blip xmlns:r="http://schemas.openxmlformats.org/officeDocument/2006/relationships" r:embed="rId3"/>
        <a:stretch>
          <a:fillRect/>
        </a:stretch>
      </xdr:blipFill>
      <xdr:spPr>
        <a:xfrm>
          <a:off x="8953501" y="0"/>
          <a:ext cx="2710962" cy="5469724"/>
        </a:xfrm>
        <a:prstGeom prst="rect">
          <a:avLst/>
        </a:prstGeom>
      </xdr:spPr>
    </xdr:pic>
    <xdr:clientData/>
  </xdr:twoCellAnchor>
  <xdr:twoCellAnchor editAs="oneCell">
    <xdr:from>
      <xdr:col>0</xdr:col>
      <xdr:colOff>0</xdr:colOff>
      <xdr:row>32</xdr:row>
      <xdr:rowOff>1</xdr:rowOff>
    </xdr:from>
    <xdr:to>
      <xdr:col>3</xdr:col>
      <xdr:colOff>687501</xdr:colOff>
      <xdr:row>63</xdr:row>
      <xdr:rowOff>29308</xdr:rowOff>
    </xdr:to>
    <xdr:pic>
      <xdr:nvPicPr>
        <xdr:cNvPr id="9" name="图片 8"/>
        <xdr:cNvPicPr>
          <a:picLocks noChangeAspect="1"/>
        </xdr:cNvPicPr>
      </xdr:nvPicPr>
      <xdr:blipFill>
        <a:blip xmlns:r="http://schemas.openxmlformats.org/officeDocument/2006/relationships" r:embed="rId4"/>
        <a:stretch>
          <a:fillRect/>
        </a:stretch>
      </xdr:blipFill>
      <xdr:spPr>
        <a:xfrm>
          <a:off x="0" y="5392616"/>
          <a:ext cx="2753693" cy="5253404"/>
        </a:xfrm>
        <a:prstGeom prst="rect">
          <a:avLst/>
        </a:prstGeom>
      </xdr:spPr>
    </xdr:pic>
    <xdr:clientData/>
  </xdr:twoCellAnchor>
  <xdr:twoCellAnchor editAs="oneCell">
    <xdr:from>
      <xdr:col>5</xdr:col>
      <xdr:colOff>0</xdr:colOff>
      <xdr:row>32</xdr:row>
      <xdr:rowOff>0</xdr:rowOff>
    </xdr:from>
    <xdr:to>
      <xdr:col>9</xdr:col>
      <xdr:colOff>290638</xdr:colOff>
      <xdr:row>63</xdr:row>
      <xdr:rowOff>65942</xdr:rowOff>
    </xdr:to>
    <xdr:pic>
      <xdr:nvPicPr>
        <xdr:cNvPr id="10" name="图片 9"/>
        <xdr:cNvPicPr>
          <a:picLocks noChangeAspect="1"/>
        </xdr:cNvPicPr>
      </xdr:nvPicPr>
      <xdr:blipFill>
        <a:blip xmlns:r="http://schemas.openxmlformats.org/officeDocument/2006/relationships" r:embed="rId5"/>
        <a:stretch>
          <a:fillRect/>
        </a:stretch>
      </xdr:blipFill>
      <xdr:spPr>
        <a:xfrm>
          <a:off x="3443654" y="5392615"/>
          <a:ext cx="3045561" cy="5290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估价对象为北京市房地产，为XX所有。根据《》[]，估价对象建筑面积为447.86平方米。根据《》[]，估价对象（分摊）出让国有建设用地使用权面积为平方米。估价对象用途为。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2022年3月24日（评估专业人员实地查勘之日）</v>
      </c>
    </row>
    <row r="10" spans="1:2">
      <c r="A10" s="1180" t="s">
        <v>1047</v>
      </c>
      <c r="B10" s="1167" t="str">
        <f>'预评函-1'!A13</f>
        <v>本次估价的“房地产价值”是指在正常市场情况下，在价值时点2022年3月24日，估价对象规划用途为，假定未设立法定优先受偿款下的房地产市场价值。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447.86</v>
      </c>
    </row>
    <row r="19" spans="1:2">
      <c r="A19" s="1180" t="s">
        <v>1056</v>
      </c>
      <c r="B19" s="1167">
        <f ca="1">'预评函-2（1）'!D7</f>
        <v>13210975</v>
      </c>
    </row>
    <row r="20" spans="1:2">
      <c r="A20" s="1180" t="s">
        <v>1094</v>
      </c>
      <c r="B20" s="1167" t="str">
        <f>'预评函-2（1）'!C7</f>
        <v>总价（元）</v>
      </c>
    </row>
    <row r="21" spans="1:2">
      <c r="A21" s="1180" t="s">
        <v>1057</v>
      </c>
      <c r="B21" s="1167">
        <f ca="1">'预评函-2（1）'!D9</f>
        <v>294980016</v>
      </c>
    </row>
    <row r="22" spans="1:2">
      <c r="A22" s="1180" t="s">
        <v>1058</v>
      </c>
      <c r="B22" s="1167" t="str">
        <f ca="1">'预评函-2（1）'!D8</f>
        <v>壹仟叁佰贰拾壹万零玖佰柒拾伍元整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13210975</v>
      </c>
    </row>
    <row r="30" spans="1:2">
      <c r="A30" s="1180" t="s">
        <v>1064</v>
      </c>
      <c r="B30" s="1167" t="str">
        <f ca="1">'预评函-2（1）'!D16</f>
        <v>壹仟叁佰贰拾壹万零玖佰柒拾伍元整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294980016</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6"/>
  </cols>
  <sheetData>
    <row r="1" spans="1:17" ht="13.5" thickBot="1">
      <c r="A1" s="2559" t="s">
        <v>1471</v>
      </c>
      <c r="B1" s="2560" t="str">
        <f>IF(B6="北京市","北京市",C6)&amp;IF(E12="房屋所有权证",B29,E29)&amp;D5&amp;"预评估"</f>
        <v>北京市房地产抵押价值预评估</v>
      </c>
      <c r="C1" s="822"/>
      <c r="D1" s="822"/>
      <c r="E1" s="822"/>
      <c r="F1" s="1395" t="s">
        <v>1472</v>
      </c>
      <c r="G1" s="1161"/>
      <c r="I1" s="2888" t="str">
        <f>IF(B6="北京市","北京市",C6)&amp;IF(E12="房屋所有权证",B29,E29)&amp;"房地产"</f>
        <v>北京市房地产</v>
      </c>
      <c r="J1" s="799"/>
      <c r="K1" s="2890"/>
      <c r="L1" s="2890"/>
      <c r="M1" s="2890"/>
      <c r="N1" s="799"/>
      <c r="O1" s="799"/>
      <c r="P1" s="799"/>
      <c r="Q1" s="799"/>
    </row>
    <row r="2" spans="1:17" ht="13.5" thickTop="1">
      <c r="A2" s="1396" t="s">
        <v>1473</v>
      </c>
      <c r="B2" s="2561">
        <v>44644</v>
      </c>
      <c r="C2" s="2860" t="s">
        <v>1474</v>
      </c>
      <c r="D2" s="2561">
        <f>B2</f>
        <v>44644</v>
      </c>
      <c r="E2" s="823"/>
      <c r="F2" s="823"/>
      <c r="G2" s="1162"/>
      <c r="H2" s="2872"/>
    </row>
    <row r="3" spans="1:17" ht="13.5" thickBot="1">
      <c r="A3" s="2562" t="s">
        <v>1475</v>
      </c>
      <c r="B3" s="2563"/>
      <c r="C3" s="2564">
        <f>SUMIF(注册房地产估价师,B3,估价师及机构信息!B3:B16)</f>
        <v>0</v>
      </c>
      <c r="D3" s="2563"/>
      <c r="E3" s="2565">
        <f>SUMIF(注册房地产估价师,D3,估价师及机构信息!B3:B16)</f>
        <v>0</v>
      </c>
      <c r="F3" s="824"/>
      <c r="G3" s="1163"/>
      <c r="H3" s="2872"/>
    </row>
    <row r="4" spans="1:17" ht="13.5" customHeight="1" thickTop="1">
      <c r="A4" s="1396" t="s">
        <v>1476</v>
      </c>
      <c r="B4" s="1397" t="s">
        <v>2660</v>
      </c>
      <c r="C4" s="2861" t="s">
        <v>1477</v>
      </c>
      <c r="D4" s="1398" t="s">
        <v>2979</v>
      </c>
      <c r="E4" s="823"/>
      <c r="F4" s="823"/>
      <c r="G4" s="1162"/>
    </row>
    <row r="5" spans="1:17">
      <c r="A5" s="1399" t="s">
        <v>1478</v>
      </c>
      <c r="B5" s="1400" t="s">
        <v>2661</v>
      </c>
      <c r="C5" s="2862" t="s">
        <v>1479</v>
      </c>
      <c r="D5" s="1402" t="s">
        <v>2980</v>
      </c>
      <c r="E5" s="2863" t="s">
        <v>1480</v>
      </c>
      <c r="F5" s="1402" t="s">
        <v>2980</v>
      </c>
      <c r="G5" s="1403"/>
      <c r="I5" s="2888" t="str">
        <f>IF(C16="否","截至估价时点，估价对象抵押权未见登记。","截至价值时点，估价对象已设定抵押。")</f>
        <v>截至价值时点，估价对象已设定抵押。</v>
      </c>
      <c r="J5" s="799"/>
      <c r="K5" s="2890"/>
      <c r="L5" s="2890"/>
      <c r="M5" s="2890"/>
      <c r="N5" s="799"/>
      <c r="O5" s="799"/>
      <c r="P5" s="799"/>
      <c r="Q5" s="799"/>
    </row>
    <row r="6" spans="1:17">
      <c r="A6" s="2864" t="s">
        <v>1481</v>
      </c>
      <c r="B6" s="2566" t="s">
        <v>2981</v>
      </c>
      <c r="C6" s="2567" t="s">
        <v>2662</v>
      </c>
      <c r="D6" s="2568" t="s">
        <v>1482</v>
      </c>
      <c r="E6" s="810"/>
      <c r="F6" s="810"/>
      <c r="G6" s="829"/>
      <c r="I6" s="799" t="str">
        <f>IF(COUNTIF(B5,"*上海银行*"),"上海银行","")</f>
        <v/>
      </c>
      <c r="J6" s="799"/>
      <c r="K6" s="2890"/>
      <c r="L6" s="2890"/>
      <c r="M6" s="2890"/>
      <c r="N6" s="799"/>
      <c r="O6" s="799"/>
      <c r="P6" s="799"/>
      <c r="Q6" s="799"/>
    </row>
    <row r="7" spans="1:17" ht="13.5" thickBot="1">
      <c r="A7" s="2865" t="s">
        <v>1483</v>
      </c>
      <c r="B7" s="2569" t="s">
        <v>3011</v>
      </c>
      <c r="C7" s="1494" t="str">
        <f>IF(B7="自然人","姓名","名称")</f>
        <v>名称</v>
      </c>
      <c r="D7" s="1407" t="s">
        <v>2661</v>
      </c>
      <c r="E7" s="824"/>
      <c r="F7" s="824"/>
      <c r="G7" s="1163"/>
    </row>
    <row r="8" spans="1:17" ht="13.5" thickTop="1">
      <c r="A8" s="3387" t="s">
        <v>1484</v>
      </c>
      <c r="B8" s="1408" t="s">
        <v>1485</v>
      </c>
      <c r="C8" s="3399"/>
      <c r="D8" s="3400"/>
      <c r="E8" s="2570" t="s">
        <v>1486</v>
      </c>
      <c r="F8" s="2571" t="s">
        <v>1487</v>
      </c>
      <c r="G8" s="2572" t="str">
        <f>C6</f>
        <v>XX</v>
      </c>
    </row>
    <row r="9" spans="1:17" ht="25.5">
      <c r="A9" s="3387"/>
      <c r="B9" s="259" t="s">
        <v>1488</v>
      </c>
      <c r="C9" s="1400"/>
      <c r="D9" s="1409" t="s">
        <v>2990</v>
      </c>
      <c r="E9" s="2866" t="s">
        <v>1489</v>
      </c>
      <c r="F9" s="2573" t="s">
        <v>87</v>
      </c>
      <c r="G9" s="2574"/>
    </row>
    <row r="10" spans="1:17" ht="13.5" thickBot="1">
      <c r="A10" s="3387"/>
      <c r="B10" s="259" t="s">
        <v>1490</v>
      </c>
      <c r="C10" s="3401"/>
      <c r="D10" s="3402"/>
      <c r="E10" s="2867" t="s">
        <v>1491</v>
      </c>
      <c r="F10" s="2575" t="s">
        <v>332</v>
      </c>
      <c r="G10" s="2576"/>
    </row>
    <row r="11" spans="1:17" ht="13.5" thickBot="1">
      <c r="A11" s="3387"/>
      <c r="B11" s="1411" t="s">
        <v>1492</v>
      </c>
      <c r="C11" s="3403"/>
      <c r="D11" s="3404"/>
      <c r="E11" s="810"/>
      <c r="F11" s="810"/>
      <c r="G11" s="829"/>
    </row>
    <row r="12" spans="1:17" ht="13.5" thickBot="1">
      <c r="A12" s="3390" t="s">
        <v>2769</v>
      </c>
      <c r="B12" s="2868" t="s">
        <v>1493</v>
      </c>
      <c r="C12" s="807">
        <f>217.69+230.17</f>
        <v>447.86</v>
      </c>
      <c r="D12" s="1412" t="s">
        <v>1494</v>
      </c>
      <c r="E12" s="1413"/>
      <c r="F12" s="1414"/>
      <c r="G12" s="829"/>
    </row>
    <row r="13" spans="1:17" ht="21" customHeight="1" thickBot="1">
      <c r="A13" s="3391"/>
      <c r="B13" s="2869" t="s">
        <v>1495</v>
      </c>
      <c r="C13" s="808"/>
      <c r="D13" s="1415" t="s">
        <v>1496</v>
      </c>
      <c r="E13" s="1416"/>
      <c r="F13" s="810"/>
      <c r="G13" s="829"/>
      <c r="I13" s="3376"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799"/>
      <c r="O13" s="799"/>
      <c r="P13" s="799"/>
      <c r="Q13" s="799"/>
    </row>
    <row r="14" spans="1:17" ht="13.5" thickBot="1">
      <c r="A14" s="2577"/>
      <c r="B14" s="2883" t="s">
        <v>2770</v>
      </c>
      <c r="C14" s="2578"/>
      <c r="D14" s="810"/>
      <c r="E14" s="810"/>
      <c r="F14" s="810"/>
      <c r="G14" s="829"/>
      <c r="I14" s="3376"/>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799"/>
      <c r="O14" s="799"/>
      <c r="P14" s="799"/>
      <c r="Q14" s="799"/>
    </row>
    <row r="15" spans="1:17" ht="13.5" thickBot="1">
      <c r="A15" s="2579"/>
      <c r="B15" s="2870" t="s">
        <v>1498</v>
      </c>
      <c r="C15" s="825">
        <v>3.5</v>
      </c>
      <c r="D15" s="824"/>
      <c r="E15" s="824"/>
      <c r="F15" s="824"/>
      <c r="G15" s="1163"/>
      <c r="I15" s="3376"/>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799"/>
      <c r="O15" s="799"/>
      <c r="P15" s="799"/>
      <c r="Q15" s="799"/>
    </row>
    <row r="16" spans="1:17" ht="25.5" thickTop="1" thickBot="1">
      <c r="A16" s="2577" t="s">
        <v>1499</v>
      </c>
      <c r="B16" s="1417" t="s">
        <v>1500</v>
      </c>
      <c r="C16" s="2580"/>
      <c r="D16" s="1410" t="s">
        <v>1501</v>
      </c>
      <c r="E16" s="2581"/>
      <c r="F16" s="1418" t="str">
        <f>IF(AND(C16="是",E16="否"),"是否提供他项权证或相关说明","")</f>
        <v/>
      </c>
      <c r="G16" s="2581"/>
      <c r="J16" s="2872"/>
    </row>
    <row r="17" spans="1:66" ht="13.5" customHeight="1">
      <c r="A17" s="1424" t="s">
        <v>1502</v>
      </c>
      <c r="B17" s="3405" t="s">
        <v>1503</v>
      </c>
      <c r="C17" s="3406"/>
      <c r="D17" s="3407" t="s">
        <v>1504</v>
      </c>
      <c r="E17" s="3408"/>
      <c r="F17" s="1419" t="s">
        <v>1505</v>
      </c>
      <c r="G17" s="1420"/>
      <c r="J17" s="2872"/>
    </row>
    <row r="18" spans="1:66" ht="24">
      <c r="A18" s="1424"/>
      <c r="B18" s="2582"/>
      <c r="C18" s="1403"/>
      <c r="D18" s="1421" t="s">
        <v>1506</v>
      </c>
      <c r="E18" s="1422"/>
      <c r="F18" s="1423"/>
      <c r="G18" s="1286"/>
      <c r="H18" s="2872"/>
      <c r="J18" s="2872"/>
    </row>
    <row r="19" spans="1:66" ht="21.75" customHeight="1" thickBot="1">
      <c r="A19" s="1424"/>
      <c r="B19" s="2583"/>
      <c r="C19" s="1416"/>
      <c r="D19" s="1424"/>
      <c r="E19" s="810"/>
      <c r="F19" s="810"/>
      <c r="G19" s="1286"/>
    </row>
    <row r="20" spans="1:66">
      <c r="A20" s="1420" t="s">
        <v>1507</v>
      </c>
      <c r="B20" s="2584" t="s">
        <v>1508</v>
      </c>
      <c r="C20" s="2585"/>
      <c r="D20" s="2586" t="s">
        <v>1508</v>
      </c>
      <c r="E20" s="2585"/>
      <c r="F20" s="810"/>
      <c r="G20" s="1286"/>
    </row>
    <row r="21" spans="1:66">
      <c r="A21" s="1286"/>
      <c r="B21" s="2587" t="s">
        <v>1509</v>
      </c>
      <c r="C21" s="2855"/>
      <c r="D21" s="1424" t="s">
        <v>1509</v>
      </c>
      <c r="E21" s="2588"/>
      <c r="F21" s="810"/>
      <c r="G21" s="1286"/>
    </row>
    <row r="22" spans="1:66">
      <c r="A22" s="1286"/>
      <c r="B22" s="810" t="s">
        <v>1510</v>
      </c>
      <c r="C22" s="2589"/>
      <c r="D22" s="810" t="s">
        <v>1510</v>
      </c>
      <c r="E22" s="2588"/>
      <c r="F22" s="810"/>
      <c r="G22" s="1286"/>
    </row>
    <row r="23" spans="1:66" s="2854" customFormat="1" ht="16.5" thickBot="1">
      <c r="A23" s="1287"/>
      <c r="B23" s="828" t="s">
        <v>1511</v>
      </c>
      <c r="C23" s="808"/>
      <c r="D23" s="828" t="s">
        <v>1512</v>
      </c>
      <c r="E23" s="2590"/>
      <c r="F23" s="828"/>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86" t="s">
        <v>2768</v>
      </c>
      <c r="B24" s="3386"/>
      <c r="C24" s="3386"/>
      <c r="D24" s="3386"/>
      <c r="E24" s="3386"/>
      <c r="F24" s="3386"/>
      <c r="G24" s="3386"/>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7" t="s">
        <v>1513</v>
      </c>
      <c r="B25" s="810"/>
      <c r="C25" s="810"/>
      <c r="D25" s="810"/>
      <c r="E25" s="810"/>
      <c r="F25" s="810"/>
      <c r="G25" s="1287"/>
      <c r="K25" s="2873"/>
    </row>
    <row r="26" spans="1:66" s="835" customFormat="1" ht="13.5" thickBot="1">
      <c r="A26" s="2591"/>
      <c r="B26" s="806" t="s">
        <v>1514</v>
      </c>
      <c r="C26" s="2591"/>
      <c r="D26" s="806"/>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5" customFormat="1" ht="13.5" thickBot="1">
      <c r="A27" s="2591"/>
      <c r="B27" s="2594"/>
      <c r="C27" s="2591"/>
      <c r="D27" s="806"/>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2" t="s">
        <v>1517</v>
      </c>
      <c r="B28" s="800"/>
      <c r="C28" s="3393" t="s">
        <v>1517</v>
      </c>
      <c r="D28" s="3394"/>
      <c r="E28" s="800"/>
      <c r="F28" s="802" t="s">
        <v>1517</v>
      </c>
      <c r="G28" s="800"/>
      <c r="K28" s="2873"/>
    </row>
    <row r="29" spans="1:66">
      <c r="A29" s="803" t="s">
        <v>1518</v>
      </c>
      <c r="B29" s="797"/>
      <c r="C29" s="3395" t="s">
        <v>1519</v>
      </c>
      <c r="D29" s="3396"/>
      <c r="E29" s="797"/>
      <c r="F29" s="803" t="s">
        <v>1519</v>
      </c>
      <c r="G29" s="797"/>
      <c r="K29" s="2873"/>
    </row>
    <row r="30" spans="1:66">
      <c r="A30" s="803" t="s">
        <v>1520</v>
      </c>
      <c r="B30" s="797"/>
      <c r="C30" s="3395" t="s">
        <v>1520</v>
      </c>
      <c r="D30" s="3396"/>
      <c r="E30" s="797"/>
      <c r="F30" s="803" t="s">
        <v>1521</v>
      </c>
      <c r="G30" s="797"/>
      <c r="K30" s="2873"/>
    </row>
    <row r="31" spans="1:66">
      <c r="A31" s="803" t="s">
        <v>1522</v>
      </c>
      <c r="B31" s="797"/>
      <c r="C31" s="3383" t="s">
        <v>1523</v>
      </c>
      <c r="D31" s="810"/>
      <c r="E31" s="2596" t="str">
        <f>E32&amp;" "&amp;E33&amp;" "&amp;E34&amp;" "&amp;E35</f>
        <v xml:space="preserve">   </v>
      </c>
      <c r="F31" s="803" t="s">
        <v>1524</v>
      </c>
      <c r="G31" s="797"/>
    </row>
    <row r="32" spans="1:66">
      <c r="A32" s="803" t="s">
        <v>1525</v>
      </c>
      <c r="B32" s="797"/>
      <c r="C32" s="3384"/>
      <c r="D32" s="259" t="s">
        <v>1526</v>
      </c>
      <c r="E32" s="797"/>
      <c r="F32" s="803" t="s">
        <v>1527</v>
      </c>
      <c r="G32" s="797"/>
    </row>
    <row r="33" spans="1:7" ht="24.75" thickBot="1">
      <c r="A33" s="804" t="s">
        <v>1528</v>
      </c>
      <c r="B33" s="801"/>
      <c r="C33" s="3384"/>
      <c r="D33" s="259" t="s">
        <v>1529</v>
      </c>
      <c r="E33" s="797"/>
      <c r="F33" s="803" t="s">
        <v>1530</v>
      </c>
      <c r="G33" s="797"/>
    </row>
    <row r="34" spans="1:7">
      <c r="A34" s="802" t="s">
        <v>1531</v>
      </c>
      <c r="B34" s="800"/>
      <c r="C34" s="3384"/>
      <c r="D34" s="259" t="s">
        <v>1532</v>
      </c>
      <c r="E34" s="797"/>
      <c r="F34" s="803" t="s">
        <v>1533</v>
      </c>
      <c r="G34" s="797"/>
    </row>
    <row r="35" spans="1:7" ht="13.5" thickBot="1">
      <c r="A35" s="803" t="s">
        <v>1534</v>
      </c>
      <c r="B35" s="797"/>
      <c r="C35" s="3385"/>
      <c r="D35" s="259" t="s">
        <v>1535</v>
      </c>
      <c r="E35" s="797"/>
      <c r="F35" s="804" t="s">
        <v>1536</v>
      </c>
      <c r="G35" s="2597"/>
    </row>
    <row r="36" spans="1:7">
      <c r="A36" s="803" t="s">
        <v>1493</v>
      </c>
      <c r="B36" s="797"/>
      <c r="C36" s="3395" t="s">
        <v>1537</v>
      </c>
      <c r="D36" s="3396"/>
      <c r="E36" s="797"/>
      <c r="F36" s="2598" t="s">
        <v>1538</v>
      </c>
      <c r="G36" s="800"/>
    </row>
    <row r="37" spans="1:7" ht="13.5" thickBot="1">
      <c r="A37" s="803" t="s">
        <v>1539</v>
      </c>
      <c r="B37" s="797"/>
      <c r="C37" s="3397" t="s">
        <v>1540</v>
      </c>
      <c r="D37" s="3398"/>
      <c r="E37" s="801"/>
      <c r="F37" s="1432" t="s">
        <v>1541</v>
      </c>
      <c r="G37" s="797"/>
    </row>
    <row r="38" spans="1:7" ht="13.5" thickBot="1">
      <c r="A38" s="803" t="s">
        <v>1542</v>
      </c>
      <c r="B38" s="797"/>
      <c r="C38" s="3381" t="s">
        <v>1543</v>
      </c>
      <c r="D38" s="1412" t="s">
        <v>1527</v>
      </c>
      <c r="E38" s="800"/>
      <c r="F38" s="804" t="s">
        <v>1544</v>
      </c>
      <c r="G38" s="801"/>
    </row>
    <row r="39" spans="1:7">
      <c r="A39" s="803" t="s">
        <v>1545</v>
      </c>
      <c r="B39" s="797"/>
      <c r="C39" s="3388"/>
      <c r="D39" s="259" t="s">
        <v>1534</v>
      </c>
      <c r="E39" s="797"/>
      <c r="F39" s="802" t="s">
        <v>1546</v>
      </c>
      <c r="G39" s="800"/>
    </row>
    <row r="40" spans="1:7">
      <c r="A40" s="803" t="s">
        <v>1547</v>
      </c>
      <c r="B40" s="797"/>
      <c r="C40" s="3388" t="s">
        <v>1548</v>
      </c>
      <c r="D40" s="259" t="s">
        <v>1493</v>
      </c>
      <c r="E40" s="797"/>
      <c r="F40" s="803" t="s">
        <v>1549</v>
      </c>
      <c r="G40" s="797"/>
    </row>
    <row r="41" spans="1:7" ht="24.75" customHeight="1" thickBot="1">
      <c r="A41" s="804" t="s">
        <v>1550</v>
      </c>
      <c r="B41" s="801"/>
      <c r="C41" s="3389"/>
      <c r="D41" s="1415" t="s">
        <v>1495</v>
      </c>
      <c r="E41" s="801"/>
      <c r="F41" s="804" t="s">
        <v>1551</v>
      </c>
      <c r="G41" s="801"/>
    </row>
    <row r="42" spans="1:7">
      <c r="A42" s="805" t="s">
        <v>1552</v>
      </c>
      <c r="B42" s="2599"/>
      <c r="C42" s="3377" t="s">
        <v>1552</v>
      </c>
      <c r="D42" s="3378"/>
      <c r="E42" s="2599"/>
      <c r="F42" s="802" t="s">
        <v>1553</v>
      </c>
      <c r="G42" s="2599"/>
    </row>
    <row r="43" spans="1:7">
      <c r="A43" s="820" t="s">
        <v>1554</v>
      </c>
      <c r="B43" s="2600"/>
      <c r="C43" s="1424"/>
      <c r="D43" s="2587"/>
      <c r="E43" s="2600"/>
      <c r="F43" s="820"/>
      <c r="G43" s="2600"/>
    </row>
    <row r="44" spans="1:7">
      <c r="A44" s="820" t="s">
        <v>1508</v>
      </c>
      <c r="B44" s="821"/>
      <c r="C44" s="1424"/>
      <c r="D44" s="1490" t="s">
        <v>1508</v>
      </c>
      <c r="E44" s="821"/>
      <c r="F44" s="820" t="s">
        <v>1508</v>
      </c>
      <c r="G44" s="821"/>
    </row>
    <row r="45" spans="1:7">
      <c r="A45" s="820" t="s">
        <v>1509</v>
      </c>
      <c r="B45" s="821"/>
      <c r="C45" s="1424"/>
      <c r="D45" s="2587" t="s">
        <v>1509</v>
      </c>
      <c r="E45" s="821"/>
      <c r="F45" s="820" t="s">
        <v>1509</v>
      </c>
      <c r="G45" s="821"/>
    </row>
    <row r="46" spans="1:7">
      <c r="A46" s="820" t="s">
        <v>1510</v>
      </c>
      <c r="B46" s="821"/>
      <c r="C46" s="1424"/>
      <c r="D46" s="2587" t="s">
        <v>1510</v>
      </c>
      <c r="E46" s="821"/>
      <c r="F46" s="820" t="s">
        <v>1510</v>
      </c>
      <c r="G46" s="821"/>
    </row>
    <row r="47" spans="1:7">
      <c r="A47" s="820" t="s">
        <v>1511</v>
      </c>
      <c r="B47" s="821"/>
      <c r="C47" s="1424"/>
      <c r="D47" s="2587" t="s">
        <v>1511</v>
      </c>
      <c r="E47" s="821"/>
      <c r="F47" s="820" t="s">
        <v>1511</v>
      </c>
      <c r="G47" s="821"/>
    </row>
    <row r="48" spans="1:7">
      <c r="A48" s="820"/>
      <c r="B48" s="821"/>
      <c r="C48" s="1424"/>
      <c r="D48" s="2587"/>
      <c r="E48" s="821"/>
      <c r="F48" s="820"/>
      <c r="G48" s="821"/>
    </row>
    <row r="49" spans="1:66" ht="13.5" thickBot="1">
      <c r="A49" s="804" t="s">
        <v>1555</v>
      </c>
      <c r="B49" s="801"/>
      <c r="C49" s="3379" t="s">
        <v>1555</v>
      </c>
      <c r="D49" s="3380"/>
      <c r="E49" s="819"/>
      <c r="F49" s="804" t="s">
        <v>1556</v>
      </c>
      <c r="G49" s="801"/>
    </row>
    <row r="50" spans="1:66">
      <c r="A50" s="803" t="s">
        <v>1557</v>
      </c>
      <c r="B50" s="818"/>
      <c r="C50" s="3381" t="s">
        <v>1558</v>
      </c>
      <c r="D50" s="3382"/>
      <c r="E50" s="2601"/>
      <c r="F50" s="836"/>
      <c r="G50" s="837"/>
    </row>
    <row r="51" spans="1:66" ht="13.5" thickBot="1">
      <c r="A51" s="803" t="s">
        <v>1559</v>
      </c>
      <c r="B51" s="818"/>
      <c r="C51" s="3389" t="s">
        <v>1560</v>
      </c>
      <c r="D51" s="3392"/>
      <c r="E51" s="801"/>
      <c r="F51" s="810"/>
      <c r="G51" s="829"/>
    </row>
    <row r="52" spans="1:66">
      <c r="A52" s="803" t="s">
        <v>1538</v>
      </c>
      <c r="B52" s="797"/>
      <c r="C52" s="810"/>
      <c r="D52" s="810"/>
      <c r="E52" s="810"/>
      <c r="F52" s="810"/>
      <c r="G52" s="829"/>
    </row>
    <row r="53" spans="1:66" ht="24.75" thickBot="1">
      <c r="A53" s="804" t="s">
        <v>1561</v>
      </c>
      <c r="B53" s="2597"/>
      <c r="C53" s="828"/>
      <c r="D53" s="828"/>
      <c r="E53" s="828"/>
      <c r="F53" s="828"/>
      <c r="G53" s="830"/>
    </row>
    <row r="57" spans="1:66" s="809"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09"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09"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09"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09"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09"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09"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6"/>
      <c r="D1" s="2602"/>
      <c r="E1" s="2602"/>
    </row>
    <row r="2" spans="1:41" s="2606" customFormat="1" ht="15.75" thickBot="1">
      <c r="A2" s="2892" t="s">
        <v>1563</v>
      </c>
      <c r="B2" s="2893">
        <f>项目基本情况!D2</f>
        <v>44644</v>
      </c>
      <c r="C2" s="1654"/>
      <c r="D2" s="3411"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2982</v>
      </c>
      <c r="C3" s="1654"/>
      <c r="D3" s="3412"/>
      <c r="E3" s="2608" t="s">
        <v>2989</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2983</v>
      </c>
      <c r="C4" s="1654"/>
      <c r="D4" s="3412"/>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447.86</v>
      </c>
      <c r="C5" s="1654"/>
      <c r="D5" s="2894" t="s">
        <v>1568</v>
      </c>
      <c r="E5" s="2611">
        <v>217.69</v>
      </c>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3004</v>
      </c>
      <c r="C10" s="1654"/>
      <c r="D10" s="2892" t="s">
        <v>1572</v>
      </c>
      <c r="E10" s="2896" t="s">
        <v>1573</v>
      </c>
      <c r="F10" s="3061" t="s">
        <v>2779</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50</v>
      </c>
      <c r="C11" s="1654"/>
      <c r="D11" s="2898" t="s">
        <v>1575</v>
      </c>
      <c r="E11" s="2618">
        <v>160</v>
      </c>
      <c r="F11" s="1281"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58783</v>
      </c>
      <c r="C12" s="1654"/>
      <c r="D12" s="2899" t="s">
        <v>1578</v>
      </c>
      <c r="E12" s="262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38.729999999999997</v>
      </c>
      <c r="C13" s="2936"/>
      <c r="D13" s="2902" t="s">
        <v>1580</v>
      </c>
      <c r="E13" s="2622">
        <f>成本法!C10</f>
        <v>89572</v>
      </c>
      <c r="F13" s="1279" t="s">
        <v>1581</v>
      </c>
      <c r="G13" s="1654"/>
      <c r="H13" s="1654">
        <f>2022-2010</f>
        <v>12</v>
      </c>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0.93</v>
      </c>
      <c r="C14" s="1654"/>
      <c r="D14" s="2904" t="s">
        <v>1583</v>
      </c>
      <c r="E14" s="2623">
        <v>200</v>
      </c>
      <c r="F14" s="1280"/>
      <c r="G14" s="1654"/>
      <c r="H14" s="1654">
        <f>H13+2</f>
        <v>14</v>
      </c>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2780</v>
      </c>
      <c r="D15" s="2899" t="s">
        <v>1585</v>
      </c>
      <c r="E15" s="2905">
        <f>E14-E16</f>
        <v>200</v>
      </c>
      <c r="F15" s="1280"/>
      <c r="G15" s="1654"/>
      <c r="H15" s="1654">
        <f>40-H14</f>
        <v>26</v>
      </c>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2781</v>
      </c>
      <c r="D16" s="2906" t="s">
        <v>1587</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2778</v>
      </c>
      <c r="B17" s="3059">
        <v>0.08</v>
      </c>
      <c r="C17" s="2532" t="s">
        <v>2782</v>
      </c>
      <c r="D17" s="2895" t="s">
        <v>1589</v>
      </c>
      <c r="E17" s="2626">
        <v>4000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c r="C18" s="1654"/>
      <c r="D18" s="2908" t="str">
        <f>IF(B26=0,"建安总额","在建建安")</f>
        <v>建安总额</v>
      </c>
      <c r="E18" s="2909">
        <f>ROUND(B5*E17*IF(B26=0,1,E20),0)</f>
        <v>1791440</v>
      </c>
      <c r="F18" s="2627">
        <f>ROUND(E5*E17*IF(B26=0,1,E20),0)</f>
        <v>870760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0"/>
      <c r="C20" s="1654"/>
      <c r="D20" s="2912" t="str">
        <f>IF(B26=0,"成新率","工程进度")</f>
        <v>成新率</v>
      </c>
      <c r="E20" s="2629">
        <f>ROUND(1-(2022-B27)/60,2)</f>
        <v>0.85</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0.03</v>
      </c>
      <c r="F21" s="2642" t="s">
        <v>2788</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v>
      </c>
      <c r="F22" s="2642" t="s">
        <v>2786</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f>900000/365/B5</f>
        <v>5.5056344050764396</v>
      </c>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2789</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0.02</v>
      </c>
      <c r="F25" s="2642" t="s">
        <v>2787</v>
      </c>
      <c r="I25" s="2937"/>
    </row>
    <row r="26" spans="1:41" ht="15" thickBot="1">
      <c r="A26" s="2915" t="s">
        <v>1600</v>
      </c>
      <c r="B26" s="2919">
        <f>B22-B23</f>
        <v>0</v>
      </c>
      <c r="D26" s="2899" t="s">
        <v>1603</v>
      </c>
      <c r="E26" s="2634">
        <v>0.02</v>
      </c>
      <c r="F26" s="2642" t="s">
        <v>2787</v>
      </c>
      <c r="G26" s="2938"/>
      <c r="H26" s="2938"/>
      <c r="I26" s="1654"/>
      <c r="J26" s="1654"/>
      <c r="K26" s="1654"/>
      <c r="L26" s="1654"/>
      <c r="M26" s="1654"/>
      <c r="N26" s="1654"/>
    </row>
    <row r="27" spans="1:41" ht="15.75" thickBot="1">
      <c r="A27" s="2920" t="s">
        <v>1602</v>
      </c>
      <c r="B27" s="2636">
        <v>2013</v>
      </c>
      <c r="C27" s="1654"/>
      <c r="D27" s="3126" t="s">
        <v>2986</v>
      </c>
      <c r="E27" s="2921">
        <f ca="1">IF(D27="利息：取LPR",存贷款利率!G1,存贷款利率!G1+F27)</f>
        <v>4.2000000000000003E-2</v>
      </c>
      <c r="F27" s="3127">
        <v>5.0000000000000001E-3</v>
      </c>
      <c r="G27" s="2938"/>
      <c r="H27" s="2938"/>
      <c r="K27" s="1654"/>
      <c r="N27" s="1654"/>
    </row>
    <row r="28" spans="1:41" ht="15" thickBot="1">
      <c r="A28" s="946"/>
      <c r="B28" s="946"/>
      <c r="D28" s="2902" t="s">
        <v>1605</v>
      </c>
      <c r="E28" s="2638">
        <v>0.2</v>
      </c>
      <c r="G28" s="2938"/>
      <c r="H28" s="2938"/>
      <c r="K28" s="1654"/>
      <c r="N28" s="1654"/>
    </row>
    <row r="29" spans="1:41" ht="14.25">
      <c r="A29" s="2922" t="s">
        <v>1604</v>
      </c>
      <c r="B29" s="2637" t="s">
        <v>2985</v>
      </c>
      <c r="D29" s="2904" t="s">
        <v>1606</v>
      </c>
      <c r="E29" s="2923">
        <f>E30+E31</f>
        <v>5.5000000000000007E-2</v>
      </c>
      <c r="F29" s="1279"/>
      <c r="G29" s="2938"/>
      <c r="H29" s="2938"/>
      <c r="I29" s="2644">
        <f>B30*B5*365/0.05</f>
        <v>11442823</v>
      </c>
      <c r="K29" s="1654"/>
      <c r="N29" s="1654"/>
    </row>
    <row r="30" spans="1:41" ht="14.25">
      <c r="A30" s="2899" t="str">
        <f>IF(B29="租赁期内按合同租金","合同租金","市场租金")</f>
        <v>市场租金</v>
      </c>
      <c r="B30" s="3316">
        <v>3.5</v>
      </c>
      <c r="D30" s="2906" t="s">
        <v>1608</v>
      </c>
      <c r="E30" s="2640">
        <v>0.05</v>
      </c>
      <c r="F30" s="2925">
        <f>IF(B2&lt;DATE(2016,5,1),0,E30)</f>
        <v>0.05</v>
      </c>
      <c r="G30" s="2938"/>
      <c r="H30" s="2644">
        <f>I29/B5</f>
        <v>25550</v>
      </c>
      <c r="K30" s="1654"/>
      <c r="N30" s="1654"/>
    </row>
    <row r="31" spans="1:41" ht="14.25">
      <c r="A31" s="2899" t="s">
        <v>1607</v>
      </c>
      <c r="B31" s="2924">
        <f ca="1">存贷款利率!I1</f>
        <v>1.4999999999999999E-2</v>
      </c>
      <c r="D31" s="2906" t="s">
        <v>1610</v>
      </c>
      <c r="E31" s="2926">
        <f>E30*(E32+E33+E34)+E35</f>
        <v>5.000000000000001E-3</v>
      </c>
      <c r="F31" s="1279"/>
      <c r="G31" s="2938"/>
      <c r="H31" s="2938"/>
      <c r="K31" s="1654"/>
      <c r="N31" s="1654"/>
    </row>
    <row r="32" spans="1:41" ht="14.25">
      <c r="A32" s="2899" t="s">
        <v>1609</v>
      </c>
      <c r="B32" s="2624">
        <v>0.03</v>
      </c>
      <c r="D32" s="2906" t="s">
        <v>1612</v>
      </c>
      <c r="E32" s="2641">
        <v>0.05</v>
      </c>
      <c r="F32" s="2642" t="s">
        <v>2673</v>
      </c>
      <c r="G32" s="2938"/>
      <c r="H32" s="2938"/>
      <c r="K32" s="1654"/>
      <c r="L32" s="1654"/>
      <c r="M32" s="1654"/>
      <c r="N32" s="1654"/>
    </row>
    <row r="33" spans="1:14" ht="14.25">
      <c r="A33" s="2899" t="s">
        <v>1611</v>
      </c>
      <c r="B33" s="2624">
        <v>0.1</v>
      </c>
      <c r="D33" s="2906" t="s">
        <v>1614</v>
      </c>
      <c r="E33" s="2640">
        <v>0.03</v>
      </c>
      <c r="F33" s="1278" t="s">
        <v>1615</v>
      </c>
      <c r="G33" s="2938"/>
      <c r="H33" s="2938"/>
      <c r="K33" s="1654"/>
      <c r="L33" s="1654"/>
      <c r="M33" s="1654"/>
      <c r="N33" s="1654"/>
    </row>
    <row r="34" spans="1:14" s="2644" customFormat="1" ht="14.25">
      <c r="A34" s="2899" t="s">
        <v>1613</v>
      </c>
      <c r="B34" s="2927">
        <f>收益法!J54</f>
        <v>38.729999999999997</v>
      </c>
      <c r="D34" s="2906" t="s">
        <v>1616</v>
      </c>
      <c r="E34" s="2640">
        <v>0.02</v>
      </c>
      <c r="F34" s="1278"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v>0</v>
      </c>
      <c r="F35" s="1281" t="s">
        <v>1620</v>
      </c>
      <c r="G35" s="2938"/>
      <c r="H35" s="2938"/>
      <c r="I35" s="1654"/>
      <c r="J35" s="1654"/>
      <c r="K35" s="1654"/>
      <c r="L35" s="1654"/>
      <c r="M35" s="1654"/>
      <c r="N35" s="1654"/>
    </row>
    <row r="36" spans="1:14" s="2644" customFormat="1" ht="15">
      <c r="A36" s="2928" t="s">
        <v>1618</v>
      </c>
      <c r="B36" s="2929"/>
      <c r="D36" s="2930" t="s">
        <v>1621</v>
      </c>
      <c r="E36" s="2648">
        <v>0.03</v>
      </c>
      <c r="F36" s="1280"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0"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0"/>
      <c r="G39" s="2938"/>
      <c r="H39" s="2938"/>
      <c r="I39" s="1654"/>
      <c r="J39" s="1654"/>
      <c r="K39" s="1654"/>
      <c r="L39" s="1654"/>
      <c r="M39" s="1654"/>
      <c r="N39" s="1654"/>
    </row>
    <row r="40" spans="1:14" ht="14.25">
      <c r="A40" s="2899" t="str">
        <f>IF(B29="租赁期内按合同租金","成新率","——")</f>
        <v>——</v>
      </c>
      <c r="B40" s="2624"/>
      <c r="D40" s="2931" t="s">
        <v>1627</v>
      </c>
      <c r="E40" s="2935">
        <f>SUMIF(D42:D51,E41,E42:E51)</f>
        <v>1.5</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t="s">
        <v>70</v>
      </c>
      <c r="F41" s="1280" t="s">
        <v>1630</v>
      </c>
      <c r="G41" s="1741" t="s">
        <v>1631</v>
      </c>
      <c r="H41" s="2938"/>
      <c r="I41" s="1654"/>
      <c r="J41" s="1654"/>
      <c r="K41" s="1654"/>
      <c r="L41" s="1654"/>
      <c r="M41" s="1654"/>
      <c r="N41" s="1654"/>
    </row>
    <row r="42" spans="1:14" ht="14.25">
      <c r="A42" s="2898" t="s">
        <v>1628</v>
      </c>
      <c r="B42" s="2649"/>
      <c r="D42" s="2652" t="s">
        <v>1633</v>
      </c>
      <c r="E42" s="2639">
        <v>30</v>
      </c>
      <c r="F42" s="1280">
        <v>30</v>
      </c>
      <c r="G42" s="2938"/>
      <c r="H42" s="2938"/>
      <c r="I42" s="1654"/>
      <c r="J42" s="1654"/>
      <c r="K42" s="1654"/>
      <c r="L42" s="1654"/>
      <c r="M42" s="1654"/>
      <c r="N42" s="1654"/>
    </row>
    <row r="43" spans="1:14" ht="14.25">
      <c r="A43" s="2899" t="s">
        <v>1632</v>
      </c>
      <c r="B43" s="2651">
        <v>365</v>
      </c>
      <c r="D43" s="2652" t="s">
        <v>1635</v>
      </c>
      <c r="E43" s="2639">
        <v>24</v>
      </c>
      <c r="F43" s="1280">
        <v>24</v>
      </c>
      <c r="G43" s="2938"/>
      <c r="H43" s="2938"/>
      <c r="I43" s="1654"/>
      <c r="J43" s="1654"/>
      <c r="K43" s="1654"/>
      <c r="L43" s="1654"/>
      <c r="M43" s="1654"/>
      <c r="N43" s="1654"/>
    </row>
    <row r="44" spans="1:14" ht="14.25">
      <c r="A44" s="2899" t="s">
        <v>1634</v>
      </c>
      <c r="B44" s="2639"/>
      <c r="D44" s="2652" t="s">
        <v>1637</v>
      </c>
      <c r="E44" s="2639">
        <v>18</v>
      </c>
      <c r="F44" s="1280">
        <v>18</v>
      </c>
      <c r="G44" s="2644"/>
      <c r="H44" s="2644"/>
      <c r="I44" s="2938"/>
      <c r="J44" s="1654"/>
      <c r="K44" s="1654"/>
      <c r="L44" s="1654"/>
      <c r="M44" s="1654"/>
      <c r="N44" s="1654"/>
    </row>
    <row r="45" spans="1:14" ht="14.25">
      <c r="A45" s="2899" t="s">
        <v>1636</v>
      </c>
      <c r="B45" s="2653">
        <v>1.2999999999999999E-2</v>
      </c>
      <c r="C45" s="2532" t="s">
        <v>2785</v>
      </c>
      <c r="D45" s="2652" t="s">
        <v>1639</v>
      </c>
      <c r="E45" s="2639">
        <v>12</v>
      </c>
      <c r="F45" s="1280">
        <v>12</v>
      </c>
      <c r="G45" s="2644"/>
      <c r="H45" s="2644"/>
      <c r="M45" s="1654"/>
      <c r="N45" s="1654"/>
    </row>
    <row r="46" spans="1:14" ht="14.25">
      <c r="A46" s="2899" t="s">
        <v>1638</v>
      </c>
      <c r="B46" s="2654">
        <v>1.5E-3</v>
      </c>
      <c r="C46" s="2532" t="s">
        <v>2783</v>
      </c>
      <c r="D46" s="2652" t="s">
        <v>1401</v>
      </c>
      <c r="E46" s="2639">
        <v>3</v>
      </c>
      <c r="F46" s="1280">
        <v>3</v>
      </c>
      <c r="G46" s="2644"/>
      <c r="H46" s="2644"/>
      <c r="M46" s="1654"/>
      <c r="N46" s="1654"/>
    </row>
    <row r="47" spans="1:14" ht="15" thickBot="1">
      <c r="A47" s="2902" t="s">
        <v>1640</v>
      </c>
      <c r="B47" s="2655">
        <v>0.01</v>
      </c>
      <c r="C47" s="2532" t="s">
        <v>2784</v>
      </c>
      <c r="D47" s="2652" t="s">
        <v>1641</v>
      </c>
      <c r="E47" s="2639">
        <v>1.5</v>
      </c>
      <c r="F47" s="1280">
        <v>1.5</v>
      </c>
      <c r="G47" s="2644"/>
      <c r="H47" s="2644"/>
      <c r="M47" s="1654"/>
      <c r="N47" s="1654"/>
    </row>
    <row r="48" spans="1:14" ht="14.25">
      <c r="A48" s="2644"/>
      <c r="B48" s="2644"/>
      <c r="D48" s="2652" t="s">
        <v>1642</v>
      </c>
      <c r="E48" s="2639"/>
      <c r="F48" s="1280"/>
      <c r="G48" s="2644"/>
      <c r="H48" s="2644"/>
      <c r="M48" s="1654"/>
      <c r="N48" s="1654"/>
    </row>
    <row r="49" spans="1:41" ht="14.25">
      <c r="A49" s="2644"/>
      <c r="B49" s="2644"/>
      <c r="D49" s="2652" t="s">
        <v>1643</v>
      </c>
      <c r="E49" s="2639"/>
      <c r="F49" s="1280"/>
      <c r="G49" s="2644"/>
      <c r="H49" s="2644"/>
      <c r="M49" s="1654"/>
      <c r="N49" s="1654"/>
    </row>
    <row r="50" spans="1:41" ht="14.25">
      <c r="A50" s="2644"/>
      <c r="B50" s="2644"/>
      <c r="D50" s="2652" t="s">
        <v>1644</v>
      </c>
      <c r="E50" s="2639"/>
      <c r="F50" s="1280"/>
      <c r="G50" s="2644"/>
      <c r="H50" s="2644"/>
      <c r="M50" s="1654"/>
      <c r="N50" s="1654"/>
    </row>
    <row r="51" spans="1:41" s="946" customFormat="1" ht="15" thickBot="1">
      <c r="A51" s="2644"/>
      <c r="B51" s="2644"/>
      <c r="C51" s="2644"/>
      <c r="D51" s="2656" t="s">
        <v>1645</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3" t="s">
        <v>1646</v>
      </c>
      <c r="B1" s="3414"/>
      <c r="C1" s="3414"/>
      <c r="D1" s="3414"/>
      <c r="E1" s="3414"/>
      <c r="F1" s="3414"/>
      <c r="G1" s="3414"/>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2792</v>
      </c>
      <c r="B3" s="3075" t="s">
        <v>2793</v>
      </c>
      <c r="C3" s="3076" t="s">
        <v>2794</v>
      </c>
      <c r="D3" s="3077"/>
      <c r="E3" s="3078" t="s">
        <v>2792</v>
      </c>
      <c r="F3" s="3079" t="s">
        <v>2795</v>
      </c>
      <c r="G3" s="3080" t="s">
        <v>2796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2797</v>
      </c>
      <c r="C4" s="3081" t="s">
        <v>2798</v>
      </c>
      <c r="D4" s="3077"/>
      <c r="E4" s="3082"/>
      <c r="F4" s="3064" t="s">
        <v>2799</v>
      </c>
      <c r="G4" s="3083"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2801</v>
      </c>
      <c r="C5" s="3081" t="s">
        <v>2802</v>
      </c>
      <c r="D5" s="3077"/>
      <c r="E5" s="3082"/>
      <c r="F5" s="3062" t="s">
        <v>2803</v>
      </c>
      <c r="G5" s="3083" t="s">
        <v>2804</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2805</v>
      </c>
      <c r="C6" s="3083" t="s">
        <v>2800</v>
      </c>
      <c r="D6" s="3077"/>
      <c r="E6" s="3082"/>
      <c r="F6" s="3062" t="s">
        <v>2806</v>
      </c>
      <c r="G6" s="3083" t="s">
        <v>2807</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2803</v>
      </c>
      <c r="C7" s="3083" t="s">
        <v>2804</v>
      </c>
      <c r="D7" s="2951"/>
      <c r="E7" s="3084"/>
      <c r="F7" s="3085" t="s">
        <v>2808</v>
      </c>
      <c r="G7" s="3086" t="s">
        <v>2809</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2806</v>
      </c>
      <c r="C8" s="3083" t="s">
        <v>2807</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2810</v>
      </c>
      <c r="C9" s="3081" t="s">
        <v>2811</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2812</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2813</v>
      </c>
      <c r="D14" s="3077"/>
      <c r="E14" s="3095"/>
      <c r="F14" s="3095"/>
      <c r="G14" s="3070" t="s">
        <v>2814</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2815</v>
      </c>
      <c r="B15" s="3100" t="s">
        <v>2793</v>
      </c>
      <c r="C15" s="3101" t="str">
        <f>C3</f>
        <v>估价对象周边居住用地比例、居住小区规模和社区发展完善程度，综合评价居住社区成熟度一般</v>
      </c>
      <c r="D15" s="3077"/>
      <c r="E15" s="3102" t="s">
        <v>2816</v>
      </c>
      <c r="F15" s="3100" t="s">
        <v>2817</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2797</v>
      </c>
      <c r="C16" s="3105" t="str">
        <f>C4</f>
        <v>估价对象位于XX商圈，周边商业氛围成熟，人流量大，商业繁华度好</v>
      </c>
      <c r="D16" s="3077"/>
      <c r="E16" s="3106"/>
      <c r="F16" s="3063" t="s">
        <v>2799</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2801</v>
      </c>
      <c r="C17" s="3105" t="str">
        <f>C5</f>
        <v>估价对象位于XX商圈，周边办公楼项目较多，入驻率高，办公集聚程度较好</v>
      </c>
      <c r="D17" s="2951"/>
      <c r="E17" s="3106"/>
      <c r="F17" s="3063" t="s">
        <v>2818</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2805</v>
      </c>
      <c r="C18" s="3107" t="str">
        <f>C6</f>
        <v>估价对象周边道路状况、公共交通通达情况、停车便捷程度，综合评价交通便捷度较好</v>
      </c>
      <c r="D18" s="2951"/>
      <c r="E18" s="3106"/>
      <c r="F18" s="3063" t="s">
        <v>2808</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2819</v>
      </c>
      <c r="C19" s="3108"/>
      <c r="D19" s="3077"/>
      <c r="E19" s="3106"/>
      <c r="F19" s="3062" t="s">
        <v>2803</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2820</v>
      </c>
      <c r="C20" s="3105" t="str">
        <f>C9</f>
        <v>区域自然环境：；人文环境；综合评价环境状况一般</v>
      </c>
      <c r="D20" s="2951"/>
      <c r="E20" s="3106"/>
      <c r="F20" s="3062" t="s">
        <v>2806</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2803</v>
      </c>
      <c r="C21" s="3107" t="str">
        <f>C7</f>
        <v>估价对象所在区域公共配套设施齐备情况</v>
      </c>
      <c r="D21" s="3077"/>
      <c r="E21" s="3106"/>
      <c r="F21" s="3063" t="s">
        <v>2821</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2806</v>
      </c>
      <c r="C22" s="3107" t="str">
        <f>C8</f>
        <v>估价对象所在区域基础设施水平</v>
      </c>
      <c r="D22" s="3077"/>
      <c r="E22" s="3106"/>
      <c r="F22" s="3063" t="s">
        <v>2812</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2821</v>
      </c>
      <c r="C23" s="3109"/>
      <c r="D23" s="3096"/>
      <c r="E23" s="3111"/>
      <c r="F23" s="3065" t="s">
        <v>2822</v>
      </c>
      <c r="G23" s="3112"/>
      <c r="H23" s="3096"/>
      <c r="I23" s="3097"/>
      <c r="J23" s="3096"/>
      <c r="K23" s="3096"/>
      <c r="L23" s="3097"/>
      <c r="M23" s="3096"/>
      <c r="N23" s="3096"/>
      <c r="O23" s="3097"/>
      <c r="P23" s="3096"/>
      <c r="Q23" s="3096"/>
      <c r="R23" s="3098"/>
    </row>
    <row r="24" spans="1:29" s="3073" customFormat="1" ht="13.5" thickBot="1">
      <c r="A24" s="3113"/>
      <c r="B24" s="3065" t="s">
        <v>2823</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3" sqref="E33"/>
    </sheetView>
  </sheetViews>
  <sheetFormatPr defaultColWidth="14.625" defaultRowHeight="13.5"/>
  <cols>
    <col min="1" max="1" width="24.375" style="2552" customWidth="1"/>
    <col min="2" max="16384" width="14.625" style="2552"/>
  </cols>
  <sheetData>
    <row r="1" spans="1:9" ht="16.5">
      <c r="A1" s="2550" t="s">
        <v>1155</v>
      </c>
      <c r="B1" s="2550">
        <f>SUM(B14:B23)</f>
        <v>447.86</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44644</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1321.0975000000001</v>
      </c>
      <c r="C5" s="2550">
        <f ca="1">ROUND(B5*10000/$B$1,0)</f>
        <v>29498</v>
      </c>
      <c r="D5" s="2550" t="e">
        <f ca="1">ROUND(B5*10000/$B$2,0)</f>
        <v>#DIV/0!</v>
      </c>
      <c r="E5" s="1603"/>
      <c r="F5" s="2551"/>
      <c r="G5" s="2551"/>
    </row>
    <row r="6" spans="1:9" ht="16.5">
      <c r="A6" s="2550" t="s">
        <v>1163</v>
      </c>
      <c r="B6" s="2550">
        <f ca="1">SUM(G14:G23)</f>
        <v>1321.0975000000001</v>
      </c>
      <c r="C6" s="2550">
        <f t="shared" ref="C6:C8" ca="1" si="0">ROUND(B6*10000/$B$1,0)</f>
        <v>29498</v>
      </c>
      <c r="D6" s="2550" t="e">
        <f t="shared" ref="D6:D8" ca="1" si="1">ROUND(B6*10000/$B$2,0)</f>
        <v>#DIV/0!</v>
      </c>
      <c r="E6" s="1603"/>
      <c r="F6" s="2551"/>
      <c r="G6" s="2551"/>
    </row>
    <row r="7" spans="1:9" ht="16.5">
      <c r="A7" s="2550" t="s">
        <v>1164</v>
      </c>
      <c r="B7" s="2550" t="e">
        <f>SUM(H14:H23)</f>
        <v>#VALUE!</v>
      </c>
      <c r="C7" s="2550" t="e">
        <f>ROUND(B7*10000/$B$1,0)</f>
        <v>#VALUE!</v>
      </c>
      <c r="D7" s="2550" t="e">
        <f t="shared" si="1"/>
        <v>#VALUE!</v>
      </c>
      <c r="E7" s="1603"/>
      <c r="F7" s="2551"/>
      <c r="G7" s="2551"/>
    </row>
    <row r="8" spans="1:9" ht="16.5">
      <c r="A8" s="2550" t="s">
        <v>1165</v>
      </c>
      <c r="B8" s="2550" t="e">
        <f>SUM(I14:I23)</f>
        <v>#VALUE!</v>
      </c>
      <c r="C8" s="2550" t="e">
        <f t="shared" si="0"/>
        <v>#VALUE!</v>
      </c>
      <c r="D8" s="2550" t="e">
        <f t="shared" si="1"/>
        <v>#VALUE!</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447.86</v>
      </c>
      <c r="C14" s="2886">
        <f>项目基本情况!C13</f>
        <v>0</v>
      </c>
      <c r="D14" s="2886">
        <f ca="1">IF('数据-取费表'!B3="万元",IF(A14="估价对象1（结果表）",结果表!H121,'结果表 (1修多)'!H125),IF(A14="估价对象1（结果表）",结果表!H121,'结果表 (1修多)'!H125)/10000)</f>
        <v>1321.0975000000001</v>
      </c>
      <c r="E14" s="2886">
        <f ca="1">ROUND(D14*10000/B14,0)</f>
        <v>29498</v>
      </c>
      <c r="F14" s="2886" t="e">
        <f ca="1">ROUND(D14*10000/C14,0)</f>
        <v>#DIV/0!</v>
      </c>
      <c r="G14" s="2886">
        <f ca="1">IF('数据-取费表'!B3="万元",IF(A14="估价对象1（结果表）",结果表!D125,'结果表 (1修多)'!D129),IF(A14="估价对象1（结果表）",结果表!D125,'结果表 (1修多)'!D129)/10000)</f>
        <v>1321.0975000000001</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L25" sqref="K25:L25"/>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70" t="str">
        <f>项目基本情况!B1</f>
        <v>北京市房地产抵押价值预评估</v>
      </c>
      <c r="B2" s="3470"/>
      <c r="C2" s="3470"/>
      <c r="D2" s="3470"/>
      <c r="E2" s="3470"/>
      <c r="F2" s="3470"/>
      <c r="G2" s="3470"/>
      <c r="H2" s="3470"/>
      <c r="I2" s="3470"/>
      <c r="J2" s="2813"/>
    </row>
    <row r="3" spans="1:15" ht="12.75">
      <c r="A3" s="3473" t="s">
        <v>1654</v>
      </c>
      <c r="B3" s="3474"/>
      <c r="C3" s="3474"/>
      <c r="D3" s="3474"/>
      <c r="E3" s="3474"/>
      <c r="F3" s="3474"/>
      <c r="G3" s="3474"/>
      <c r="H3" s="3474"/>
      <c r="I3" s="3474"/>
      <c r="J3" s="2814"/>
    </row>
    <row r="4" spans="1:15" ht="14.25">
      <c r="A4" s="2682" t="s">
        <v>1655</v>
      </c>
      <c r="B4" s="2682" t="s">
        <v>1656</v>
      </c>
      <c r="C4" s="2683"/>
      <c r="D4" s="2683"/>
      <c r="E4" s="3419" t="s">
        <v>1657</v>
      </c>
      <c r="F4" s="3457"/>
      <c r="G4" s="3457"/>
      <c r="H4" s="3457"/>
      <c r="I4" s="3458"/>
      <c r="J4" s="281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50" t="s">
        <v>1658</v>
      </c>
      <c r="B5" s="3450">
        <v>25</v>
      </c>
      <c r="C5" s="3459"/>
      <c r="D5" s="3472"/>
      <c r="E5" s="12" t="s">
        <v>1659</v>
      </c>
      <c r="F5" s="2058"/>
      <c r="G5" s="2058"/>
      <c r="H5" s="2058"/>
      <c r="I5" s="2053"/>
      <c r="J5" s="2815"/>
    </row>
    <row r="6" spans="1:15" ht="12.75">
      <c r="A6" s="3450"/>
      <c r="B6" s="3450"/>
      <c r="C6" s="3475"/>
      <c r="D6" s="3472"/>
      <c r="E6" s="12" t="s">
        <v>1660</v>
      </c>
      <c r="F6" s="2058"/>
      <c r="G6" s="2058"/>
      <c r="H6" s="2058"/>
      <c r="I6" s="2053"/>
      <c r="J6" s="2815"/>
    </row>
    <row r="7" spans="1:15" ht="12.75">
      <c r="A7" s="3450"/>
      <c r="B7" s="3450"/>
      <c r="C7" s="3460"/>
      <c r="D7" s="3472"/>
      <c r="E7" s="12" t="s">
        <v>1661</v>
      </c>
      <c r="F7" s="2058"/>
      <c r="G7" s="2058"/>
      <c r="H7" s="2058"/>
      <c r="I7" s="2053"/>
      <c r="J7" s="2815"/>
    </row>
    <row r="8" spans="1:15" ht="12.75">
      <c r="A8" s="3450" t="s">
        <v>1662</v>
      </c>
      <c r="B8" s="3450">
        <v>15</v>
      </c>
      <c r="C8" s="3459"/>
      <c r="D8" s="3472"/>
      <c r="E8" s="12" t="s">
        <v>1663</v>
      </c>
      <c r="F8" s="2058"/>
      <c r="G8" s="2058"/>
      <c r="H8" s="2058"/>
      <c r="I8" s="2053"/>
      <c r="J8" s="2815"/>
    </row>
    <row r="9" spans="1:15" ht="12.75">
      <c r="A9" s="3450"/>
      <c r="B9" s="3450"/>
      <c r="C9" s="3460"/>
      <c r="D9" s="3472"/>
      <c r="E9" s="12" t="s">
        <v>1664</v>
      </c>
      <c r="F9" s="2058"/>
      <c r="G9" s="2058"/>
      <c r="H9" s="2058"/>
      <c r="I9" s="2053"/>
      <c r="J9" s="2815"/>
    </row>
    <row r="10" spans="1:15" ht="12.75">
      <c r="A10" s="3450" t="s">
        <v>1665</v>
      </c>
      <c r="B10" s="3450">
        <v>15</v>
      </c>
      <c r="C10" s="3459"/>
      <c r="D10" s="3472"/>
      <c r="E10" s="12" t="s">
        <v>1666</v>
      </c>
      <c r="F10" s="2058"/>
      <c r="G10" s="2058"/>
      <c r="H10" s="2058"/>
      <c r="I10" s="2053"/>
      <c r="J10" s="2815"/>
    </row>
    <row r="11" spans="1:15" ht="12.75">
      <c r="A11" s="3450"/>
      <c r="B11" s="3450"/>
      <c r="C11" s="3460"/>
      <c r="D11" s="3472"/>
      <c r="E11" s="12" t="s">
        <v>1667</v>
      </c>
      <c r="F11" s="2058"/>
      <c r="G11" s="2058"/>
      <c r="H11" s="2058"/>
      <c r="I11" s="2053"/>
      <c r="J11" s="2815"/>
    </row>
    <row r="12" spans="1:15" ht="12.75">
      <c r="A12" s="3450" t="s">
        <v>1668</v>
      </c>
      <c r="B12" s="3450">
        <v>15</v>
      </c>
      <c r="C12" s="3459"/>
      <c r="D12" s="3472"/>
      <c r="E12" s="12" t="s">
        <v>1669</v>
      </c>
      <c r="F12" s="2058"/>
      <c r="G12" s="2058"/>
      <c r="H12" s="2058"/>
      <c r="I12" s="2053"/>
      <c r="J12" s="2815"/>
    </row>
    <row r="13" spans="1:15" ht="12.75">
      <c r="A13" s="3450"/>
      <c r="B13" s="3450"/>
      <c r="C13" s="3460"/>
      <c r="D13" s="3472"/>
      <c r="E13" s="12" t="s">
        <v>1670</v>
      </c>
      <c r="F13" s="2058"/>
      <c r="G13" s="2058"/>
      <c r="H13" s="2058"/>
      <c r="I13" s="2053"/>
      <c r="J13" s="2815"/>
    </row>
    <row r="14" spans="1:15" ht="12.75">
      <c r="A14" s="3450" t="s">
        <v>1671</v>
      </c>
      <c r="B14" s="3450">
        <v>30</v>
      </c>
      <c r="C14" s="3459"/>
      <c r="D14" s="3472"/>
      <c r="E14" s="12" t="s">
        <v>1672</v>
      </c>
      <c r="F14" s="2058"/>
      <c r="G14" s="2058"/>
      <c r="H14" s="2058"/>
      <c r="I14" s="2053"/>
      <c r="J14" s="2815"/>
    </row>
    <row r="15" spans="1:15" ht="12.75">
      <c r="A15" s="3450"/>
      <c r="B15" s="3450"/>
      <c r="C15" s="3475"/>
      <c r="D15" s="3472"/>
      <c r="E15" s="12" t="s">
        <v>1673</v>
      </c>
      <c r="F15" s="2058"/>
      <c r="G15" s="2058"/>
      <c r="H15" s="2058"/>
      <c r="I15" s="2053"/>
      <c r="J15" s="2815"/>
    </row>
    <row r="16" spans="1:15" ht="12.75">
      <c r="A16" s="3450"/>
      <c r="B16" s="3450"/>
      <c r="C16" s="3460"/>
      <c r="D16" s="3472"/>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0" customHeight="1" thickBot="1">
      <c r="A18" s="2686" t="s">
        <v>1676</v>
      </c>
      <c r="B18" s="2687"/>
      <c r="C18" s="2688" t="e">
        <f>ROUND(C17/SUM(C17:D17),2)</f>
        <v>#DIV/0!</v>
      </c>
      <c r="D18" s="2688" t="e">
        <f>1-C18</f>
        <v>#DIV/0!</v>
      </c>
      <c r="E18" s="3468" t="s">
        <v>2758</v>
      </c>
      <c r="F18" s="3469"/>
      <c r="G18" s="3469"/>
      <c r="H18" s="3469"/>
      <c r="I18" s="3469"/>
      <c r="J18" s="2816"/>
    </row>
    <row r="19" spans="1:36" ht="15">
      <c r="A19" s="2689" t="s">
        <v>1677</v>
      </c>
      <c r="B19" s="2690" t="s">
        <v>1678</v>
      </c>
      <c r="C19" s="2691" t="e">
        <f ca="1">SUMIF(INDIRECT("'"&amp;C4&amp;"'"&amp;"!A:A"),结果表!B19,INDIRECT("'"&amp;C4&amp;"'"&amp;"!B:B"))</f>
        <v>#REF!</v>
      </c>
      <c r="D19" s="2692" t="e">
        <f ca="1">SUMIF(INDIRECT("'"&amp;D4&amp;"'"&amp;"!A:A"),结果表!B19,INDIRECT("'"&amp;D4&amp;"'"&amp;"!B:B"))</f>
        <v>#REF!</v>
      </c>
      <c r="E19" s="2689" t="s">
        <v>1679</v>
      </c>
      <c r="F19" s="2690" t="s">
        <v>1678</v>
      </c>
      <c r="G19" s="2693" t="e">
        <f ca="1">ROUND(C19*$C$18+D19*$D$18,0)</f>
        <v>#REF!</v>
      </c>
      <c r="H19" s="2694" t="str">
        <f>'数据-取费表'!B3</f>
        <v>元</v>
      </c>
      <c r="I19" s="2742"/>
      <c r="J19" s="2817"/>
    </row>
    <row r="20" spans="1:36" ht="15">
      <c r="A20" s="2695"/>
      <c r="B20" s="1663" t="s">
        <v>1680</v>
      </c>
      <c r="C20" s="1888" t="e">
        <f ca="1">SUMIF(INDIRECT("'"&amp;C4&amp;"'"&amp;"!A:A"),结果表!B20,INDIRECT("'"&amp;C4&amp;"'"&amp;"!B:B"))</f>
        <v>#REF!</v>
      </c>
      <c r="D20" s="1891" t="e">
        <f ca="1">SUMIF(INDIRECT("'"&amp;D4&amp;"'"&amp;"!A:A"),结果表!B20,INDIRECT("'"&amp;D4&amp;"'"&amp;"!B:B"))</f>
        <v>#REF!</v>
      </c>
      <c r="E20" s="2695"/>
      <c r="F20" s="1663"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61" t="s">
        <v>1683</v>
      </c>
      <c r="B24" s="2690" t="s">
        <v>1678</v>
      </c>
      <c r="C24" s="2693">
        <f>D30</f>
        <v>0</v>
      </c>
      <c r="D24" s="2645"/>
      <c r="E24" s="946"/>
      <c r="F24" s="946"/>
      <c r="G24" s="946"/>
      <c r="H24" s="946"/>
      <c r="I24" s="946"/>
      <c r="J24" s="2816"/>
    </row>
    <row r="25" spans="1:36" ht="21.75" customHeight="1">
      <c r="A25" s="3478"/>
      <c r="B25" s="1663" t="s">
        <v>1680</v>
      </c>
      <c r="C25" s="2705">
        <f>IF(B30=0,0,C30)</f>
        <v>0</v>
      </c>
      <c r="D25" s="2706"/>
      <c r="E25" s="946"/>
      <c r="F25" s="946"/>
      <c r="G25" s="946"/>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c r="B27" s="2708">
        <v>0</v>
      </c>
      <c r="C27" s="2708">
        <v>0</v>
      </c>
      <c r="D27" s="2709">
        <f>ROUND(C27*B27/10000,0)</f>
        <v>0</v>
      </c>
      <c r="E27" s="946"/>
      <c r="F27" s="946"/>
      <c r="G27" s="946"/>
      <c r="H27" s="946"/>
      <c r="I27" s="946"/>
      <c r="J27" s="2816"/>
    </row>
    <row r="28" spans="1:36" ht="14.25">
      <c r="A28" s="2707"/>
      <c r="B28" s="2708"/>
      <c r="C28" s="2708"/>
      <c r="D28" s="2709">
        <f t="shared" ref="D28:D29" si="0">ROUND(C28*B28/10000,0)</f>
        <v>0</v>
      </c>
      <c r="E28" s="946"/>
      <c r="F28" s="946"/>
      <c r="G28" s="946"/>
      <c r="H28" s="946"/>
      <c r="I28" s="946"/>
      <c r="J28" s="2816"/>
    </row>
    <row r="29" spans="1:36" ht="14.25">
      <c r="A29" s="2707"/>
      <c r="B29" s="2708"/>
      <c r="C29" s="2708"/>
      <c r="D29" s="2709">
        <f t="shared" si="0"/>
        <v>0</v>
      </c>
      <c r="E29" s="946"/>
      <c r="F29" s="946"/>
      <c r="G29" s="946"/>
      <c r="H29" s="946"/>
      <c r="I29" s="946"/>
      <c r="J29" s="2816"/>
    </row>
    <row r="30" spans="1:36" ht="15" thickBot="1">
      <c r="A30" s="2744" t="s">
        <v>1688</v>
      </c>
      <c r="B30" s="2744"/>
      <c r="C30" s="2744"/>
      <c r="D30" s="2744"/>
      <c r="E30" s="2711" t="s">
        <v>2762</v>
      </c>
      <c r="F30" s="2532"/>
      <c r="G30" s="2532"/>
      <c r="H30" s="2532"/>
      <c r="I30" s="2532"/>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t="e">
        <f ca="1">IF(B32="总价",G19-C24,G20-C25)</f>
        <v>#REF!</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6"/>
      <c r="H33" s="946"/>
      <c r="I33" s="946"/>
      <c r="J33" s="2816"/>
    </row>
    <row r="34" spans="1:17" ht="15">
      <c r="A34" s="1435"/>
      <c r="B34" s="2717" t="s">
        <v>1692</v>
      </c>
      <c r="C34" s="2718" t="e">
        <f ca="1">IF(D33="自定义",F34,C32-C35)</f>
        <v>#REF!</v>
      </c>
      <c r="D34" s="2719">
        <f ca="1">IF(D33="自定义",ROUND(C34/C32,3),1-D35)</f>
        <v>0.755</v>
      </c>
      <c r="E34" s="1404" t="s">
        <v>1693</v>
      </c>
      <c r="F34" s="2720">
        <v>2000</v>
      </c>
      <c r="G34" s="946"/>
      <c r="H34" s="946"/>
      <c r="I34" s="946"/>
      <c r="J34" s="2816"/>
    </row>
    <row r="35" spans="1:17" ht="15.75" thickBot="1">
      <c r="A35" s="1436"/>
      <c r="B35" s="2721" t="s">
        <v>1694</v>
      </c>
      <c r="C35" s="2722" t="e">
        <f ca="1">IF(D33="自定义",F35,ROUND(C32*D35,0))</f>
        <v>#REF!</v>
      </c>
      <c r="D35" s="2723">
        <f ca="1">IF(D33="自定义",ROUND(C35/C32,3),IF(D33="成本法成本比率",成本法!C56,IF(D33="收益法收益比率",收益法!J38,收益法!J41)))</f>
        <v>0.245</v>
      </c>
      <c r="E35" s="2724" t="s">
        <v>1695</v>
      </c>
      <c r="F35" s="2725">
        <v>4460</v>
      </c>
      <c r="G35" s="946"/>
      <c r="H35" s="946"/>
      <c r="I35" s="946"/>
      <c r="J35" s="2816"/>
    </row>
    <row r="36" spans="1:17" ht="15.75" thickBot="1">
      <c r="A36" s="3461" t="s">
        <v>1696</v>
      </c>
      <c r="B36" s="1437" t="s">
        <v>1697</v>
      </c>
      <c r="C36" s="2726">
        <v>0</v>
      </c>
      <c r="D36" s="2727"/>
      <c r="E36" s="1649"/>
      <c r="F36" s="1649"/>
      <c r="G36" s="946"/>
      <c r="H36" s="946"/>
      <c r="I36" s="946"/>
      <c r="J36" s="2816"/>
    </row>
    <row r="37" spans="1:17" ht="15.75" thickBot="1">
      <c r="A37" s="3462"/>
      <c r="B37" s="2063" t="s">
        <v>1698</v>
      </c>
      <c r="C37" s="2728">
        <v>0</v>
      </c>
      <c r="D37" s="1280"/>
      <c r="E37" s="1280"/>
      <c r="F37" s="1649"/>
      <c r="G37" s="1280"/>
      <c r="H37" s="1280"/>
      <c r="I37" s="1280"/>
      <c r="J37" s="2820"/>
    </row>
    <row r="38" spans="1:17" ht="15.75" thickBot="1">
      <c r="A38" s="3463"/>
      <c r="B38" s="1438" t="s">
        <v>1699</v>
      </c>
      <c r="C38" s="2729">
        <v>0</v>
      </c>
      <c r="D38" s="2730" t="s">
        <v>1700</v>
      </c>
      <c r="E38" s="1280"/>
      <c r="F38" s="1649"/>
      <c r="G38" s="1280"/>
      <c r="H38" s="1280"/>
      <c r="I38" s="1280"/>
      <c r="J38" s="2820"/>
    </row>
    <row r="39" spans="1:17" ht="15">
      <c r="A39" s="2695" t="s">
        <v>1701</v>
      </c>
      <c r="B39" s="2731" t="s">
        <v>1685</v>
      </c>
      <c r="C39" s="2732" t="s">
        <v>1686</v>
      </c>
      <c r="D39" s="2732" t="s">
        <v>1702</v>
      </c>
      <c r="E39" s="2733" t="s">
        <v>1687</v>
      </c>
      <c r="F39" s="1649"/>
      <c r="G39" s="1280"/>
      <c r="H39" s="1280"/>
      <c r="I39" s="1280"/>
      <c r="J39" s="2820"/>
    </row>
    <row r="40" spans="1:17" ht="14.25">
      <c r="A40" s="2734" t="s">
        <v>1703</v>
      </c>
      <c r="B40" s="2735"/>
      <c r="C40" s="2736"/>
      <c r="D40" s="2736"/>
      <c r="E40" s="2737"/>
      <c r="F40" s="1649"/>
      <c r="G40" s="1280"/>
      <c r="H40" s="1280"/>
      <c r="I40" s="1280"/>
      <c r="J40" s="2820"/>
    </row>
    <row r="41" spans="1:17" ht="14.25">
      <c r="A41" s="2734" t="s">
        <v>1704</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2757</v>
      </c>
      <c r="J44" s="2822"/>
      <c r="K44" s="1444" t="s">
        <v>1706</v>
      </c>
      <c r="L44" s="1445"/>
      <c r="M44" s="1445"/>
      <c r="N44" s="1445"/>
      <c r="O44" s="1445"/>
      <c r="P44" s="1445"/>
      <c r="Q44" s="1277"/>
    </row>
    <row r="45" spans="1:17" ht="14.25" customHeight="1" thickBot="1">
      <c r="A45" s="3465" t="s">
        <v>1707</v>
      </c>
      <c r="B45" s="3466"/>
      <c r="C45" s="3425"/>
      <c r="D45" s="246" t="e">
        <f ca="1">ROUND(I102*F45,0)</f>
        <v>#REF!</v>
      </c>
      <c r="E45" s="1511" t="s">
        <v>1708</v>
      </c>
      <c r="F45" s="2530">
        <v>1</v>
      </c>
      <c r="G45" s="2531" t="s">
        <v>1709</v>
      </c>
      <c r="H45" s="946"/>
      <c r="I45" s="946"/>
      <c r="J45" s="2816"/>
      <c r="K45" s="3519" t="s">
        <v>2687</v>
      </c>
      <c r="L45" s="3519"/>
      <c r="M45" s="3519"/>
      <c r="N45" s="3519"/>
      <c r="O45" s="3519"/>
      <c r="P45" s="3519"/>
      <c r="Q45" s="1277"/>
    </row>
    <row r="46" spans="1:17" ht="14.25" customHeight="1">
      <c r="A46" s="3454" t="s">
        <v>1711</v>
      </c>
      <c r="B46" s="3455"/>
      <c r="C46" s="3455"/>
      <c r="D46" s="3455"/>
      <c r="E46" s="3455"/>
      <c r="F46" s="3455"/>
      <c r="G46" s="3456"/>
      <c r="H46" s="2948"/>
      <c r="I46" s="946"/>
      <c r="J46" s="2816"/>
      <c r="K46" s="2505">
        <v>1</v>
      </c>
      <c r="L46" s="3520" t="s">
        <v>2688</v>
      </c>
      <c r="M46" s="3520"/>
      <c r="N46" s="3521" t="str">
        <f>项目基本情况!B1</f>
        <v>北京市房地产抵押价值预评估</v>
      </c>
      <c r="O46" s="3521"/>
      <c r="P46" s="3521"/>
      <c r="Q46" s="1277"/>
    </row>
    <row r="47" spans="1:17" ht="12" customHeight="1">
      <c r="A47" s="38" t="s">
        <v>1713</v>
      </c>
      <c r="B47" s="39"/>
      <c r="C47" s="40"/>
      <c r="D47" s="1069" t="s">
        <v>1714</v>
      </c>
      <c r="E47" s="235" t="s">
        <v>1715</v>
      </c>
      <c r="F47" s="41" t="s">
        <v>1716</v>
      </c>
      <c r="G47" s="2533" t="s">
        <v>1717</v>
      </c>
      <c r="H47" s="2948"/>
      <c r="I47" s="946"/>
      <c r="J47" s="2816"/>
      <c r="K47" s="2505">
        <v>2</v>
      </c>
      <c r="L47" s="3520" t="s">
        <v>2689</v>
      </c>
      <c r="M47" s="3520"/>
      <c r="N47" s="3522">
        <f>'数据-取费表'!B2</f>
        <v>44644</v>
      </c>
      <c r="O47" s="3522"/>
      <c r="P47" s="3522"/>
      <c r="Q47" s="1277"/>
    </row>
    <row r="48" spans="1:17" ht="25.5">
      <c r="A48" s="3464" t="s">
        <v>1719</v>
      </c>
      <c r="B48" s="3418"/>
      <c r="C48" s="3418"/>
      <c r="D48" s="12" t="e">
        <f ca="1">IF(H48="情况1",0,IF(H48="情况2",D52,IF(H48="情况3",D53,IF(H48="情况4",D54))))</f>
        <v>#REF!</v>
      </c>
      <c r="E48" s="2061" t="str">
        <f>IF(H48="情况4","(销售额-原购置价)×税（费）率","销售额×税（费）率")</f>
        <v>销售额×税（费）率</v>
      </c>
      <c r="F48" s="2534">
        <f>IF(H48="情况1","免征",'数据-取费表'!E29)</f>
        <v>5.5000000000000007E-2</v>
      </c>
      <c r="G48" s="2535" t="s">
        <v>1720</v>
      </c>
      <c r="H48" s="2536" t="s">
        <v>1721</v>
      </c>
      <c r="I48" s="2948"/>
      <c r="J48" s="2823"/>
      <c r="K48" s="2505">
        <v>3</v>
      </c>
      <c r="L48" s="3520" t="s">
        <v>2690</v>
      </c>
      <c r="M48" s="3520"/>
      <c r="N48" s="3521" t="e">
        <f ca="1">I102</f>
        <v>#REF!</v>
      </c>
      <c r="O48" s="3521"/>
      <c r="P48" s="3521"/>
      <c r="Q48" s="1277"/>
    </row>
    <row r="49" spans="1:17" ht="25.5" customHeight="1">
      <c r="A49" s="2060" t="s">
        <v>1723</v>
      </c>
      <c r="B49" s="3457" t="s">
        <v>1724</v>
      </c>
      <c r="C49" s="3457"/>
      <c r="D49" s="2537">
        <v>0</v>
      </c>
      <c r="E49" s="261" t="s">
        <v>1725</v>
      </c>
      <c r="F49" s="2538" t="s">
        <v>48</v>
      </c>
      <c r="G49" s="3514"/>
      <c r="H49" s="2539" t="s">
        <v>2764</v>
      </c>
      <c r="I49" s="2540"/>
      <c r="J49" s="2824"/>
      <c r="K49" s="2505">
        <v>4</v>
      </c>
      <c r="L49" s="3520" t="str">
        <f>IF(项目基本情况!F5="房地产抵押价值","房地产抵押价值","抵押担保权已注销时的房地产抵押价值")</f>
        <v>房地产抵押价值</v>
      </c>
      <c r="M49" s="3520"/>
      <c r="N49" s="3521" t="e">
        <f ca="1">IF(项目基本情况!F5="房地产抵押价值",I110,I112)</f>
        <v>#REF!</v>
      </c>
      <c r="O49" s="3521"/>
      <c r="P49" s="3521"/>
      <c r="Q49" s="1277"/>
    </row>
    <row r="50" spans="1:17" ht="25.5" customHeight="1">
      <c r="A50" s="2050"/>
      <c r="B50" s="3457" t="s">
        <v>1726</v>
      </c>
      <c r="C50" s="3457"/>
      <c r="D50" s="2541"/>
      <c r="E50" s="269"/>
      <c r="F50" s="2538"/>
      <c r="G50" s="3515"/>
      <c r="H50" s="2542" t="s">
        <v>2683</v>
      </c>
      <c r="I50" s="2540"/>
      <c r="J50" s="2824"/>
      <c r="K50" s="3520" t="s">
        <v>2691</v>
      </c>
      <c r="L50" s="3520"/>
      <c r="M50" s="3520"/>
      <c r="N50" s="3520"/>
      <c r="O50" s="3520"/>
      <c r="P50" s="3520"/>
      <c r="Q50" s="1277"/>
    </row>
    <row r="51" spans="1:17" ht="20.45" customHeight="1">
      <c r="A51" s="2543"/>
      <c r="B51" s="3457" t="s">
        <v>1728</v>
      </c>
      <c r="C51" s="3457"/>
      <c r="D51" s="1069"/>
      <c r="E51" s="264"/>
      <c r="F51" s="2538"/>
      <c r="G51" s="3516"/>
      <c r="H51" s="2542" t="s">
        <v>2684</v>
      </c>
      <c r="I51" s="2540"/>
      <c r="J51" s="2824"/>
      <c r="K51" s="2506" t="s">
        <v>2692</v>
      </c>
      <c r="L51" s="3520" t="s">
        <v>2693</v>
      </c>
      <c r="M51" s="3520"/>
      <c r="N51" s="2506" t="s">
        <v>2694</v>
      </c>
      <c r="O51" s="2506" t="s">
        <v>2695</v>
      </c>
      <c r="P51" s="2506" t="s">
        <v>2696</v>
      </c>
      <c r="Q51" s="1277"/>
    </row>
    <row r="52" spans="1:17" ht="24" customHeight="1">
      <c r="A52" s="2051" t="s">
        <v>1734</v>
      </c>
      <c r="B52" s="3457" t="s">
        <v>1735</v>
      </c>
      <c r="C52" s="3457"/>
      <c r="D52" s="1069" t="e">
        <f ca="1">ROUND(D45*'数据-取费表'!E29/(1+'数据-取费表'!F30),0)</f>
        <v>#REF!</v>
      </c>
      <c r="E52" s="2061" t="s">
        <v>1736</v>
      </c>
      <c r="F52" s="2544">
        <f>'数据-取费表'!E29</f>
        <v>5.5000000000000007E-2</v>
      </c>
      <c r="G52" s="2545"/>
      <c r="H52" s="946"/>
      <c r="I52" s="2949"/>
      <c r="J52" s="2824"/>
      <c r="K52" s="2505">
        <v>1</v>
      </c>
      <c r="L52" s="3487" t="s">
        <v>2697</v>
      </c>
      <c r="M52" s="3487"/>
      <c r="N52" s="2507" t="e">
        <f ca="1">D48</f>
        <v>#REF!</v>
      </c>
      <c r="O52" s="2505" t="str">
        <f>E48</f>
        <v>销售额×税（费）率</v>
      </c>
      <c r="P52" s="2508">
        <f>F48</f>
        <v>5.5000000000000007E-2</v>
      </c>
      <c r="Q52" s="1277"/>
    </row>
    <row r="53" spans="1:17" ht="12" customHeight="1">
      <c r="A53" s="2051" t="s">
        <v>1738</v>
      </c>
      <c r="B53" s="3419" t="s">
        <v>2776</v>
      </c>
      <c r="C53" s="3458"/>
      <c r="D53" s="1069" t="e">
        <f ca="1">ROUND(D45*'数据-取费表'!E29/(1+'数据-取费表'!F30),0)</f>
        <v>#REF!</v>
      </c>
      <c r="E53" s="2061" t="s">
        <v>1736</v>
      </c>
      <c r="F53" s="2544">
        <f>'数据-取费表'!E29</f>
        <v>5.5000000000000007E-2</v>
      </c>
      <c r="G53" s="2545"/>
      <c r="H53" s="946"/>
      <c r="I53" s="2949"/>
      <c r="J53" s="2824"/>
      <c r="K53" s="2505">
        <v>2</v>
      </c>
      <c r="L53" s="3487" t="s">
        <v>2698</v>
      </c>
      <c r="M53" s="3487"/>
      <c r="N53" s="2507">
        <f t="shared" ref="N53:P54" si="1">D55</f>
        <v>0</v>
      </c>
      <c r="O53" s="2505" t="str">
        <f t="shared" si="1"/>
        <v>销售额×税（费）率</v>
      </c>
      <c r="P53" s="2508" t="str">
        <f t="shared" si="1"/>
        <v>免征</v>
      </c>
      <c r="Q53" s="1277"/>
    </row>
    <row r="54" spans="1:17" ht="12" customHeight="1">
      <c r="A54" s="2051" t="s">
        <v>1740</v>
      </c>
      <c r="B54" s="3419" t="s">
        <v>2777</v>
      </c>
      <c r="C54" s="3458"/>
      <c r="D54" s="1069" t="e">
        <f ca="1">C68</f>
        <v>#REF!</v>
      </c>
      <c r="E54" s="264" t="s">
        <v>1741</v>
      </c>
      <c r="F54" s="2544">
        <f>'数据-取费表'!E29</f>
        <v>5.5000000000000007E-2</v>
      </c>
      <c r="G54" s="2545"/>
      <c r="H54" s="2950"/>
      <c r="I54" s="2949"/>
      <c r="J54" s="2824"/>
      <c r="K54" s="2505">
        <v>3</v>
      </c>
      <c r="L54" s="3487" t="s">
        <v>2699</v>
      </c>
      <c r="M54" s="3487"/>
      <c r="N54" s="2507">
        <f t="shared" si="1"/>
        <v>0</v>
      </c>
      <c r="O54" s="2505" t="str">
        <f t="shared" si="1"/>
        <v>增值额×税（费）率</v>
      </c>
      <c r="P54" s="2509" t="str">
        <f t="shared" si="1"/>
        <v>免征</v>
      </c>
      <c r="Q54" s="1277"/>
    </row>
    <row r="55" spans="1:17" ht="24" customHeight="1">
      <c r="A55" s="3417" t="s">
        <v>1743</v>
      </c>
      <c r="B55" s="3418"/>
      <c r="C55" s="3418"/>
      <c r="D55" s="12">
        <f>IF(H55="个人住宅",0,ROUND(D45*I55,0))</f>
        <v>0</v>
      </c>
      <c r="E55" s="2061" t="s">
        <v>1744</v>
      </c>
      <c r="F55" s="2544" t="str">
        <f>IF(H55="正常",I55,"免征")</f>
        <v>免征</v>
      </c>
      <c r="G55" s="2545"/>
      <c r="H55" s="2536" t="s">
        <v>2680</v>
      </c>
      <c r="I55" s="74">
        <f>'数据-取费表'!E37</f>
        <v>5.0000000000000001E-4</v>
      </c>
      <c r="J55" s="2824"/>
      <c r="K55" s="2505" t="str">
        <f>IF(H59="非个人房产","",4)</f>
        <v/>
      </c>
      <c r="L55" s="3487" t="str">
        <f>IF(H59="非个人房产","——","个人所得税")</f>
        <v>——</v>
      </c>
      <c r="M55" s="3487"/>
      <c r="N55" s="2510" t="str">
        <f>D59</f>
        <v>——</v>
      </c>
      <c r="O55" s="2511" t="str">
        <f>E59</f>
        <v>——</v>
      </c>
      <c r="P55" s="2512" t="str">
        <f>F59</f>
        <v>——</v>
      </c>
      <c r="Q55" s="1277"/>
    </row>
    <row r="56" spans="1:17" ht="24.75">
      <c r="A56" s="3417" t="s">
        <v>1746</v>
      </c>
      <c r="B56" s="3418"/>
      <c r="C56" s="3418"/>
      <c r="D56" s="12">
        <f>IF(H56="个人住宅",D57,D58)</f>
        <v>0</v>
      </c>
      <c r="E56" s="2061" t="s">
        <v>1747</v>
      </c>
      <c r="F56" s="2544" t="str">
        <f>IF(H56="正常",F58,"免征")</f>
        <v>免征</v>
      </c>
      <c r="G56" s="2546" t="s">
        <v>1748</v>
      </c>
      <c r="H56" s="2547" t="s">
        <v>2680</v>
      </c>
      <c r="I56" s="2951"/>
      <c r="J56" s="2824"/>
      <c r="K56" s="2505" t="str">
        <f>IF(项目基本情况!I6="上海银行",IF(K55="",4,K55+1),"")</f>
        <v/>
      </c>
      <c r="L56" s="3501" t="str">
        <f>IF(项目基本情况!I6="上海银行","其他处置费用","")</f>
        <v/>
      </c>
      <c r="M56" s="3502"/>
      <c r="N56" s="2507" t="str">
        <f>IF(项目基本情况!I6="上海银行",N69,"")</f>
        <v/>
      </c>
      <c r="O56" s="3501" t="str">
        <f>IF(项目基本情况!I6="上海银行","包含处置中涉及的律师、诉讼、拍卖、评估等费用","")</f>
        <v/>
      </c>
      <c r="P56" s="3513"/>
      <c r="Q56" s="1277"/>
    </row>
    <row r="57" spans="1:17" ht="12.75">
      <c r="A57" s="2051" t="s">
        <v>1723</v>
      </c>
      <c r="B57" s="3419" t="s">
        <v>1749</v>
      </c>
      <c r="C57" s="3458"/>
      <c r="D57" s="2537">
        <v>0</v>
      </c>
      <c r="E57" s="261" t="s">
        <v>1725</v>
      </c>
      <c r="F57" s="235"/>
      <c r="G57" s="2545"/>
      <c r="H57" s="2951"/>
      <c r="I57" s="2951"/>
      <c r="J57" s="2824"/>
      <c r="K57" s="3487">
        <f>IF(AND(K55="",K56=""),4,IF(项目基本情况!I6="上海银行",K56+1,K55+1))</f>
        <v>4</v>
      </c>
      <c r="L57" s="3487" t="s">
        <v>2700</v>
      </c>
      <c r="M57" s="2513" t="s">
        <v>2701</v>
      </c>
      <c r="N57" s="2514"/>
      <c r="O57" s="2515">
        <f ca="1">SUMIF(N52:N56,"&lt;9e307")</f>
        <v>0</v>
      </c>
      <c r="P57" s="2516"/>
      <c r="Q57" s="1275" t="e">
        <f ca="1">O57/N49</f>
        <v>#REF!</v>
      </c>
    </row>
    <row r="58" spans="1:17" ht="24.75">
      <c r="A58" s="2051" t="s">
        <v>1734</v>
      </c>
      <c r="B58" s="3419" t="s">
        <v>1752</v>
      </c>
      <c r="C58" s="3457"/>
      <c r="D58" s="12" t="e">
        <f ca="1">IF(H58="转让取得",C81,C97)</f>
        <v>#REF!</v>
      </c>
      <c r="E58" s="2061" t="s">
        <v>1747</v>
      </c>
      <c r="F58" s="235" t="s">
        <v>48</v>
      </c>
      <c r="G58" s="2545"/>
      <c r="H58" s="2547" t="s">
        <v>1753</v>
      </c>
      <c r="I58" s="2951"/>
      <c r="J58" s="2824"/>
      <c r="K58" s="3487"/>
      <c r="L58" s="3487"/>
      <c r="M58" s="2513" t="s">
        <v>2702</v>
      </c>
      <c r="N58" s="2517"/>
      <c r="O58" s="2518" t="str">
        <f ca="1">IF(H19="元",NUMBERSTRING(INT(O57),2)&amp;"元整",NUMBERSTRING(INT(O57*10000),2)&amp;"元整")</f>
        <v>零元整</v>
      </c>
      <c r="P58" s="2519"/>
      <c r="Q58" s="1277"/>
    </row>
    <row r="59" spans="1:17" ht="24.75" thickBot="1">
      <c r="A59" s="3441" t="s">
        <v>1755</v>
      </c>
      <c r="B59" s="3442"/>
      <c r="C59" s="3442"/>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2755</v>
      </c>
      <c r="H59" s="2065" t="s">
        <v>2765</v>
      </c>
      <c r="I59" s="2853" t="s">
        <v>2766</v>
      </c>
      <c r="J59" s="2824"/>
      <c r="K59" s="3485">
        <f>K57+1</f>
        <v>5</v>
      </c>
      <c r="L59" s="3487" t="s">
        <v>2703</v>
      </c>
      <c r="M59" s="2505" t="s">
        <v>2701</v>
      </c>
      <c r="N59" s="2520"/>
      <c r="O59" s="2521" t="e">
        <f ca="1">N49-O57</f>
        <v>#REF!</v>
      </c>
      <c r="P59" s="2522"/>
      <c r="Q59" s="1277"/>
    </row>
    <row r="60" spans="1:17" ht="12" customHeight="1">
      <c r="A60" s="1426"/>
      <c r="B60" s="1430"/>
      <c r="C60" s="1430"/>
      <c r="D60" s="1430"/>
      <c r="E60" s="811"/>
      <c r="F60" s="2952"/>
      <c r="G60" s="2952"/>
      <c r="H60" s="2953"/>
      <c r="I60" s="31"/>
      <c r="K60" s="3486"/>
      <c r="L60" s="3487"/>
      <c r="M60" s="2513" t="s">
        <v>2702</v>
      </c>
      <c r="N60" s="2517"/>
      <c r="O60" s="2518" t="e">
        <f ca="1">IF(H19="元",NUMBERSTRING(INT(O59),2)&amp;"元整",NUMBERSTRING(INT(O59*10000),2)&amp;"元整")</f>
        <v>#REF!</v>
      </c>
      <c r="P60" s="2519"/>
      <c r="Q60" s="1277"/>
    </row>
    <row r="61" spans="1:17" ht="13.5" thickBot="1">
      <c r="A61" s="3467" t="s">
        <v>1757</v>
      </c>
      <c r="B61" s="3467"/>
      <c r="C61" s="3467"/>
      <c r="D61" s="3467"/>
      <c r="E61" s="3467"/>
      <c r="F61" s="2952"/>
      <c r="G61" s="2952"/>
      <c r="H61" s="2954"/>
      <c r="I61" s="31"/>
      <c r="K61" s="2505">
        <f>K59+1</f>
        <v>6</v>
      </c>
      <c r="L61" s="3487" t="s">
        <v>2704</v>
      </c>
      <c r="M61" s="3487"/>
      <c r="N61" s="2523"/>
      <c r="O61" s="2524" t="e">
        <f ca="1">IF(H19="元",ROUND(O59/项目基本情况!C12,0),ROUND(O59*10000/项目基本情况!C12,0))</f>
        <v>#REF!</v>
      </c>
      <c r="P61" s="2525"/>
      <c r="Q61" s="1277"/>
    </row>
    <row r="62" spans="1:17" ht="12.75">
      <c r="A62" s="3476" t="s">
        <v>1759</v>
      </c>
      <c r="B62" s="3477"/>
      <c r="C62" s="1576"/>
      <c r="D62" s="1576" t="s">
        <v>1760</v>
      </c>
      <c r="E62" s="45" t="s">
        <v>1761</v>
      </c>
      <c r="F62" s="2952"/>
      <c r="G62" s="2952"/>
      <c r="H62" s="2954"/>
      <c r="I62" s="31"/>
      <c r="K62" s="2526"/>
      <c r="L62" s="2526"/>
      <c r="M62" s="2526"/>
      <c r="N62" s="2526"/>
      <c r="O62" s="2526"/>
      <c r="P62" s="2526"/>
      <c r="Q62" s="1277"/>
    </row>
    <row r="63" spans="1:17" ht="12.75">
      <c r="A63" s="46">
        <v>1</v>
      </c>
      <c r="B63" s="47" t="s">
        <v>1762</v>
      </c>
      <c r="C63" s="2755" t="e">
        <f ca="1">ROUND((C64+C65)/(1+'数据-取费表'!F30),0)</f>
        <v>#REF!</v>
      </c>
      <c r="D63" s="47"/>
      <c r="E63" s="48"/>
      <c r="F63" s="2952"/>
      <c r="G63" s="2952"/>
      <c r="H63" s="2954"/>
      <c r="I63" s="31"/>
      <c r="K63" s="3503" t="s">
        <v>2705</v>
      </c>
      <c r="L63" s="2527" t="s">
        <v>2706</v>
      </c>
      <c r="M63" s="2527" t="e">
        <f ca="1">IF(N49&gt;10000,N49*0.5%,IF(AND(N49&gt;1000,N49&lt;=10000),N49*1%,IF(AND(N49&gt;100,N49&lt;=1000),N49*3%,IF(AND(N49&gt;10,N49&lt;=100),N49*5%,N49*8%))))</f>
        <v>#REF!</v>
      </c>
      <c r="N63" s="2528" t="e">
        <f ca="1">ROUND(M63,1)</f>
        <v>#REF!</v>
      </c>
      <c r="O63" s="2526"/>
      <c r="P63" s="2526"/>
      <c r="Q63" s="1277"/>
    </row>
    <row r="64" spans="1:17" ht="12.75">
      <c r="A64" s="49" t="s">
        <v>71</v>
      </c>
      <c r="B64" s="50" t="s">
        <v>1765</v>
      </c>
      <c r="C64" s="2756" t="e">
        <f ca="1">D45</f>
        <v>#REF!</v>
      </c>
      <c r="D64" s="50" t="s">
        <v>41</v>
      </c>
      <c r="E64" s="52"/>
      <c r="F64" s="2952"/>
      <c r="G64" s="2952"/>
      <c r="H64" s="2954"/>
      <c r="I64" s="31"/>
      <c r="K64" s="3503"/>
      <c r="L64" s="2527" t="s">
        <v>2707</v>
      </c>
      <c r="M64" s="2527" t="e">
        <f ca="1">IF(N49&gt;2000,N49*0.5%,IF(AND(N49&gt;1000,N49&lt;=2000),N49*0.6%,IF(AND(N49&gt;500,N49&lt;=1000),N49*0.7%,IF(AND(N49&gt;200,N49&lt;=500),N49*0.8%,IF(AND(N49&gt;100,N49&lt;=200),N49*0.9%,IF(AND(N49&gt;50,N49&lt;=100),N49*1%,IF(AND(N49&gt;20,N49&lt;=50),N49*1.5%,IF(AND(N49&gt;10,N49&lt;=20),N49*2%,IF(AND(N49&gt;1,N49&lt;=10),N49*2.5%)))))))))</f>
        <v>#REF!</v>
      </c>
      <c r="N64" s="2528" t="e">
        <f t="shared" ref="N64:N65" ca="1" si="2">ROUND(M64,1)</f>
        <v>#REF!</v>
      </c>
      <c r="O64" s="2526" t="s">
        <v>2708</v>
      </c>
      <c r="P64" s="2526"/>
      <c r="Q64" s="1277"/>
    </row>
    <row r="65" spans="1:36" ht="12.75">
      <c r="A65" s="49" t="s">
        <v>72</v>
      </c>
      <c r="B65" s="50" t="s">
        <v>1768</v>
      </c>
      <c r="C65" s="2757"/>
      <c r="D65" s="50"/>
      <c r="E65" s="52"/>
      <c r="F65" s="2952"/>
      <c r="G65" s="2952"/>
      <c r="H65" s="2954"/>
      <c r="I65" s="31"/>
      <c r="K65" s="3503"/>
      <c r="L65" s="2527" t="s">
        <v>2709</v>
      </c>
      <c r="M65" s="2527" t="e">
        <f ca="1">IF(N49&gt;1000,N49*0.1%,IF(AND(N49&gt;500,N49&lt;=1000),N49*0.5%,IF(AND(N49&gt;50,N49&lt;=500),N49*1%,IF(AND(N49&gt;1,N49&lt;=50),N49*1.5%))))</f>
        <v>#REF!</v>
      </c>
      <c r="N65" s="2528" t="e">
        <f t="shared" ca="1" si="2"/>
        <v>#REF!</v>
      </c>
      <c r="O65" s="2526" t="s">
        <v>2708</v>
      </c>
      <c r="P65" s="2526"/>
      <c r="Q65" s="1277"/>
    </row>
    <row r="66" spans="1:36" ht="12.75">
      <c r="A66" s="53" t="s">
        <v>47</v>
      </c>
      <c r="B66" s="54" t="s">
        <v>1770</v>
      </c>
      <c r="C66" s="2758"/>
      <c r="D66" s="54" t="s">
        <v>41</v>
      </c>
      <c r="E66" s="1285" t="s">
        <v>1771</v>
      </c>
      <c r="F66" s="2952"/>
      <c r="G66" s="2952"/>
      <c r="H66" s="2954"/>
      <c r="I66" s="31"/>
      <c r="K66" s="3503"/>
      <c r="L66" s="2527" t="s">
        <v>2710</v>
      </c>
      <c r="M66" s="2527" t="e">
        <f ca="1">N49*0.5%</f>
        <v>#REF!</v>
      </c>
      <c r="N66" s="2528" t="e">
        <f ca="1">IF(M66&gt;0.5,0.5,ROUND(M66,0))</f>
        <v>#REF!</v>
      </c>
      <c r="O66" s="2526" t="s">
        <v>2711</v>
      </c>
      <c r="P66" s="2526"/>
      <c r="Q66" s="1277"/>
    </row>
    <row r="67" spans="1:36" ht="12.75">
      <c r="A67" s="53" t="s">
        <v>42</v>
      </c>
      <c r="B67" s="54" t="s">
        <v>1774</v>
      </c>
      <c r="C67" s="2759" t="e">
        <f ca="1">C63-C66</f>
        <v>#REF!</v>
      </c>
      <c r="D67" s="50" t="s">
        <v>41</v>
      </c>
      <c r="E67" s="52"/>
      <c r="F67" s="2952"/>
      <c r="G67" s="2952"/>
      <c r="H67" s="2954"/>
      <c r="I67" s="31"/>
      <c r="K67" s="3503"/>
      <c r="L67" s="2527" t="s">
        <v>2712</v>
      </c>
      <c r="M67" s="2527" t="e">
        <f ca="1">IF(N49&gt;=10000,(8.25+(N49-10000)*0.01%),IF(AND(N49&gt;=8000,N49&lt;10000),(7.85+(N49-8000)*0.02%),IF(AND(N49&gt;=5000,N49&lt;8000),(6.65+(N49-5000)*0.04%),IF(AND(N49&gt;=2000,N49&lt;5000),(4.25+(PN49-2000)*0.08%),IF(AND(N49&gt;=1000,N49&lt;2000),(2.75+(N49-1000)*0.15%),IF(AND(N49&gt;=100,N49&lt;1000),(0.5+(N49-100)*0.25%),IF(AND(N49&gt;0,N49&lt;100),N49*0.5%)))))))</f>
        <v>#REF!</v>
      </c>
      <c r="N67" s="2528" t="e">
        <f ca="1">ROUND(M67*0.9,1)</f>
        <v>#REF!</v>
      </c>
      <c r="O67" s="2526"/>
      <c r="P67" s="2526"/>
      <c r="Q67" s="1277"/>
    </row>
    <row r="68" spans="1:36" ht="13.5" thickBot="1">
      <c r="A68" s="55" t="s">
        <v>46</v>
      </c>
      <c r="B68" s="56" t="s">
        <v>1776</v>
      </c>
      <c r="C68" s="2760" t="e">
        <f ca="1">IF(C67&lt;=0,0,ROUND(C67*D68,0))</f>
        <v>#REF!</v>
      </c>
      <c r="D68" s="2211">
        <f>'数据-取费表'!E29</f>
        <v>5.5000000000000007E-2</v>
      </c>
      <c r="E68" s="57"/>
      <c r="F68" s="2952"/>
      <c r="G68" s="2952"/>
      <c r="H68" s="2954"/>
      <c r="I68" s="31"/>
      <c r="K68" s="3503"/>
      <c r="L68" s="2527" t="s">
        <v>2713</v>
      </c>
      <c r="M68" s="2527" t="e">
        <f ca="1">IF(N49&gt;10000,N49*0.5%,IF(AND(N49&gt;5000,N49&lt;=10000),N49*1%,IF(AND(N49&gt;1000,N49&lt;=5000),N49*2%,IF(AND(N49&gt;200,N49&lt;=1000),N49*3%,N49*5%))))</f>
        <v>#REF!</v>
      </c>
      <c r="N68" s="2528" t="e">
        <f ca="1">ROUND(M68,1)</f>
        <v>#REF!</v>
      </c>
      <c r="O68" s="2526"/>
      <c r="P68" s="2526"/>
      <c r="Q68" s="1277"/>
    </row>
    <row r="69" spans="1:36" s="1434" customFormat="1" ht="7.5" customHeight="1">
      <c r="A69" s="1446"/>
      <c r="B69" s="1447"/>
      <c r="C69" s="1448"/>
      <c r="D69" s="1449"/>
      <c r="E69" s="1450"/>
      <c r="F69" s="811"/>
      <c r="G69" s="811"/>
      <c r="H69" s="1439"/>
      <c r="I69" s="1430"/>
      <c r="J69" s="2812"/>
      <c r="K69" s="3503"/>
      <c r="L69" s="2527" t="s">
        <v>54</v>
      </c>
      <c r="M69" s="2527"/>
      <c r="N69" s="2528" t="e">
        <f ca="1">ROUND(SUM(N63:N68),0)</f>
        <v>#REF!</v>
      </c>
      <c r="O69" s="2529" t="e">
        <f ca="1">N69/N49</f>
        <v>#REF!</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79" t="s">
        <v>1779</v>
      </c>
      <c r="B70" s="3480"/>
      <c r="C70" s="3480"/>
      <c r="D70" s="3480"/>
      <c r="E70" s="3480"/>
      <c r="F70" s="3480"/>
      <c r="G70" s="3480"/>
      <c r="H70" s="3480"/>
      <c r="I70" s="1451"/>
      <c r="J70" s="282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76" t="s">
        <v>1759</v>
      </c>
      <c r="B71" s="3477"/>
      <c r="C71" s="1576"/>
      <c r="D71" s="1576" t="s">
        <v>1760</v>
      </c>
      <c r="E71" s="58" t="s">
        <v>1761</v>
      </c>
      <c r="F71" s="59"/>
      <c r="G71" s="59"/>
      <c r="H71" s="60"/>
      <c r="I71" s="1454"/>
      <c r="J71" s="282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59" t="e">
        <f ca="1">ROUND(D45/(1+'数据-取费表'!F30),0)</f>
        <v>#REF!</v>
      </c>
      <c r="D72" s="50" t="s">
        <v>41</v>
      </c>
      <c r="E72" s="12" t="s">
        <v>1781</v>
      </c>
      <c r="F72" s="2058"/>
      <c r="G72" s="2058"/>
      <c r="H72" s="62"/>
      <c r="I72" s="1454"/>
      <c r="J72" s="282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59" t="e">
        <f ca="1">C74+C78</f>
        <v>#REF!</v>
      </c>
      <c r="D73" s="50" t="s">
        <v>41</v>
      </c>
      <c r="E73" s="2057"/>
      <c r="F73" s="2058"/>
      <c r="G73" s="2058"/>
      <c r="H73" s="62"/>
      <c r="I73" s="1454"/>
      <c r="J73" s="282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19" t="s">
        <v>1789</v>
      </c>
      <c r="F76" s="3457"/>
      <c r="G76" s="3457"/>
      <c r="H76" s="3471"/>
      <c r="I76" s="1454"/>
      <c r="J76" s="282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67" t="e">
        <f ca="1">ROUND(D45*D78/(1+'数据-取费表'!F30),0)</f>
        <v>#REF!</v>
      </c>
      <c r="D78" s="2768">
        <f>'数据-取费表'!E31</f>
        <v>5.000000000000001E-3</v>
      </c>
      <c r="E78" s="3451" t="s">
        <v>1794</v>
      </c>
      <c r="F78" s="3452"/>
      <c r="G78" s="3452"/>
      <c r="H78" s="3453"/>
      <c r="I78" s="1456"/>
      <c r="J78" s="282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59" t="e">
        <f ca="1">C72-C73</f>
        <v>#REF!</v>
      </c>
      <c r="D79" s="50" t="s">
        <v>41</v>
      </c>
      <c r="E79" s="2057"/>
      <c r="F79" s="2058"/>
      <c r="G79" s="2058"/>
      <c r="H79" s="62"/>
      <c r="I79" s="1454"/>
      <c r="J79" s="282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6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2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7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2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79" t="s">
        <v>1798</v>
      </c>
      <c r="B83" s="3480"/>
      <c r="C83" s="3480"/>
      <c r="D83" s="3480"/>
      <c r="E83" s="3480"/>
      <c r="F83" s="3480"/>
      <c r="G83" s="3480"/>
      <c r="H83" s="3480"/>
      <c r="I83" s="9"/>
      <c r="J83" s="282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76" t="s">
        <v>1759</v>
      </c>
      <c r="B84" s="3477"/>
      <c r="C84" s="1576"/>
      <c r="D84" s="1576" t="s">
        <v>1760</v>
      </c>
      <c r="E84" s="58" t="s">
        <v>1761</v>
      </c>
      <c r="F84" s="59"/>
      <c r="G84" s="59"/>
      <c r="H84" s="72"/>
      <c r="I84" s="9"/>
      <c r="J84" s="282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59" t="e">
        <f ca="1">ROUND(D45/(1+'数据-取费表'!F30),0)</f>
        <v>#REF!</v>
      </c>
      <c r="D85" s="50" t="s">
        <v>41</v>
      </c>
      <c r="E85" s="2057" t="s">
        <v>1781</v>
      </c>
      <c r="F85" s="2058"/>
      <c r="G85" s="2058"/>
      <c r="H85" s="73"/>
      <c r="I85" s="9"/>
      <c r="J85" s="282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59" t="e">
        <f ca="1">IF(H88="仅含出让金",C87+C90+C91+C92+C93+C94,C87+C91+C92+C93+C94)</f>
        <v>#REF!</v>
      </c>
      <c r="D86" s="2771"/>
      <c r="E86" s="2057"/>
      <c r="F86" s="2058"/>
      <c r="G86" s="2058"/>
      <c r="H86" s="73"/>
      <c r="I86" s="9"/>
      <c r="J86" s="282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2759</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512" t="s">
        <v>2675</v>
      </c>
      <c r="H90" s="3512"/>
      <c r="I90" s="9"/>
      <c r="J90" s="2827"/>
      <c r="K90" s="2943" t="s">
        <v>2760</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51" t="s">
        <v>1806</v>
      </c>
      <c r="F91" s="3452"/>
      <c r="G91" s="3452"/>
      <c r="H91" s="1458" t="s">
        <v>1807</v>
      </c>
      <c r="I91" s="1459"/>
      <c r="J91" s="282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51" t="s">
        <v>1809</v>
      </c>
      <c r="F92" s="3452"/>
      <c r="G92" s="3452"/>
      <c r="H92" s="3453"/>
      <c r="I92" s="9"/>
      <c r="J92" s="2827"/>
      <c r="K92" s="2944" t="s">
        <v>2761</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67" t="e">
        <f ca="1">ROUND(D45*D93/(1+'数据-取费表'!F30),0)</f>
        <v>#REF!</v>
      </c>
      <c r="D93" s="2768">
        <f>'数据-取费表'!E31</f>
        <v>5.000000000000001E-3</v>
      </c>
      <c r="E93" s="3451" t="s">
        <v>1794</v>
      </c>
      <c r="F93" s="3452"/>
      <c r="G93" s="3452"/>
      <c r="H93" s="3453"/>
      <c r="I93" s="9"/>
      <c r="J93" s="282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51" t="s">
        <v>1811</v>
      </c>
      <c r="F94" s="3452"/>
      <c r="G94" s="3452"/>
      <c r="H94" s="3453"/>
      <c r="I94" s="9"/>
      <c r="J94" s="282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59" t="e">
        <f ca="1">ROUND(C85-C86,0)</f>
        <v>#REF!</v>
      </c>
      <c r="D95" s="50" t="s">
        <v>41</v>
      </c>
      <c r="E95" s="2057"/>
      <c r="F95" s="2058"/>
      <c r="G95" s="2058"/>
      <c r="H95" s="73"/>
      <c r="I95" s="9"/>
      <c r="J95" s="282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6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2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7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98" t="s">
        <v>1813</v>
      </c>
      <c r="B99" s="3499"/>
      <c r="C99" s="3499"/>
      <c r="D99" s="3500"/>
      <c r="E99" s="1430"/>
      <c r="F99" s="3507" t="s">
        <v>1814</v>
      </c>
      <c r="G99" s="3508"/>
      <c r="H99" s="3508"/>
      <c r="I99" s="3509"/>
      <c r="J99" s="2830"/>
    </row>
    <row r="100" spans="1:36" ht="15">
      <c r="A100" s="3510" t="s">
        <v>1815</v>
      </c>
      <c r="B100" s="3511"/>
      <c r="C100" s="1276">
        <f>C4</f>
        <v>0</v>
      </c>
      <c r="D100" s="2778">
        <f>D4</f>
        <v>0</v>
      </c>
      <c r="E100" s="1430"/>
      <c r="F100" s="3422" t="s">
        <v>2719</v>
      </c>
      <c r="G100" s="3423"/>
      <c r="H100" s="3422" t="s">
        <v>2720</v>
      </c>
      <c r="I100" s="3421"/>
      <c r="J100" s="2831"/>
    </row>
    <row r="101" spans="1:36" ht="12.75">
      <c r="A101" s="3490" t="s">
        <v>2752</v>
      </c>
      <c r="B101" s="2276" t="str">
        <f>IF(H19="元","总价（元）","总价（万元）")</f>
        <v>总价（元）</v>
      </c>
      <c r="C101" s="1276" t="e">
        <f ca="1">C19</f>
        <v>#REF!</v>
      </c>
      <c r="D101" s="2778" t="e">
        <f ca="1">D19</f>
        <v>#REF!</v>
      </c>
      <c r="E101" s="1430"/>
      <c r="F101" s="3422" t="str">
        <f>项目基本情况!I1</f>
        <v>北京市房地产</v>
      </c>
      <c r="G101" s="3423"/>
      <c r="H101" s="3420">
        <f>项目基本情况!C12</f>
        <v>447.86</v>
      </c>
      <c r="I101" s="3421"/>
      <c r="J101" s="2831"/>
    </row>
    <row r="102" spans="1:36" ht="12.75">
      <c r="A102" s="3490"/>
      <c r="B102" s="2276" t="s">
        <v>2753</v>
      </c>
      <c r="C102" s="2779" t="e">
        <f ca="1">C20</f>
        <v>#REF!</v>
      </c>
      <c r="D102" s="2780" t="e">
        <f ca="1">D20</f>
        <v>#REF!</v>
      </c>
      <c r="E102" s="1430"/>
      <c r="F102" s="3432" t="s">
        <v>2749</v>
      </c>
      <c r="G102" s="3433"/>
      <c r="H102" s="2788" t="str">
        <f>C106</f>
        <v>总价（元）</v>
      </c>
      <c r="I102" s="2789" t="e">
        <f ca="1">H121</f>
        <v>#REF!</v>
      </c>
      <c r="J102" s="2831"/>
    </row>
    <row r="103" spans="1:36" ht="12.75">
      <c r="A103" s="3490" t="s">
        <v>2754</v>
      </c>
      <c r="B103" s="2214" t="str">
        <f>B101</f>
        <v>总价（元）</v>
      </c>
      <c r="C103" s="2783" t="e">
        <f ca="1">H121</f>
        <v>#REF!</v>
      </c>
      <c r="D103" s="2781"/>
      <c r="E103" s="1430"/>
      <c r="F103" s="3432"/>
      <c r="G103" s="3433"/>
      <c r="H103" s="2788" t="s">
        <v>2722</v>
      </c>
      <c r="I103" s="52" t="e">
        <f ca="1">I121</f>
        <v>#REF!</v>
      </c>
      <c r="J103" s="2815"/>
    </row>
    <row r="104" spans="1:36" ht="13.5" thickBot="1">
      <c r="A104" s="3491"/>
      <c r="B104" s="2785" t="s">
        <v>2753</v>
      </c>
      <c r="C104" s="2786" t="e">
        <f ca="1">I121</f>
        <v>#REF!</v>
      </c>
      <c r="D104" s="2787"/>
      <c r="E104" s="1430"/>
      <c r="F104" s="3432"/>
      <c r="G104" s="3433"/>
      <c r="H104" s="3492"/>
      <c r="I104" s="3493"/>
      <c r="J104" s="2832"/>
    </row>
    <row r="105" spans="1:36" ht="15">
      <c r="A105" s="3498" t="s">
        <v>1816</v>
      </c>
      <c r="B105" s="3499"/>
      <c r="C105" s="3499"/>
      <c r="D105" s="3500"/>
      <c r="E105" s="1430"/>
      <c r="F105" s="3496" t="s">
        <v>2723</v>
      </c>
      <c r="G105" s="3497"/>
      <c r="H105" s="2790" t="str">
        <f>C108</f>
        <v>总额（元）</v>
      </c>
      <c r="I105" s="2789">
        <f>SUMIF(I106:I108,"&lt;9E307")</f>
        <v>0</v>
      </c>
      <c r="J105" s="2831"/>
    </row>
    <row r="106" spans="1:36" ht="14.25">
      <c r="A106" s="3432" t="s">
        <v>2746</v>
      </c>
      <c r="B106" s="3433"/>
      <c r="C106" s="2788" t="str">
        <f>B101</f>
        <v>总价（元）</v>
      </c>
      <c r="D106" s="2789" t="e">
        <f ca="1">H121</f>
        <v>#REF!</v>
      </c>
      <c r="E106" s="1430"/>
      <c r="F106" s="3434" t="s">
        <v>2724</v>
      </c>
      <c r="G106" s="3435"/>
      <c r="H106" s="2790" t="str">
        <f>C109</f>
        <v>总额（元）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32"/>
      <c r="B107" s="3433"/>
      <c r="C107" s="2788" t="s">
        <v>2747</v>
      </c>
      <c r="D107" s="52" t="e">
        <f ca="1">I121</f>
        <v>#REF!</v>
      </c>
      <c r="E107" s="1430"/>
      <c r="F107" s="3434" t="s">
        <v>2725</v>
      </c>
      <c r="G107" s="3435"/>
      <c r="H107" s="2790" t="str">
        <f>C110</f>
        <v>总额（元）</v>
      </c>
      <c r="I107" s="52">
        <f>C37</f>
        <v>0</v>
      </c>
      <c r="J107" s="2815"/>
    </row>
    <row r="108" spans="1:36" ht="12.75">
      <c r="A108" s="3439" t="s">
        <v>2723</v>
      </c>
      <c r="B108" s="3440"/>
      <c r="C108" s="2790" t="str">
        <f>IF(H19="元","总额（元）","总额（万元）")</f>
        <v>总额（元）</v>
      </c>
      <c r="D108" s="2789">
        <f>IF(D36="正常操作",I106+I107+I108,I107+I108)</f>
        <v>0</v>
      </c>
      <c r="E108" s="1430"/>
      <c r="F108" s="3434" t="s">
        <v>2750</v>
      </c>
      <c r="G108" s="3435"/>
      <c r="H108" s="2790" t="str">
        <f>C111</f>
        <v>总额（元）</v>
      </c>
      <c r="I108" s="52">
        <f>C38</f>
        <v>0</v>
      </c>
      <c r="J108" s="2815"/>
    </row>
    <row r="109" spans="1:36" ht="12.75">
      <c r="A109" s="3434" t="s">
        <v>2724</v>
      </c>
      <c r="B109" s="3435"/>
      <c r="C109" s="2790" t="str">
        <f>C108</f>
        <v>总额（元）</v>
      </c>
      <c r="D109" s="52">
        <f>IF(D36="同一抵押权人同一抵押物续贷",C36&amp;"（未扣减，详见特别提示）",C36)</f>
        <v>0</v>
      </c>
      <c r="E109" s="1430"/>
      <c r="F109" s="3432"/>
      <c r="G109" s="3433"/>
      <c r="H109" s="3494"/>
      <c r="I109" s="3495"/>
      <c r="J109" s="2833"/>
    </row>
    <row r="110" spans="1:36" ht="28.5" customHeight="1">
      <c r="A110" s="3434" t="s">
        <v>2748</v>
      </c>
      <c r="B110" s="3435"/>
      <c r="C110" s="2790" t="str">
        <f>C108</f>
        <v>总额（元）</v>
      </c>
      <c r="D110" s="52">
        <f>C37</f>
        <v>0</v>
      </c>
      <c r="E110" s="1430"/>
      <c r="F110" s="3424" t="str">
        <f>IF(项目基本情况!F5="已注销","——","3.房地产抵押价值")</f>
        <v>3.房地产抵押价值</v>
      </c>
      <c r="G110" s="3425"/>
      <c r="H110" s="2776" t="str">
        <f>C112</f>
        <v>总价（元）</v>
      </c>
      <c r="I110" s="2789" t="e">
        <f ca="1">IF(F110="——","——",I102-I105)</f>
        <v>#REF!</v>
      </c>
      <c r="J110" s="2831"/>
    </row>
    <row r="111" spans="1:36" ht="12.75">
      <c r="A111" s="3434" t="s">
        <v>2727</v>
      </c>
      <c r="B111" s="3435"/>
      <c r="C111" s="2790" t="str">
        <f>C108</f>
        <v>总额（元）</v>
      </c>
      <c r="D111" s="52">
        <f>C38</f>
        <v>0</v>
      </c>
      <c r="E111" s="1430"/>
      <c r="F111" s="3523"/>
      <c r="G111" s="3524"/>
      <c r="H111" s="2788" t="s">
        <v>2722</v>
      </c>
      <c r="I111" s="2792" t="e">
        <f ca="1">D113</f>
        <v>#REF!</v>
      </c>
      <c r="J111" s="2834"/>
    </row>
    <row r="112" spans="1:36" ht="26.25" customHeight="1">
      <c r="A112" s="3432" t="str">
        <f>IF(项目基本情况!F5="已注销","——","3.房地产抵押价值")</f>
        <v>3.房地产抵押价值</v>
      </c>
      <c r="B112" s="3433"/>
      <c r="C112" s="2788" t="str">
        <f>B101</f>
        <v>总价（元）</v>
      </c>
      <c r="D112" s="2789" t="e">
        <f ca="1">IF(A112="——","——",D106-D108)</f>
        <v>#REF!</v>
      </c>
      <c r="E112" s="1430"/>
      <c r="F112" s="3424" t="str">
        <f>IF(项目基本情况!F5="已注销及未注销","4.抵押担保权已注销时的房地产抵押价值",IF(项目基本情况!F5="已注销","3.抵押担保权已注销时的房地产抵押价值","——"))</f>
        <v>——</v>
      </c>
      <c r="G112" s="3425"/>
      <c r="H112" s="2776" t="str">
        <f>C114</f>
        <v>总价（元）</v>
      </c>
      <c r="I112" s="2789" t="str">
        <f>IF(F112="——","——",I102-I107-I108)</f>
        <v>——</v>
      </c>
      <c r="J112" s="2831"/>
    </row>
    <row r="113" spans="1:16" ht="12.75">
      <c r="A113" s="3432"/>
      <c r="B113" s="3433"/>
      <c r="C113" s="2788" t="s">
        <v>2715</v>
      </c>
      <c r="D113" s="52" t="e">
        <f ca="1">ROUND(IF(D112=D106,D107,IF(H19="元",D112/项目基本情况!C12,D112*10000/项目基本情况!C12)),0)</f>
        <v>#REF!</v>
      </c>
      <c r="E113" s="1430"/>
      <c r="F113" s="3523"/>
      <c r="G113" s="3524"/>
      <c r="H113" s="2788" t="s">
        <v>2751</v>
      </c>
      <c r="I113" s="52" t="str">
        <f>D115</f>
        <v>——</v>
      </c>
      <c r="J113" s="2815"/>
    </row>
    <row r="114" spans="1:16" ht="12.75">
      <c r="A114" s="3432" t="str">
        <f>IF(项目基本情况!F5="已注销及未注销","4.抵押担保权已注销时的房地产抵押价值",IF(项目基本情况!F5="已注销","3.抵押担保权已注销时的房地产抵押价值","——"))</f>
        <v>——</v>
      </c>
      <c r="B114" s="3433"/>
      <c r="C114" s="2788" t="str">
        <f>B101</f>
        <v>总价（元）</v>
      </c>
      <c r="D114" s="2789" t="str">
        <f>IF(A114="——","——",D106-D110-D111)</f>
        <v>——</v>
      </c>
      <c r="E114" s="1430"/>
      <c r="F114" s="3424" t="str">
        <f>IF(项目基本情况!G5="抵押净值",IF(OR(项目基本情况!F5="已注销",项目基本情况!F5="房地产抵押价值"),"4.抵押净值","5.抵押净值"),"——")</f>
        <v>——</v>
      </c>
      <c r="G114" s="3425"/>
      <c r="H114" s="2788" t="str">
        <f>C116</f>
        <v>总价（元）</v>
      </c>
      <c r="I114" s="2789" t="str">
        <f>IF(F114="——","——",O59)</f>
        <v>——</v>
      </c>
      <c r="J114" s="2831"/>
    </row>
    <row r="115" spans="1:16" ht="13.5" thickBot="1">
      <c r="A115" s="3432"/>
      <c r="B115" s="3433"/>
      <c r="C115" s="2788" t="s">
        <v>2715</v>
      </c>
      <c r="D115" s="52" t="str">
        <f>IF(A114="——","——",ROUND(IF(D114=D106,D107,IF(H19="元",D114/项目基本情况!C12,D114*10000/项目基本情况!C12)),0))</f>
        <v>——</v>
      </c>
      <c r="E115" s="1430"/>
      <c r="F115" s="3426"/>
      <c r="G115" s="3427"/>
      <c r="H115" s="2793" t="s">
        <v>2715</v>
      </c>
      <c r="I115" s="2777" t="e">
        <f ca="1">D117</f>
        <v>#REF!</v>
      </c>
      <c r="J115" s="2815"/>
    </row>
    <row r="116" spans="1:16" ht="15.75">
      <c r="A116" s="3432" t="str">
        <f>IF(项目基本情况!G5="抵押净值",IF(OR(项目基本情况!F5="已注销",项目基本情况!F5="房地产抵押价值"),"4.抵押净值","5.抵押净值"),"——")</f>
        <v>——</v>
      </c>
      <c r="B116" s="3433"/>
      <c r="C116" s="2788" t="str">
        <f>B101</f>
        <v>总价（元）</v>
      </c>
      <c r="D116" s="2789" t="str">
        <f>IF(A116="——","——",O59)</f>
        <v>——</v>
      </c>
      <c r="E116" s="1430"/>
      <c r="F116" s="3518"/>
      <c r="G116" s="3518"/>
      <c r="H116" s="3482"/>
      <c r="I116" s="3482"/>
      <c r="J116" s="2835"/>
      <c r="O116" s="32"/>
      <c r="P116" s="32"/>
    </row>
    <row r="117" spans="1:16" ht="13.5" thickBot="1">
      <c r="A117" s="3437"/>
      <c r="B117" s="3438"/>
      <c r="C117" s="2793" t="s">
        <v>2715</v>
      </c>
      <c r="D117" s="2777" t="e">
        <f ca="1">IF(D116=D112,D113,IF(A116="——","——",O61))</f>
        <v>#REF!</v>
      </c>
      <c r="E117" s="1430"/>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836"/>
      <c r="O117" s="32"/>
      <c r="P117" s="32"/>
    </row>
    <row r="118" spans="1:16" ht="15">
      <c r="A118" s="3483" t="s">
        <v>1817</v>
      </c>
      <c r="B118" s="3484"/>
      <c r="C118" s="3484"/>
      <c r="D118" s="3484"/>
      <c r="E118" s="3484"/>
      <c r="F118" s="3484"/>
      <c r="G118" s="3484"/>
      <c r="H118" s="3484"/>
      <c r="I118" s="3484"/>
      <c r="J118" s="2837"/>
    </row>
    <row r="119" spans="1:16" ht="12.75">
      <c r="A119" s="3417" t="s">
        <v>2733</v>
      </c>
      <c r="B119" s="3443" t="s">
        <v>2743</v>
      </c>
      <c r="C119" s="3443" t="s">
        <v>2744</v>
      </c>
      <c r="D119" s="3505" t="s">
        <v>2735</v>
      </c>
      <c r="E119" s="3506"/>
      <c r="F119" s="3418" t="s">
        <v>2745</v>
      </c>
      <c r="G119" s="3418"/>
      <c r="H119" s="3418" t="s">
        <v>2736</v>
      </c>
      <c r="I119" s="3504"/>
      <c r="J119" s="2815"/>
    </row>
    <row r="120" spans="1:16" ht="12.75">
      <c r="A120" s="3417"/>
      <c r="B120" s="3444"/>
      <c r="C120" s="3444"/>
      <c r="D120" s="2061" t="s">
        <v>2737</v>
      </c>
      <c r="E120" s="2061" t="s">
        <v>2742</v>
      </c>
      <c r="F120" s="2061" t="s">
        <v>2737</v>
      </c>
      <c r="G120" s="2061" t="s">
        <v>2738</v>
      </c>
      <c r="H120" s="2061" t="s">
        <v>2737</v>
      </c>
      <c r="I120" s="52" t="s">
        <v>2738</v>
      </c>
      <c r="J120" s="2815"/>
    </row>
    <row r="121" spans="1:16" ht="12.75">
      <c r="A121" s="2051" t="str">
        <f>项目基本情况!I1</f>
        <v>北京市房地产</v>
      </c>
      <c r="B121" s="2061">
        <f>项目基本情况!C12</f>
        <v>447.86</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15"/>
    </row>
    <row r="122" spans="1:16" ht="12.75">
      <c r="A122" s="3417" t="s">
        <v>2739</v>
      </c>
      <c r="B122" s="3418"/>
      <c r="C122" s="3418"/>
      <c r="D122" s="3445" t="e">
        <f ca="1">IF(H19="元",NUMBERSTRING(INT(D121),2)&amp;"元整",NUMBERSTRING(INT(D121*10000),2)&amp;"元整")</f>
        <v>#REF!</v>
      </c>
      <c r="E122" s="3488"/>
      <c r="F122" s="3445" t="e">
        <f ca="1">IF(H19="元",NUMBERSTRING(INT(F121),2)&amp;"元整",NUMBERSTRING(INT(F121*10000),2)&amp;"元整")</f>
        <v>#REF!</v>
      </c>
      <c r="G122" s="3488"/>
      <c r="H122" s="3445" t="e">
        <f ca="1">IF(H19="元",NUMBERSTRING(INT(H121),2)&amp;"元整",NUMBERSTRING(INT(H121*10000),2)&amp;"元整")</f>
        <v>#REF!</v>
      </c>
      <c r="I122" s="3446"/>
      <c r="J122" s="2838"/>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831"/>
    </row>
    <row r="124" spans="1:16" ht="12.75">
      <c r="A124" s="3489" t="s">
        <v>2739</v>
      </c>
      <c r="B124" s="3457"/>
      <c r="C124" s="3458"/>
      <c r="D124" s="3429">
        <f>H109</f>
        <v>0</v>
      </c>
      <c r="E124" s="3430"/>
      <c r="F124" s="3430"/>
      <c r="G124" s="3430"/>
      <c r="H124" s="3430"/>
      <c r="I124" s="3431"/>
      <c r="J124" s="2839"/>
    </row>
    <row r="125" spans="1:16" ht="12.75">
      <c r="A125" s="3432" t="str">
        <f>IF(项目基本情况!D5="房地产市场价值","——",MID(A112,3,LEN(A112)-2))</f>
        <v>房地产抵押价值</v>
      </c>
      <c r="B125" s="3433"/>
      <c r="C125" s="3433"/>
      <c r="D125" s="3420" t="e">
        <f ca="1">I110</f>
        <v>#REF!</v>
      </c>
      <c r="E125" s="3428"/>
      <c r="F125" s="3428"/>
      <c r="G125" s="3428"/>
      <c r="H125" s="3428"/>
      <c r="I125" s="3421"/>
      <c r="J125" s="2831"/>
    </row>
    <row r="126" spans="1:16" ht="12.75">
      <c r="A126" s="3417" t="s">
        <v>2739</v>
      </c>
      <c r="B126" s="3418"/>
      <c r="C126" s="3418"/>
      <c r="D126" s="3429" t="e">
        <f ca="1">I111</f>
        <v>#REF!</v>
      </c>
      <c r="E126" s="3430"/>
      <c r="F126" s="3430"/>
      <c r="G126" s="3430"/>
      <c r="H126" s="3430"/>
      <c r="I126" s="3431"/>
      <c r="J126" s="2839"/>
    </row>
    <row r="127" spans="1:16" ht="13.5" thickBot="1">
      <c r="A127" s="3432" t="str">
        <f>IF(项目基本情况!D5="房地产市场价值","——",MID(A114,3,LEN(A114)-2))</f>
        <v/>
      </c>
      <c r="B127" s="3433"/>
      <c r="C127" s="3433"/>
      <c r="D127" s="3465" t="str">
        <f>I112</f>
        <v>——</v>
      </c>
      <c r="E127" s="3466"/>
      <c r="F127" s="3466"/>
      <c r="G127" s="3466"/>
      <c r="H127" s="3466"/>
      <c r="I127" s="3517"/>
      <c r="J127" s="2831"/>
    </row>
    <row r="128" spans="1:16" ht="14.25" thickTop="1" thickBot="1">
      <c r="A128" s="3417" t="s">
        <v>2739</v>
      </c>
      <c r="B128" s="3418"/>
      <c r="C128" s="3419"/>
      <c r="D128" s="3481" t="str">
        <f>I113</f>
        <v>——</v>
      </c>
      <c r="E128" s="3481"/>
      <c r="F128" s="3481"/>
      <c r="G128" s="3481"/>
      <c r="H128" s="3481"/>
      <c r="I128" s="3481"/>
      <c r="J128" s="2839"/>
    </row>
    <row r="129" spans="1:10" ht="14.25" thickTop="1" thickBot="1">
      <c r="A129" s="3432" t="str">
        <f>IF(项目基本情况!D5="房地产市场价值","——",MID(F114,3,LEN(F114)-2))</f>
        <v/>
      </c>
      <c r="B129" s="3433"/>
      <c r="C129" s="3420"/>
      <c r="D129" s="3436" t="str">
        <f>I114</f>
        <v>——</v>
      </c>
      <c r="E129" s="3436"/>
      <c r="F129" s="3436"/>
      <c r="G129" s="3436"/>
      <c r="H129" s="3436"/>
      <c r="I129" s="3436"/>
      <c r="J129" s="2831"/>
    </row>
    <row r="130" spans="1:10" ht="14.25" thickTop="1" thickBot="1">
      <c r="A130" s="3441" t="s">
        <v>2739</v>
      </c>
      <c r="B130" s="3442"/>
      <c r="C130" s="3442"/>
      <c r="D130" s="3447">
        <f>H116</f>
        <v>0</v>
      </c>
      <c r="E130" s="3448"/>
      <c r="F130" s="3448"/>
      <c r="G130" s="3448"/>
      <c r="H130" s="3448"/>
      <c r="I130" s="3449"/>
      <c r="J130" s="283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40"/>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8"/>
      <c r="J138" s="2842"/>
    </row>
    <row r="139" spans="1:10" ht="21.75" customHeight="1">
      <c r="A139" s="658"/>
      <c r="B139" s="658"/>
      <c r="C139" s="658"/>
      <c r="D139" s="658"/>
      <c r="E139" s="658"/>
      <c r="F139" s="1473" t="s">
        <v>1820</v>
      </c>
      <c r="G139" s="1474"/>
      <c r="H139" s="1474"/>
      <c r="I139" s="1475" t="s">
        <v>1821</v>
      </c>
      <c r="J139" s="2843"/>
    </row>
    <row r="140" spans="1:10" ht="21.75" customHeight="1">
      <c r="A140" s="658"/>
      <c r="B140" s="1476" t="s">
        <v>1822</v>
      </c>
      <c r="C140" s="658"/>
      <c r="D140" s="658"/>
      <c r="E140" s="658"/>
      <c r="F140" s="658"/>
      <c r="G140" s="658"/>
      <c r="H140" s="658"/>
      <c r="I140" s="658"/>
      <c r="J140" s="2842"/>
    </row>
    <row r="141" spans="1:10" ht="21.75" customHeight="1">
      <c r="A141" s="658"/>
      <c r="B141" s="658"/>
      <c r="C141" s="658"/>
      <c r="D141" s="658"/>
      <c r="E141" s="658"/>
      <c r="F141" s="658"/>
      <c r="G141" s="658"/>
      <c r="H141" s="658"/>
      <c r="I141" s="658"/>
      <c r="J141" s="2842"/>
    </row>
    <row r="142" spans="1:10" ht="21.75" customHeight="1">
      <c r="A142" s="658"/>
      <c r="B142" s="1474"/>
      <c r="C142" s="1474"/>
      <c r="D142" s="1474"/>
      <c r="E142" s="1474"/>
      <c r="F142" s="1474"/>
      <c r="G142" s="1474"/>
      <c r="H142" s="1474"/>
      <c r="I142" s="1475" t="s">
        <v>1823</v>
      </c>
      <c r="J142" s="2843"/>
    </row>
    <row r="143" spans="1:10" ht="21.75" customHeight="1">
      <c r="A143" s="658"/>
      <c r="B143" s="1476" t="s">
        <v>1824</v>
      </c>
      <c r="C143" s="658"/>
      <c r="D143" s="658"/>
      <c r="E143" s="658"/>
      <c r="F143" s="658"/>
      <c r="G143" s="658"/>
      <c r="H143" s="658"/>
      <c r="I143" s="658"/>
      <c r="J143" s="2842"/>
    </row>
    <row r="144" spans="1:10" ht="21.75" customHeight="1">
      <c r="A144" s="658"/>
      <c r="B144" s="1476"/>
      <c r="C144" s="658"/>
      <c r="D144" s="658"/>
      <c r="E144" s="658"/>
      <c r="F144" s="658"/>
      <c r="G144" s="658"/>
      <c r="H144" s="658"/>
      <c r="I144" s="658"/>
      <c r="J144" s="2842"/>
    </row>
    <row r="145" spans="1:36" ht="21.75" customHeight="1">
      <c r="A145" s="658"/>
      <c r="B145" s="1474"/>
      <c r="C145" s="1474"/>
      <c r="D145" s="1474"/>
      <c r="E145" s="1474"/>
      <c r="F145" s="1474"/>
      <c r="G145" s="1474"/>
      <c r="H145" s="1474"/>
      <c r="I145" s="1475" t="s">
        <v>1823</v>
      </c>
      <c r="J145" s="2843"/>
    </row>
    <row r="146" spans="1:36" ht="21.75" customHeight="1">
      <c r="A146" s="658"/>
      <c r="B146" s="1476"/>
      <c r="C146" s="1477"/>
      <c r="D146" s="1478"/>
      <c r="E146" s="1478"/>
      <c r="F146" s="1479"/>
      <c r="G146" s="658"/>
      <c r="H146" s="658"/>
      <c r="I146" s="658"/>
      <c r="J146" s="2842"/>
    </row>
    <row r="147" spans="1:36" s="32" customFormat="1" ht="21.75" customHeight="1">
      <c r="A147" s="658"/>
      <c r="B147" s="1476"/>
      <c r="C147" s="1477"/>
      <c r="D147" s="1478"/>
      <c r="E147" s="147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2"/>
    </row>
    <row r="151" spans="1:36" s="658" customFormat="1" ht="21.75" customHeight="1">
      <c r="J151" s="2842"/>
    </row>
    <row r="152" spans="1:36" s="658" customFormat="1" ht="21.75" customHeight="1">
      <c r="J152" s="2842"/>
    </row>
    <row r="153" spans="1:36" s="658" customFormat="1" ht="21.75" customHeight="1">
      <c r="J153" s="2842"/>
    </row>
    <row r="154" spans="1:36" s="658" customFormat="1" ht="21.75" customHeight="1">
      <c r="J154" s="2842"/>
    </row>
    <row r="155" spans="1:36" s="658" customFormat="1" ht="21.75" customHeight="1">
      <c r="J155" s="2842"/>
    </row>
    <row r="156" spans="1:36" s="658" customFormat="1" ht="21.75" customHeight="1">
      <c r="J156" s="2842"/>
    </row>
    <row r="157" spans="1:36" s="658" customFormat="1" ht="21.75" customHeight="1">
      <c r="J157" s="2842"/>
    </row>
    <row r="158" spans="1:36" s="658" customFormat="1" ht="21.75" customHeight="1">
      <c r="J158" s="2842"/>
    </row>
    <row r="159" spans="1:36" s="658" customFormat="1" ht="21.75" customHeight="1">
      <c r="J159" s="2842"/>
    </row>
    <row r="160" spans="1:36"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10" s="658" customFormat="1" ht="21.75" customHeight="1">
      <c r="J369" s="2842"/>
    </row>
    <row r="370" spans="10:10" s="658" customFormat="1" ht="21.75" customHeight="1">
      <c r="J370" s="2842"/>
    </row>
    <row r="371" spans="10:10" s="658" customFormat="1" ht="21.75" customHeight="1">
      <c r="J371" s="2842"/>
    </row>
    <row r="372" spans="10:10" s="658" customFormat="1" ht="21.75" customHeight="1">
      <c r="J372" s="2842"/>
    </row>
    <row r="373" spans="10:10" s="658" customFormat="1" ht="21.75" customHeight="1">
      <c r="J373" s="2842"/>
    </row>
    <row r="374" spans="10:10" s="658" customFormat="1" ht="21.75" customHeight="1">
      <c r="J374" s="2842"/>
    </row>
    <row r="375" spans="10:10" s="658" customFormat="1" ht="21.75" customHeight="1">
      <c r="J375" s="2842"/>
    </row>
    <row r="376" spans="10:10" s="658" customFormat="1" ht="21.75" customHeight="1">
      <c r="J376" s="2842"/>
    </row>
    <row r="377" spans="10:10" s="658" customFormat="1" ht="21.75" customHeight="1">
      <c r="J377" s="2842"/>
    </row>
    <row r="378" spans="10:10" s="658" customFormat="1" ht="21.75" customHeight="1">
      <c r="J378" s="2842"/>
    </row>
    <row r="379" spans="10:10" s="658" customFormat="1" ht="21.75" customHeight="1">
      <c r="J379" s="2842"/>
    </row>
    <row r="380" spans="10:10" s="658" customFormat="1" ht="21.75" customHeight="1">
      <c r="J380" s="2842"/>
    </row>
    <row r="381" spans="10:10" s="658" customFormat="1" ht="21.75" customHeight="1">
      <c r="J381" s="2842"/>
    </row>
    <row r="382" spans="10:10" s="658" customFormat="1" ht="21.75" customHeight="1">
      <c r="J382" s="2842"/>
    </row>
    <row r="383" spans="10:10" s="658" customFormat="1" ht="21.75" customHeight="1">
      <c r="J383" s="2842"/>
    </row>
    <row r="384" spans="10:10" s="658" customFormat="1" ht="21.75" customHeight="1">
      <c r="J384" s="2842"/>
    </row>
    <row r="385" spans="10:10" s="658" customFormat="1" ht="21.75" customHeight="1">
      <c r="J385" s="2842"/>
    </row>
    <row r="386" spans="10:10" s="658" customFormat="1" ht="21.75" customHeight="1">
      <c r="J386" s="2842"/>
    </row>
    <row r="387" spans="10:10" s="658" customFormat="1" ht="21.75" customHeight="1">
      <c r="J387" s="2842"/>
    </row>
    <row r="388" spans="10:10" s="658" customFormat="1" ht="21.75" customHeight="1">
      <c r="J388" s="2842"/>
    </row>
    <row r="389" spans="10:10" s="658" customFormat="1" ht="21.75" customHeight="1">
      <c r="J389" s="2842"/>
    </row>
    <row r="390" spans="10:10" s="658" customFormat="1" ht="21.75" customHeight="1">
      <c r="J390" s="2842"/>
    </row>
    <row r="391" spans="10:10" s="658" customFormat="1" ht="21.75" customHeight="1">
      <c r="J391" s="2842"/>
    </row>
    <row r="392" spans="10:10" s="658" customFormat="1" ht="21.75" customHeight="1">
      <c r="J392" s="2842"/>
    </row>
    <row r="393" spans="10:10" s="658" customFormat="1" ht="21.75" customHeight="1">
      <c r="J393" s="2842"/>
    </row>
    <row r="394" spans="10:10" s="658" customFormat="1" ht="21.75" customHeight="1">
      <c r="J394" s="2842"/>
    </row>
    <row r="395" spans="10:10" s="658" customFormat="1" ht="21.75" customHeight="1">
      <c r="J395" s="2842"/>
    </row>
    <row r="396" spans="10:10" s="658" customFormat="1" ht="21.75" customHeight="1">
      <c r="J396" s="2842"/>
    </row>
    <row r="397" spans="10:10" s="658" customFormat="1" ht="21.75" customHeight="1">
      <c r="J397" s="2842"/>
    </row>
    <row r="398" spans="10:10" s="658" customFormat="1" ht="21.75" customHeight="1">
      <c r="J398" s="2842"/>
    </row>
    <row r="399" spans="10:10" s="658" customFormat="1" ht="21.75" customHeight="1">
      <c r="J399" s="2842"/>
    </row>
    <row r="400" spans="10:10" s="658" customFormat="1" ht="21.75" customHeight="1">
      <c r="J400" s="2842"/>
    </row>
    <row r="401" spans="10:27" s="658" customFormat="1" ht="21.75" customHeight="1">
      <c r="J401" s="2842"/>
    </row>
    <row r="402" spans="10:27" s="658" customFormat="1" ht="21.75" customHeight="1">
      <c r="J402" s="2842"/>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B99" zoomScaleNormal="100" zoomScaleSheetLayoutView="100" zoomScalePageLayoutView="80" workbookViewId="0">
      <selection activeCell="F123" sqref="F123:G123"/>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49" t="s">
        <v>1826</v>
      </c>
      <c r="B2" s="3549"/>
      <c r="C2" s="3549"/>
      <c r="D2" s="3549"/>
      <c r="E2" s="3549"/>
      <c r="F2" s="3549"/>
      <c r="G2" s="3549"/>
      <c r="H2" s="3549"/>
      <c r="I2" s="3549"/>
      <c r="J2" s="2844"/>
    </row>
    <row r="3" spans="1:15" ht="12.75">
      <c r="A3" s="3473" t="s">
        <v>1654</v>
      </c>
      <c r="B3" s="3474"/>
      <c r="C3" s="3474"/>
      <c r="D3" s="3474"/>
      <c r="E3" s="3474"/>
      <c r="F3" s="3474"/>
      <c r="G3" s="3474"/>
      <c r="H3" s="3474"/>
      <c r="I3" s="3474"/>
      <c r="J3" s="2814"/>
    </row>
    <row r="4" spans="1:15" ht="14.25">
      <c r="A4" s="2682" t="s">
        <v>1655</v>
      </c>
      <c r="B4" s="2682" t="s">
        <v>1656</v>
      </c>
      <c r="C4" s="2683" t="s">
        <v>3005</v>
      </c>
      <c r="D4" s="2683" t="s">
        <v>3001</v>
      </c>
      <c r="E4" s="3419" t="s">
        <v>1827</v>
      </c>
      <c r="F4" s="3457"/>
      <c r="G4" s="3457"/>
      <c r="H4" s="3457"/>
      <c r="I4" s="3458"/>
      <c r="J4" s="281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50" t="s">
        <v>1658</v>
      </c>
      <c r="B5" s="3450">
        <v>25</v>
      </c>
      <c r="C5" s="3459"/>
      <c r="D5" s="3472"/>
      <c r="E5" s="12" t="s">
        <v>1659</v>
      </c>
      <c r="F5" s="2058"/>
      <c r="G5" s="2058"/>
      <c r="H5" s="2058"/>
      <c r="I5" s="2053"/>
      <c r="J5" s="2815"/>
    </row>
    <row r="6" spans="1:15" ht="12.75">
      <c r="A6" s="3450"/>
      <c r="B6" s="3450"/>
      <c r="C6" s="3475"/>
      <c r="D6" s="3472"/>
      <c r="E6" s="12" t="s">
        <v>1660</v>
      </c>
      <c r="F6" s="2058"/>
      <c r="G6" s="2058"/>
      <c r="H6" s="2058"/>
      <c r="I6" s="2053"/>
      <c r="J6" s="2815"/>
    </row>
    <row r="7" spans="1:15" ht="12.75">
      <c r="A7" s="3450"/>
      <c r="B7" s="3450"/>
      <c r="C7" s="3460"/>
      <c r="D7" s="3472"/>
      <c r="E7" s="12" t="s">
        <v>1661</v>
      </c>
      <c r="F7" s="2058"/>
      <c r="G7" s="2058"/>
      <c r="H7" s="2058"/>
      <c r="I7" s="2053"/>
      <c r="J7" s="2815"/>
    </row>
    <row r="8" spans="1:15" ht="12.75">
      <c r="A8" s="3450" t="s">
        <v>1662</v>
      </c>
      <c r="B8" s="3450">
        <v>15</v>
      </c>
      <c r="C8" s="3459"/>
      <c r="D8" s="3472"/>
      <c r="E8" s="12" t="s">
        <v>1663</v>
      </c>
      <c r="F8" s="2058"/>
      <c r="G8" s="2058"/>
      <c r="H8" s="2058"/>
      <c r="I8" s="2053"/>
      <c r="J8" s="2815"/>
    </row>
    <row r="9" spans="1:15" ht="12.75">
      <c r="A9" s="3450"/>
      <c r="B9" s="3450"/>
      <c r="C9" s="3460"/>
      <c r="D9" s="3472"/>
      <c r="E9" s="12" t="s">
        <v>1664</v>
      </c>
      <c r="F9" s="2058"/>
      <c r="G9" s="2058"/>
      <c r="H9" s="2058"/>
      <c r="I9" s="2053"/>
      <c r="J9" s="2815"/>
    </row>
    <row r="10" spans="1:15" ht="12.75">
      <c r="A10" s="3450" t="s">
        <v>1665</v>
      </c>
      <c r="B10" s="3450">
        <v>15</v>
      </c>
      <c r="C10" s="3459"/>
      <c r="D10" s="3472"/>
      <c r="E10" s="12" t="s">
        <v>1666</v>
      </c>
      <c r="F10" s="2058"/>
      <c r="G10" s="2058"/>
      <c r="H10" s="2058"/>
      <c r="I10" s="2053"/>
      <c r="J10" s="2815"/>
    </row>
    <row r="11" spans="1:15" ht="12.75">
      <c r="A11" s="3450"/>
      <c r="B11" s="3450"/>
      <c r="C11" s="3460"/>
      <c r="D11" s="3472"/>
      <c r="E11" s="12" t="s">
        <v>1667</v>
      </c>
      <c r="F11" s="2058"/>
      <c r="G11" s="2058"/>
      <c r="H11" s="2058"/>
      <c r="I11" s="2053"/>
      <c r="J11" s="2815"/>
    </row>
    <row r="12" spans="1:15" ht="12.75">
      <c r="A12" s="3450" t="s">
        <v>1668</v>
      </c>
      <c r="B12" s="3450">
        <v>15</v>
      </c>
      <c r="C12" s="3459"/>
      <c r="D12" s="3472"/>
      <c r="E12" s="12" t="s">
        <v>1669</v>
      </c>
      <c r="F12" s="2058"/>
      <c r="G12" s="2058"/>
      <c r="H12" s="2058"/>
      <c r="I12" s="2053"/>
      <c r="J12" s="2815"/>
    </row>
    <row r="13" spans="1:15" ht="12.75">
      <c r="A13" s="3450"/>
      <c r="B13" s="3450"/>
      <c r="C13" s="3460"/>
      <c r="D13" s="3472"/>
      <c r="E13" s="12" t="s">
        <v>1670</v>
      </c>
      <c r="F13" s="2058"/>
      <c r="G13" s="2058"/>
      <c r="H13" s="2058"/>
      <c r="I13" s="2053"/>
      <c r="J13" s="2815"/>
    </row>
    <row r="14" spans="1:15" ht="12.75">
      <c r="A14" s="3450" t="s">
        <v>1671</v>
      </c>
      <c r="B14" s="3450">
        <v>30</v>
      </c>
      <c r="C14" s="3459">
        <v>7</v>
      </c>
      <c r="D14" s="3472">
        <v>3</v>
      </c>
      <c r="E14" s="12" t="s">
        <v>1672</v>
      </c>
      <c r="F14" s="2058"/>
      <c r="G14" s="2058"/>
      <c r="H14" s="2058"/>
      <c r="I14" s="2053"/>
      <c r="J14" s="2815"/>
    </row>
    <row r="15" spans="1:15" ht="12.75">
      <c r="A15" s="3450"/>
      <c r="B15" s="3450"/>
      <c r="C15" s="3475"/>
      <c r="D15" s="3472"/>
      <c r="E15" s="12" t="s">
        <v>1673</v>
      </c>
      <c r="F15" s="2058"/>
      <c r="G15" s="2058"/>
      <c r="H15" s="2058"/>
      <c r="I15" s="2053"/>
      <c r="J15" s="2815"/>
    </row>
    <row r="16" spans="1:15" ht="12.75">
      <c r="A16" s="3450"/>
      <c r="B16" s="3450"/>
      <c r="C16" s="3460"/>
      <c r="D16" s="3472"/>
      <c r="E16" s="12" t="s">
        <v>1674</v>
      </c>
      <c r="F16" s="2058"/>
      <c r="G16" s="2058"/>
      <c r="H16" s="2058"/>
      <c r="I16" s="2053"/>
      <c r="J16" s="2815"/>
    </row>
    <row r="17" spans="1:36" ht="15">
      <c r="A17" s="2684" t="s">
        <v>1675</v>
      </c>
      <c r="B17" s="2063"/>
      <c r="C17" s="2685">
        <f>SUM(C5:C16)</f>
        <v>7</v>
      </c>
      <c r="D17" s="2685">
        <f>SUM(D5:D16)</f>
        <v>3</v>
      </c>
      <c r="E17" s="2532"/>
      <c r="F17" s="2532"/>
      <c r="G17" s="2532"/>
      <c r="H17" s="2532"/>
      <c r="I17" s="2532"/>
      <c r="J17" s="2816"/>
    </row>
    <row r="18" spans="1:36" ht="32.450000000000003" customHeight="1" thickBot="1">
      <c r="A18" s="2686" t="s">
        <v>1676</v>
      </c>
      <c r="B18" s="2687"/>
      <c r="C18" s="2688">
        <f>ROUND(C17/SUM(C17:D17),2)</f>
        <v>0.7</v>
      </c>
      <c r="D18" s="2688">
        <f>1-C18</f>
        <v>0.30000000000000004</v>
      </c>
      <c r="E18" s="3468" t="s">
        <v>2758</v>
      </c>
      <c r="F18" s="3469"/>
      <c r="G18" s="3469"/>
      <c r="H18" s="3469"/>
      <c r="I18" s="3469"/>
      <c r="J18" s="2816"/>
    </row>
    <row r="19" spans="1:36" ht="15">
      <c r="A19" s="2689" t="s">
        <v>1677</v>
      </c>
      <c r="B19" s="2690" t="s">
        <v>1678</v>
      </c>
      <c r="C19" s="2691">
        <f ca="1">SUMIF(INDIRECT("'"&amp;C4&amp;"'"&amp;"!A:A"),'结果表 (1修多)'!B19,INDIRECT("'"&amp;C4&amp;"'"&amp;"!B:B"))</f>
        <v>7226873</v>
      </c>
      <c r="D19" s="2692">
        <f ca="1">SUMIF(INDIRECT("'"&amp;D4&amp;"'"&amp;"!A:A"),'结果表 (1修多)'!B19,INDIRECT("'"&amp;D4&amp;"'"&amp;"!B:B"))</f>
        <v>4542125</v>
      </c>
      <c r="E19" s="2689" t="s">
        <v>1679</v>
      </c>
      <c r="F19" s="2690" t="s">
        <v>1678</v>
      </c>
      <c r="G19" s="2693">
        <f ca="1">ROUND(C19*$C$18+D19*$D$18,0)</f>
        <v>6421449</v>
      </c>
      <c r="H19" s="2694" t="str">
        <f>'数据-取费表'!B3</f>
        <v>元</v>
      </c>
      <c r="I19" s="2532"/>
      <c r="J19" s="2816"/>
    </row>
    <row r="20" spans="1:36" ht="15">
      <c r="A20" s="2695"/>
      <c r="B20" s="1663" t="s">
        <v>1680</v>
      </c>
      <c r="C20" s="1888">
        <f ca="1">SUMIF(INDIRECT("'"&amp;C4&amp;"'"&amp;"!A:A"),'结果表 (1修多)'!B20,INDIRECT("'"&amp;C4&amp;"'"&amp;"!B:B"))</f>
        <v>33198</v>
      </c>
      <c r="D20" s="1891">
        <f ca="1">SUMIF(INDIRECT("'"&amp;D4&amp;"'"&amp;"!A:A"),'结果表 (1修多)'!B20,INDIRECT("'"&amp;D4&amp;"'"&amp;"!B:B"))</f>
        <v>20865</v>
      </c>
      <c r="E20" s="2695"/>
      <c r="F20" s="1663" t="s">
        <v>1680</v>
      </c>
      <c r="G20" s="2062">
        <f ca="1">ROUND(C20*$C$18+D20*$D$18,0)</f>
        <v>29498</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0.59107752428653981</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61" t="s">
        <v>1683</v>
      </c>
      <c r="B24" s="2690" t="s">
        <v>1678</v>
      </c>
      <c r="C24" s="2693">
        <f>D30</f>
        <v>0</v>
      </c>
      <c r="D24" s="2645"/>
      <c r="E24" s="946"/>
      <c r="F24" s="946"/>
      <c r="G24" s="946"/>
      <c r="H24" s="946"/>
      <c r="I24" s="946"/>
      <c r="J24" s="2816"/>
    </row>
    <row r="25" spans="1:36" ht="21.75" customHeight="1">
      <c r="A25" s="3478"/>
      <c r="B25" s="1663" t="s">
        <v>1680</v>
      </c>
      <c r="C25" s="2705">
        <f>IF(B30=0,0,C30)</f>
        <v>0</v>
      </c>
      <c r="D25" s="2706"/>
      <c r="E25" s="946"/>
      <c r="F25" s="946"/>
      <c r="G25" s="946">
        <f ca="1">G20/0.7</f>
        <v>42140</v>
      </c>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t="s">
        <v>1828</v>
      </c>
      <c r="B27" s="2708">
        <v>0</v>
      </c>
      <c r="C27" s="2708">
        <v>0</v>
      </c>
      <c r="D27" s="2709">
        <f>ROUND(C27*B27/10000,0)</f>
        <v>0</v>
      </c>
      <c r="E27" s="946"/>
      <c r="F27" s="946"/>
      <c r="G27" s="946"/>
      <c r="H27" s="946"/>
      <c r="I27" s="946"/>
      <c r="J27" s="2816"/>
    </row>
    <row r="28" spans="1:36" ht="14.25">
      <c r="A28" s="2707"/>
      <c r="B28" s="2708"/>
      <c r="C28" s="2708"/>
      <c r="D28" s="2709">
        <f>ROUND(C28*B28/10000,0)</f>
        <v>0</v>
      </c>
      <c r="E28" s="946"/>
      <c r="F28" s="946"/>
      <c r="G28" s="946"/>
      <c r="H28" s="946"/>
      <c r="I28" s="946"/>
      <c r="J28" s="2816"/>
    </row>
    <row r="29" spans="1:36" ht="14.25">
      <c r="A29" s="2707"/>
      <c r="B29" s="2708"/>
      <c r="C29" s="2708"/>
      <c r="D29" s="2709">
        <f t="shared" ref="D29" si="0">ROUND(C29*B29/10000,0)</f>
        <v>0</v>
      </c>
      <c r="E29" s="946"/>
      <c r="F29" s="946"/>
      <c r="G29" s="946"/>
      <c r="H29" s="946"/>
      <c r="I29" s="946"/>
      <c r="J29" s="2816"/>
    </row>
    <row r="30" spans="1:36" ht="15" thickBot="1">
      <c r="A30" s="2743" t="s">
        <v>1829</v>
      </c>
      <c r="B30" s="2744"/>
      <c r="C30" s="2744"/>
      <c r="D30" s="2744"/>
      <c r="E30" s="2711" t="s">
        <v>2762</v>
      </c>
      <c r="F30" s="2532"/>
      <c r="G30" s="2532"/>
      <c r="H30" s="2532"/>
      <c r="I30" s="2532"/>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26" t="s">
        <v>1830</v>
      </c>
      <c r="B32" s="3526"/>
      <c r="C32" s="3526"/>
      <c r="D32" s="3526"/>
      <c r="E32" s="3526"/>
      <c r="F32" s="3526"/>
      <c r="G32" s="3526"/>
      <c r="H32" s="3526"/>
      <c r="I32" s="3526"/>
      <c r="J32" s="284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5" t="s">
        <v>1831</v>
      </c>
      <c r="C33" s="2746">
        <f ca="1">典型户型修正!R27</f>
        <v>29498</v>
      </c>
      <c r="D33" s="2532" t="s">
        <v>1832</v>
      </c>
      <c r="E33" s="946"/>
      <c r="F33" s="946"/>
      <c r="G33" s="946"/>
      <c r="H33" s="946"/>
      <c r="I33" s="946"/>
      <c r="J33" s="2816"/>
    </row>
    <row r="34" spans="1:16" ht="15">
      <c r="A34" s="1481" t="s">
        <v>1833</v>
      </c>
      <c r="B34" s="2747" t="s">
        <v>1834</v>
      </c>
      <c r="C34" s="2748">
        <f ca="1">典型户型修正!B2</f>
        <v>13210975</v>
      </c>
      <c r="D34" s="2749" t="str">
        <f>IF('数据-取费表'!B3="万元","万元","元")</f>
        <v>元</v>
      </c>
      <c r="E34" s="946"/>
      <c r="F34" s="946"/>
      <c r="G34" s="946"/>
      <c r="H34" s="946"/>
      <c r="I34" s="946"/>
      <c r="J34" s="2816"/>
    </row>
    <row r="35" spans="1:16" ht="15.75" thickBot="1">
      <c r="A35" s="1482"/>
      <c r="B35" s="2750" t="s">
        <v>1835</v>
      </c>
      <c r="C35" s="2699">
        <f ca="1">典型户型修正!B3</f>
        <v>294980016</v>
      </c>
      <c r="D35" s="2532" t="s">
        <v>1836</v>
      </c>
      <c r="E35" s="946"/>
      <c r="F35" s="946"/>
      <c r="G35" s="946"/>
      <c r="H35" s="946"/>
      <c r="I35" s="946"/>
      <c r="J35" s="2816"/>
    </row>
    <row r="36" spans="1:16" ht="15">
      <c r="A36" s="1483"/>
      <c r="B36" s="1437" t="s">
        <v>1837</v>
      </c>
      <c r="C36" s="2751">
        <f>IF('数据-取费表'!B3="万元",典型户型修正!V25,典型户型修正!U25)</f>
        <v>0</v>
      </c>
      <c r="D36" s="2532" t="str">
        <f>D34</f>
        <v>元</v>
      </c>
      <c r="E36" s="946"/>
      <c r="F36" s="946"/>
      <c r="G36" s="946"/>
      <c r="H36" s="946"/>
      <c r="I36" s="946"/>
      <c r="J36" s="2816"/>
    </row>
    <row r="37" spans="1:16" ht="15.75" thickBot="1">
      <c r="A37" s="1436"/>
      <c r="B37" s="1438" t="s">
        <v>1838</v>
      </c>
      <c r="C37" s="2752">
        <f>IF('数据-取费表'!B3="万元",典型户型修正!Y25,典型户型修正!X25)</f>
        <v>0</v>
      </c>
      <c r="D37" s="2532" t="str">
        <f>D34</f>
        <v>元</v>
      </c>
      <c r="E37" s="946"/>
      <c r="F37" s="946"/>
      <c r="G37" s="946"/>
      <c r="H37" s="946"/>
      <c r="I37" s="946"/>
      <c r="J37" s="2816"/>
    </row>
    <row r="38" spans="1:16" ht="15.75" thickBot="1">
      <c r="A38" s="3461" t="s">
        <v>1839</v>
      </c>
      <c r="B38" s="1437" t="s">
        <v>1840</v>
      </c>
      <c r="C38" s="2726"/>
      <c r="D38" s="2727"/>
      <c r="E38" s="1649"/>
      <c r="F38" s="1649"/>
      <c r="G38" s="946"/>
      <c r="H38" s="946"/>
      <c r="I38" s="946"/>
      <c r="J38" s="2816"/>
    </row>
    <row r="39" spans="1:16" ht="15.75" thickBot="1">
      <c r="A39" s="3462"/>
      <c r="B39" s="2063" t="s">
        <v>1841</v>
      </c>
      <c r="C39" s="2728"/>
      <c r="D39" s="1280"/>
      <c r="E39" s="1280"/>
      <c r="F39" s="1649"/>
      <c r="G39" s="1280"/>
      <c r="H39" s="1280"/>
      <c r="I39" s="1280"/>
      <c r="J39" s="2820"/>
    </row>
    <row r="40" spans="1:16" ht="15.75" thickBot="1">
      <c r="A40" s="3463"/>
      <c r="B40" s="1438" t="s">
        <v>1842</v>
      </c>
      <c r="C40" s="2729"/>
      <c r="D40" s="2730" t="s">
        <v>1843</v>
      </c>
      <c r="E40" s="1280"/>
      <c r="F40" s="1649"/>
      <c r="G40" s="1280"/>
      <c r="H40" s="1280"/>
      <c r="I40" s="1280"/>
      <c r="J40" s="2820"/>
    </row>
    <row r="41" spans="1:16" ht="15">
      <c r="A41" s="2695" t="s">
        <v>1844</v>
      </c>
      <c r="B41" s="2731" t="s">
        <v>1845</v>
      </c>
      <c r="C41" s="2732" t="s">
        <v>1846</v>
      </c>
      <c r="D41" s="2732" t="s">
        <v>1847</v>
      </c>
      <c r="E41" s="2733" t="s">
        <v>1848</v>
      </c>
      <c r="F41" s="1649"/>
      <c r="G41" s="1280"/>
      <c r="H41" s="1280"/>
      <c r="I41" s="1280"/>
      <c r="J41" s="2820"/>
    </row>
    <row r="42" spans="1:16" ht="14.25">
      <c r="A42" s="2734" t="s">
        <v>1849</v>
      </c>
      <c r="B42" s="2735"/>
      <c r="C42" s="2736"/>
      <c r="D42" s="2736"/>
      <c r="E42" s="2737"/>
      <c r="F42" s="1649"/>
      <c r="G42" s="1280"/>
      <c r="H42" s="1280"/>
      <c r="I42" s="1280"/>
      <c r="J42" s="2820"/>
    </row>
    <row r="43" spans="1:16" ht="14.25">
      <c r="A43" s="2734" t="s">
        <v>1850</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2757</v>
      </c>
      <c r="J46" s="2846"/>
      <c r="K46" s="1444" t="s">
        <v>1706</v>
      </c>
      <c r="L46" s="1445"/>
      <c r="M46" s="1445"/>
      <c r="N46" s="1445"/>
      <c r="O46" s="1445"/>
      <c r="P46" s="1445"/>
    </row>
    <row r="47" spans="1:16" ht="14.25" customHeight="1" thickBot="1">
      <c r="A47" s="3465" t="s">
        <v>1852</v>
      </c>
      <c r="B47" s="3466"/>
      <c r="C47" s="3425"/>
      <c r="D47" s="246">
        <f ca="1">ROUND(I104*F47,0)</f>
        <v>13210975</v>
      </c>
      <c r="E47" s="1511" t="s">
        <v>1853</v>
      </c>
      <c r="F47" s="2530">
        <v>1</v>
      </c>
      <c r="G47" s="2531" t="s">
        <v>1854</v>
      </c>
      <c r="H47" s="946"/>
      <c r="I47" s="946"/>
      <c r="J47" s="2816"/>
      <c r="K47" s="3551" t="s">
        <v>1710</v>
      </c>
      <c r="L47" s="3551"/>
      <c r="M47" s="3551"/>
      <c r="N47" s="3551"/>
      <c r="O47" s="3551"/>
      <c r="P47" s="3551"/>
    </row>
    <row r="48" spans="1:16" ht="14.25" customHeight="1">
      <c r="A48" s="3454" t="s">
        <v>1711</v>
      </c>
      <c r="B48" s="3455"/>
      <c r="C48" s="3455"/>
      <c r="D48" s="3455"/>
      <c r="E48" s="3455"/>
      <c r="F48" s="3455"/>
      <c r="G48" s="3456"/>
      <c r="H48" s="2948"/>
      <c r="I48" s="946"/>
      <c r="J48" s="2816"/>
      <c r="K48" s="2482">
        <v>1</v>
      </c>
      <c r="L48" s="3546" t="s">
        <v>1712</v>
      </c>
      <c r="M48" s="3546"/>
      <c r="N48" s="3552"/>
      <c r="O48" s="3552"/>
      <c r="P48" s="3552"/>
    </row>
    <row r="49" spans="1:17" ht="12" customHeight="1">
      <c r="A49" s="38" t="s">
        <v>1713</v>
      </c>
      <c r="B49" s="39"/>
      <c r="C49" s="40"/>
      <c r="D49" s="1069" t="s">
        <v>1714</v>
      </c>
      <c r="E49" s="235" t="s">
        <v>1715</v>
      </c>
      <c r="F49" s="41" t="s">
        <v>1716</v>
      </c>
      <c r="G49" s="2533" t="s">
        <v>1717</v>
      </c>
      <c r="H49" s="2948"/>
      <c r="I49" s="946"/>
      <c r="J49" s="2816"/>
      <c r="K49" s="2482">
        <v>2</v>
      </c>
      <c r="L49" s="3546" t="s">
        <v>1718</v>
      </c>
      <c r="M49" s="3546"/>
      <c r="N49" s="3553">
        <f>'数据-取费表'!B2</f>
        <v>44644</v>
      </c>
      <c r="O49" s="3553"/>
      <c r="P49" s="3553"/>
    </row>
    <row r="50" spans="1:17" ht="25.5">
      <c r="A50" s="3464" t="s">
        <v>1719</v>
      </c>
      <c r="B50" s="3418"/>
      <c r="C50" s="3418"/>
      <c r="D50" s="12">
        <f ca="1">IF(H50="情况1",0,IF(H50="情况2",D54,IF(H50="情况3",D55,IF(H50="情况4",D56))))</f>
        <v>692003</v>
      </c>
      <c r="E50" s="2061" t="str">
        <f>IF(H50="情况4","(销售额-原购置价)×税（费）率","销售额×税（费）率")</f>
        <v>销售额×税（费）率</v>
      </c>
      <c r="F50" s="2534">
        <f>IF(H50="情况1","免征",'数据-取费表'!E29)</f>
        <v>5.5000000000000007E-2</v>
      </c>
      <c r="G50" s="2535" t="s">
        <v>1720</v>
      </c>
      <c r="H50" s="2536" t="s">
        <v>1721</v>
      </c>
      <c r="I50" s="2948"/>
      <c r="J50" s="2823"/>
      <c r="K50" s="2482">
        <v>3</v>
      </c>
      <c r="L50" s="3546" t="s">
        <v>1722</v>
      </c>
      <c r="M50" s="3546"/>
      <c r="N50" s="3547">
        <f ca="1">I104</f>
        <v>13210975</v>
      </c>
      <c r="O50" s="3547"/>
      <c r="P50" s="3547"/>
    </row>
    <row r="51" spans="1:17" ht="25.5" customHeight="1">
      <c r="A51" s="2060" t="s">
        <v>1723</v>
      </c>
      <c r="B51" s="3457" t="s">
        <v>1724</v>
      </c>
      <c r="C51" s="3457"/>
      <c r="D51" s="2537">
        <v>0</v>
      </c>
      <c r="E51" s="261" t="s">
        <v>1725</v>
      </c>
      <c r="F51" s="2538" t="s">
        <v>48</v>
      </c>
      <c r="G51" s="3514"/>
      <c r="H51" s="2539" t="s">
        <v>2682</v>
      </c>
      <c r="I51" s="2540"/>
      <c r="J51" s="2824"/>
      <c r="K51" s="2482">
        <v>4</v>
      </c>
      <c r="L51" s="3546" t="str">
        <f>IF(项目基本情况!F5="房地产抵押价值","房地产抵押价值","抵押担保权已注销时的房地产抵押价值")</f>
        <v>房地产抵押价值</v>
      </c>
      <c r="M51" s="3546"/>
      <c r="N51" s="3547">
        <f ca="1">IF(项目基本情况!F5="房地产抵押价值",I112,I114)</f>
        <v>13210975</v>
      </c>
      <c r="O51" s="3547"/>
      <c r="P51" s="3547"/>
    </row>
    <row r="52" spans="1:17" ht="25.5" customHeight="1">
      <c r="A52" s="2050"/>
      <c r="B52" s="3457" t="s">
        <v>1726</v>
      </c>
      <c r="C52" s="3457"/>
      <c r="D52" s="2541"/>
      <c r="E52" s="269"/>
      <c r="F52" s="2538"/>
      <c r="G52" s="3515"/>
      <c r="H52" s="2542" t="s">
        <v>2683</v>
      </c>
      <c r="I52" s="2540"/>
      <c r="J52" s="2824"/>
      <c r="K52" s="3546" t="s">
        <v>1727</v>
      </c>
      <c r="L52" s="3546"/>
      <c r="M52" s="3546"/>
      <c r="N52" s="3546"/>
      <c r="O52" s="3546"/>
      <c r="P52" s="3546"/>
    </row>
    <row r="53" spans="1:17" ht="20.45" customHeight="1">
      <c r="A53" s="2543"/>
      <c r="B53" s="3457" t="s">
        <v>1728</v>
      </c>
      <c r="C53" s="3457"/>
      <c r="D53" s="1069"/>
      <c r="E53" s="264"/>
      <c r="F53" s="2538"/>
      <c r="G53" s="3516"/>
      <c r="H53" s="2542" t="s">
        <v>2684</v>
      </c>
      <c r="I53" s="2540"/>
      <c r="J53" s="2824"/>
      <c r="K53" s="2483" t="s">
        <v>1729</v>
      </c>
      <c r="L53" s="3546" t="s">
        <v>1730</v>
      </c>
      <c r="M53" s="3546"/>
      <c r="N53" s="2483" t="s">
        <v>1731</v>
      </c>
      <c r="O53" s="2483" t="s">
        <v>1732</v>
      </c>
      <c r="P53" s="2483" t="s">
        <v>1733</v>
      </c>
    </row>
    <row r="54" spans="1:17" ht="24" customHeight="1">
      <c r="A54" s="2051" t="s">
        <v>1734</v>
      </c>
      <c r="B54" s="3457" t="s">
        <v>1735</v>
      </c>
      <c r="C54" s="3457"/>
      <c r="D54" s="1069">
        <f ca="1">ROUND(D47*'数据-取费表'!E29/(1+'数据-取费表'!F30),0)</f>
        <v>692003</v>
      </c>
      <c r="E54" s="2061" t="s">
        <v>1736</v>
      </c>
      <c r="F54" s="2544">
        <f>'数据-取费表'!E29</f>
        <v>5.5000000000000007E-2</v>
      </c>
      <c r="G54" s="2545"/>
      <c r="H54" s="946"/>
      <c r="I54" s="2949"/>
      <c r="J54" s="2824"/>
      <c r="K54" s="2482">
        <v>1</v>
      </c>
      <c r="L54" s="3542" t="s">
        <v>1737</v>
      </c>
      <c r="M54" s="3542"/>
      <c r="N54" s="2484">
        <f ca="1">D50</f>
        <v>692003</v>
      </c>
      <c r="O54" s="2482" t="str">
        <f>E50</f>
        <v>销售额×税（费）率</v>
      </c>
      <c r="P54" s="2485">
        <f>F50</f>
        <v>5.5000000000000007E-2</v>
      </c>
    </row>
    <row r="55" spans="1:17" ht="12" customHeight="1">
      <c r="A55" s="2051" t="s">
        <v>1738</v>
      </c>
      <c r="B55" s="3419" t="s">
        <v>2776</v>
      </c>
      <c r="C55" s="3458"/>
      <c r="D55" s="1069">
        <f ca="1">ROUND(D47*'数据-取费表'!E29/(1+'数据-取费表'!F30),0)</f>
        <v>692003</v>
      </c>
      <c r="E55" s="2061" t="s">
        <v>1736</v>
      </c>
      <c r="F55" s="2544">
        <f>'数据-取费表'!E29</f>
        <v>5.5000000000000007E-2</v>
      </c>
      <c r="G55" s="2545"/>
      <c r="H55" s="946"/>
      <c r="I55" s="2949"/>
      <c r="J55" s="2824"/>
      <c r="K55" s="2482">
        <v>2</v>
      </c>
      <c r="L55" s="3542" t="s">
        <v>1739</v>
      </c>
      <c r="M55" s="3542"/>
      <c r="N55" s="2484">
        <f t="shared" ref="N55:P56" ca="1" si="1">D57</f>
        <v>6605</v>
      </c>
      <c r="O55" s="2482" t="str">
        <f t="shared" si="1"/>
        <v>销售额×税（费）率</v>
      </c>
      <c r="P55" s="2485">
        <f t="shared" si="1"/>
        <v>5.0000000000000001E-4</v>
      </c>
    </row>
    <row r="56" spans="1:17" ht="12" customHeight="1">
      <c r="A56" s="2051" t="s">
        <v>1740</v>
      </c>
      <c r="B56" s="3419" t="s">
        <v>2777</v>
      </c>
      <c r="C56" s="3458"/>
      <c r="D56" s="1069">
        <f ca="1">C70</f>
        <v>692003</v>
      </c>
      <c r="E56" s="264" t="s">
        <v>1741</v>
      </c>
      <c r="F56" s="2544">
        <f>'数据-取费表'!E29</f>
        <v>5.5000000000000007E-2</v>
      </c>
      <c r="G56" s="2545"/>
      <c r="H56" s="2950"/>
      <c r="I56" s="2949"/>
      <c r="J56" s="2824"/>
      <c r="K56" s="2482">
        <v>3</v>
      </c>
      <c r="L56" s="3542" t="s">
        <v>1742</v>
      </c>
      <c r="M56" s="3542"/>
      <c r="N56" s="2484">
        <f t="shared" ca="1" si="1"/>
        <v>7489365</v>
      </c>
      <c r="O56" s="2482" t="str">
        <f t="shared" si="1"/>
        <v>增值额×税（费）率</v>
      </c>
      <c r="P56" s="2486" t="str">
        <f t="shared" si="1"/>
        <v>——</v>
      </c>
    </row>
    <row r="57" spans="1:17" ht="24" customHeight="1">
      <c r="A57" s="3417" t="s">
        <v>1743</v>
      </c>
      <c r="B57" s="3418"/>
      <c r="C57" s="3418"/>
      <c r="D57" s="12">
        <f ca="1">IF(H57="个人住宅",0,ROUND(D47*I57,0))</f>
        <v>6605</v>
      </c>
      <c r="E57" s="2061" t="s">
        <v>1744</v>
      </c>
      <c r="F57" s="2544">
        <f>IF(H57="正常",I57,"免征")</f>
        <v>5.0000000000000001E-4</v>
      </c>
      <c r="G57" s="2545"/>
      <c r="H57" s="2536" t="s">
        <v>1745</v>
      </c>
      <c r="I57" s="74">
        <f>'数据-取费表'!E37</f>
        <v>5.0000000000000001E-4</v>
      </c>
      <c r="J57" s="2824"/>
      <c r="K57" s="2482">
        <f>IF(H61="非个人房产","",4)</f>
        <v>4</v>
      </c>
      <c r="L57" s="3542" t="str">
        <f>IF(H61="非个人房产","——","个人所得税")</f>
        <v>个人所得税</v>
      </c>
      <c r="M57" s="3542"/>
      <c r="N57" s="2487">
        <f ca="1">D61</f>
        <v>132110</v>
      </c>
      <c r="O57" s="2488" t="str">
        <f>E61</f>
        <v>销售额×税（费）率</v>
      </c>
      <c r="P57" s="2489">
        <f>F61</f>
        <v>0.01</v>
      </c>
    </row>
    <row r="58" spans="1:17" ht="24.75">
      <c r="A58" s="3417" t="s">
        <v>1746</v>
      </c>
      <c r="B58" s="3418"/>
      <c r="C58" s="3418"/>
      <c r="D58" s="12">
        <f ca="1">IF(H58="个人住宅",D59,D60)</f>
        <v>7489365</v>
      </c>
      <c r="E58" s="2061" t="s">
        <v>1747</v>
      </c>
      <c r="F58" s="2544" t="str">
        <f>IF(H58="正常",F60,"免征")</f>
        <v>——</v>
      </c>
      <c r="G58" s="2546" t="s">
        <v>1748</v>
      </c>
      <c r="H58" s="2547" t="s">
        <v>1745</v>
      </c>
      <c r="I58" s="2951"/>
      <c r="J58" s="2824"/>
      <c r="K58" s="2482" t="str">
        <f>IF(项目基本情况!I6="上海银行",IF(K57="",4,K57+1),"")</f>
        <v/>
      </c>
      <c r="L58" s="3544" t="str">
        <f>IF(项目基本情况!I6="上海银行","其他处置费用","")</f>
        <v/>
      </c>
      <c r="M58" s="3545"/>
      <c r="N58" s="2484" t="str">
        <f>IF(项目基本情况!I6="上海银行",N71,"")</f>
        <v/>
      </c>
      <c r="O58" s="3544" t="str">
        <f>IF(项目基本情况!I6="上海银行","包含处置中涉及的律师、诉讼、拍卖、评估等费用","")</f>
        <v/>
      </c>
      <c r="P58" s="3548"/>
    </row>
    <row r="59" spans="1:17" ht="12.75">
      <c r="A59" s="2051" t="s">
        <v>1723</v>
      </c>
      <c r="B59" s="3419" t="s">
        <v>1749</v>
      </c>
      <c r="C59" s="3458"/>
      <c r="D59" s="2537">
        <v>0</v>
      </c>
      <c r="E59" s="261" t="s">
        <v>1725</v>
      </c>
      <c r="F59" s="235"/>
      <c r="G59" s="2545"/>
      <c r="H59" s="2951"/>
      <c r="I59" s="2951"/>
      <c r="J59" s="2824"/>
      <c r="K59" s="3542">
        <f>IF(AND(K57="",K58=""),4,IF(项目基本情况!I6="上海银行",K58+1,K57+1))</f>
        <v>5</v>
      </c>
      <c r="L59" s="3542" t="s">
        <v>1750</v>
      </c>
      <c r="M59" s="2490" t="s">
        <v>1751</v>
      </c>
      <c r="N59" s="2491"/>
      <c r="O59" s="2492">
        <f ca="1">SUMIF(N54:N58,"&lt;9e307")</f>
        <v>8320083</v>
      </c>
      <c r="P59" s="2493"/>
      <c r="Q59" s="1275">
        <f ca="1">O59/N51</f>
        <v>0.6297856895497872</v>
      </c>
    </row>
    <row r="60" spans="1:17" ht="24.75">
      <c r="A60" s="2051" t="s">
        <v>1734</v>
      </c>
      <c r="B60" s="3419" t="s">
        <v>1752</v>
      </c>
      <c r="C60" s="3457"/>
      <c r="D60" s="12">
        <f ca="1">IF(H60="转让取得",C83,C99)</f>
        <v>7489365</v>
      </c>
      <c r="E60" s="2061" t="s">
        <v>1747</v>
      </c>
      <c r="F60" s="235" t="s">
        <v>48</v>
      </c>
      <c r="G60" s="2545"/>
      <c r="H60" s="2547" t="s">
        <v>1753</v>
      </c>
      <c r="I60" s="2951"/>
      <c r="J60" s="2824"/>
      <c r="K60" s="3542"/>
      <c r="L60" s="3542"/>
      <c r="M60" s="2490" t="s">
        <v>1754</v>
      </c>
      <c r="N60" s="2494"/>
      <c r="O60" s="2495" t="str">
        <f ca="1">IF(H19="元",NUMBERSTRING(INT(O59),2)&amp;"元整",NUMBERSTRING(INT(O59*10000),2)&amp;"元整")</f>
        <v>捌佰叁拾贰万零捌拾叁元整</v>
      </c>
      <c r="P60" s="2496"/>
    </row>
    <row r="61" spans="1:17" ht="26.25" thickBot="1">
      <c r="A61" s="3441" t="s">
        <v>1755</v>
      </c>
      <c r="B61" s="3442"/>
      <c r="C61" s="3442"/>
      <c r="D61" s="69">
        <f ca="1">IF(H61="非个人房产","——",IF(H61="个人住宅（满五唯一有凭证）",0,IF(H61="个人其他（无凭证）",ROUND(D47*F61,0),ROUND(C69*F61,0))))</f>
        <v>132110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5" t="s">
        <v>2681</v>
      </c>
      <c r="I61" s="2852" t="s">
        <v>2767</v>
      </c>
      <c r="J61" s="2824"/>
      <c r="K61" s="3540">
        <f>K59+1</f>
        <v>6</v>
      </c>
      <c r="L61" s="3542" t="s">
        <v>1756</v>
      </c>
      <c r="M61" s="2482" t="s">
        <v>1751</v>
      </c>
      <c r="N61" s="2497"/>
      <c r="O61" s="2498">
        <f ca="1">N51-O59</f>
        <v>4890892</v>
      </c>
      <c r="P61" s="2499"/>
    </row>
    <row r="62" spans="1:17" ht="12" customHeight="1">
      <c r="A62" s="1426"/>
      <c r="B62" s="2532"/>
      <c r="C62" s="2532"/>
      <c r="D62" s="2532"/>
      <c r="E62" s="1426"/>
      <c r="F62" s="2951"/>
      <c r="G62" s="2951"/>
      <c r="H62" s="2946"/>
      <c r="I62" s="946"/>
      <c r="J62" s="2824"/>
      <c r="K62" s="3541"/>
      <c r="L62" s="3542"/>
      <c r="M62" s="2490" t="s">
        <v>1754</v>
      </c>
      <c r="N62" s="2494"/>
      <c r="O62" s="2495" t="str">
        <f ca="1">IF(H19="元",NUMBERSTRING(INT(O61),2)&amp;"元整",NUMBERSTRING(INT(O61*10000),2)&amp;"元整")</f>
        <v>肆佰捌拾玖万零捌佰玖拾贰元整</v>
      </c>
      <c r="P62" s="2496"/>
    </row>
    <row r="63" spans="1:17" ht="13.5" thickBot="1">
      <c r="A63" s="3543" t="s">
        <v>1757</v>
      </c>
      <c r="B63" s="3543"/>
      <c r="C63" s="3543"/>
      <c r="D63" s="3543"/>
      <c r="E63" s="3543"/>
      <c r="F63" s="2951"/>
      <c r="G63" s="2951"/>
      <c r="H63" s="2946"/>
      <c r="I63" s="946"/>
      <c r="J63" s="2816"/>
      <c r="K63" s="2482">
        <f>K61+1</f>
        <v>7</v>
      </c>
      <c r="L63" s="3542" t="s">
        <v>1758</v>
      </c>
      <c r="M63" s="3542"/>
      <c r="N63" s="2500"/>
      <c r="O63" s="2501">
        <f ca="1">IF(H19="元",ROUND(O61/项目基本情况!C12,0),ROUND(O61*10000/项目基本情况!C12,0))</f>
        <v>10921</v>
      </c>
      <c r="P63" s="2502"/>
    </row>
    <row r="64" spans="1:17" ht="12.75">
      <c r="A64" s="3476" t="s">
        <v>1759</v>
      </c>
      <c r="B64" s="3477"/>
      <c r="C64" s="1576"/>
      <c r="D64" s="1576" t="s">
        <v>1760</v>
      </c>
      <c r="E64" s="45" t="s">
        <v>1761</v>
      </c>
      <c r="F64" s="2951"/>
      <c r="G64" s="2951"/>
      <c r="H64" s="2946"/>
      <c r="I64" s="946"/>
      <c r="J64" s="2816"/>
      <c r="K64" s="1277"/>
      <c r="L64" s="1277"/>
      <c r="M64" s="1277"/>
      <c r="N64" s="1277"/>
      <c r="O64" s="1277"/>
    </row>
    <row r="65" spans="1:36" ht="12.75">
      <c r="A65" s="46">
        <v>1</v>
      </c>
      <c r="B65" s="47" t="s">
        <v>1762</v>
      </c>
      <c r="C65" s="2755">
        <f ca="1">ROUND((C66+C67)/(1+'数据-取费表'!F30),0)</f>
        <v>12581881</v>
      </c>
      <c r="D65" s="47"/>
      <c r="E65" s="48"/>
      <c r="F65" s="2951"/>
      <c r="G65" s="2951"/>
      <c r="H65" s="2946"/>
      <c r="I65" s="946"/>
      <c r="J65" s="2816"/>
      <c r="K65" s="3550" t="s">
        <v>1763</v>
      </c>
      <c r="L65" s="1276" t="s">
        <v>1764</v>
      </c>
      <c r="M65" s="1276">
        <f ca="1">IF(N51&gt;10000,N51*0.5%,IF(AND(N51&gt;1000,N51&lt;=10000),N51*1%,IF(AND(N51&gt;100,N51&lt;=1000),N51*3%,IF(AND(N51&gt;10,N51&lt;=100),N51*5%,N51*8%))))</f>
        <v>66054.875</v>
      </c>
      <c r="N65" s="235">
        <f ca="1">ROUND(M65,1)</f>
        <v>66054.899999999994</v>
      </c>
      <c r="O65" s="2503"/>
    </row>
    <row r="66" spans="1:36" ht="12.75">
      <c r="A66" s="49" t="s">
        <v>71</v>
      </c>
      <c r="B66" s="50" t="s">
        <v>1765</v>
      </c>
      <c r="C66" s="2756">
        <f ca="1">D47</f>
        <v>13210975</v>
      </c>
      <c r="D66" s="50" t="s">
        <v>41</v>
      </c>
      <c r="E66" s="52"/>
      <c r="F66" s="2951"/>
      <c r="G66" s="2951"/>
      <c r="H66" s="2946"/>
      <c r="I66" s="946"/>
      <c r="J66" s="2816"/>
      <c r="K66" s="3550"/>
      <c r="L66" s="1276" t="s">
        <v>1766</v>
      </c>
      <c r="M66" s="1276">
        <f ca="1">IF(N51&gt;2000,N51*0.5%,IF(AND(N51&gt;1000,N51&lt;=2000),N51*0.6%,IF(AND(N51&gt;500,N51&lt;=1000),N51*0.7%,IF(AND(N51&gt;200,N51&lt;=500),N51*0.8%,IF(AND(N51&gt;100,N51&lt;=200),N51*0.9%,IF(AND(N51&gt;50,N51&lt;=100),N51*1%,IF(AND(N51&gt;20,N51&lt;=50),N51*1.5%,IF(AND(N51&gt;10,N51&lt;=20),N51*2%,IF(AND(N51&gt;1,N51&lt;=10),N51*2.5%)))))))))</f>
        <v>66054.875</v>
      </c>
      <c r="N66" s="235">
        <f t="shared" ref="N66:N67" ca="1" si="2">ROUND(M66,1)</f>
        <v>66054.899999999994</v>
      </c>
      <c r="O66" s="2503" t="s">
        <v>1767</v>
      </c>
    </row>
    <row r="67" spans="1:36" ht="12.75">
      <c r="A67" s="49" t="s">
        <v>72</v>
      </c>
      <c r="B67" s="50" t="s">
        <v>1768</v>
      </c>
      <c r="C67" s="2757"/>
      <c r="D67" s="50"/>
      <c r="E67" s="52"/>
      <c r="F67" s="2951"/>
      <c r="G67" s="2951"/>
      <c r="H67" s="2946"/>
      <c r="I67" s="946"/>
      <c r="J67" s="2816"/>
      <c r="K67" s="3550"/>
      <c r="L67" s="1276" t="s">
        <v>1769</v>
      </c>
      <c r="M67" s="1276">
        <f ca="1">IF(N51&gt;1000,N51*0.1%,IF(AND(N51&gt;500,N51&lt;=1000),N51*0.5%,IF(AND(N51&gt;50,N51&lt;=500),N51*1%,IF(AND(N51&gt;1,N51&lt;=50),N51*1.5%))))</f>
        <v>13210.975</v>
      </c>
      <c r="N67" s="235">
        <f t="shared" ca="1" si="2"/>
        <v>13211</v>
      </c>
      <c r="O67" s="2503" t="s">
        <v>1767</v>
      </c>
    </row>
    <row r="68" spans="1:36" ht="12.75">
      <c r="A68" s="53" t="s">
        <v>47</v>
      </c>
      <c r="B68" s="54" t="s">
        <v>1770</v>
      </c>
      <c r="C68" s="2758"/>
      <c r="D68" s="54" t="s">
        <v>41</v>
      </c>
      <c r="E68" s="1285" t="s">
        <v>1771</v>
      </c>
      <c r="F68" s="2951"/>
      <c r="G68" s="2951"/>
      <c r="H68" s="2946"/>
      <c r="I68" s="946"/>
      <c r="J68" s="2816"/>
      <c r="K68" s="3550"/>
      <c r="L68" s="1276" t="s">
        <v>1772</v>
      </c>
      <c r="M68" s="1276">
        <f ca="1">N51*0.5%</f>
        <v>66054.875</v>
      </c>
      <c r="N68" s="235">
        <f ca="1">IF(M68&gt;0.5,0.5,ROUND(M68,0))</f>
        <v>0.5</v>
      </c>
      <c r="O68" s="2503" t="s">
        <v>1773</v>
      </c>
    </row>
    <row r="69" spans="1:36" ht="12.75">
      <c r="A69" s="53" t="s">
        <v>42</v>
      </c>
      <c r="B69" s="54" t="s">
        <v>1774</v>
      </c>
      <c r="C69" s="2759">
        <f ca="1">C65-C68</f>
        <v>12581881</v>
      </c>
      <c r="D69" s="50" t="s">
        <v>41</v>
      </c>
      <c r="E69" s="52"/>
      <c r="F69" s="2951"/>
      <c r="G69" s="2951"/>
      <c r="H69" s="2946"/>
      <c r="I69" s="946"/>
      <c r="J69" s="2816"/>
      <c r="K69" s="3550"/>
      <c r="L69" s="1276" t="s">
        <v>1775</v>
      </c>
      <c r="M69" s="1276">
        <f ca="1">IF(N51&gt;=10000,(8.25+(N51-10000)*0.01%),IF(AND(N51&gt;=8000,N51&lt;10000),(7.85+(N51-8000)*0.02%),IF(AND(N51&gt;=5000,N51&lt;8000),(6.65+(N51-5000)*0.04%),IF(AND(N51&gt;=2000,N51&lt;5000),(4.25+(PN51-2000)*0.08%),IF(AND(N51&gt;=1000,N51&lt;2000),(2.75+(N51-1000)*0.15%),IF(AND(N51&gt;=100,N51&lt;1000),(0.5+(N51-100)*0.25%),IF(AND(N51&gt;0,N51&lt;100),N51*0.5%)))))))</f>
        <v>1328.3475000000001</v>
      </c>
      <c r="N69" s="235">
        <f ca="1">ROUND(M69*0.9,1)</f>
        <v>1195.5</v>
      </c>
      <c r="O69" s="2503"/>
    </row>
    <row r="70" spans="1:36" ht="13.5" thickBot="1">
      <c r="A70" s="55" t="s">
        <v>46</v>
      </c>
      <c r="B70" s="56" t="s">
        <v>1776</v>
      </c>
      <c r="C70" s="2760">
        <f ca="1">IF(C69&lt;=0,0,ROUND(C69*D70,0))</f>
        <v>692003</v>
      </c>
      <c r="D70" s="2211">
        <f>'数据-取费表'!E29</f>
        <v>5.5000000000000007E-2</v>
      </c>
      <c r="E70" s="57"/>
      <c r="F70" s="2951"/>
      <c r="G70" s="2951"/>
      <c r="H70" s="2946"/>
      <c r="I70" s="946"/>
      <c r="J70" s="2816"/>
      <c r="K70" s="3550"/>
      <c r="L70" s="1276" t="s">
        <v>1777</v>
      </c>
      <c r="M70" s="1276">
        <f ca="1">IF(N51&gt;10000,N51*0.5%,IF(AND(N51&gt;5000,N51&lt;=10000),N51*1%,IF(AND(N51&gt;1000,N51&lt;=5000),N51*2%,IF(AND(N51&gt;200,N51&lt;=1000),N51*3%,N51*5%))))</f>
        <v>66054.875</v>
      </c>
      <c r="N70" s="235">
        <f ca="1">ROUND(M70,1)</f>
        <v>66054.899999999994</v>
      </c>
      <c r="O70" s="2503"/>
    </row>
    <row r="71" spans="1:36" s="1434" customFormat="1" ht="7.5" customHeight="1">
      <c r="A71" s="1446"/>
      <c r="B71" s="1447"/>
      <c r="C71" s="2761"/>
      <c r="D71" s="2254"/>
      <c r="E71" s="1450"/>
      <c r="F71" s="1426"/>
      <c r="G71" s="1426"/>
      <c r="H71" s="1450"/>
      <c r="I71" s="2532"/>
      <c r="J71" s="2816"/>
      <c r="K71" s="3550"/>
      <c r="L71" s="1276" t="s">
        <v>1778</v>
      </c>
      <c r="M71" s="1276"/>
      <c r="N71" s="235">
        <f ca="1">ROUND(SUM(N65:N70),0)</f>
        <v>212572</v>
      </c>
      <c r="O71" s="2504">
        <f ca="1">N71/N51</f>
        <v>1.6090561067597205E-2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7" t="s">
        <v>1779</v>
      </c>
      <c r="B72" s="3538"/>
      <c r="C72" s="3538"/>
      <c r="D72" s="3538"/>
      <c r="E72" s="3538"/>
      <c r="F72" s="3538"/>
      <c r="G72" s="3538"/>
      <c r="H72" s="3538"/>
      <c r="I72" s="1451"/>
      <c r="J72" s="282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76" t="s">
        <v>1759</v>
      </c>
      <c r="B73" s="3477"/>
      <c r="C73" s="1576"/>
      <c r="D73" s="1576" t="s">
        <v>1760</v>
      </c>
      <c r="E73" s="58" t="s">
        <v>1761</v>
      </c>
      <c r="F73" s="59"/>
      <c r="G73" s="59"/>
      <c r="H73" s="60"/>
      <c r="I73" s="2762"/>
      <c r="J73" s="284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59">
        <f ca="1">ROUND(D47/(1+'数据-取费表'!F30),0)</f>
        <v>12581881</v>
      </c>
      <c r="D74" s="50" t="s">
        <v>41</v>
      </c>
      <c r="E74" s="2057"/>
      <c r="F74" s="2058"/>
      <c r="G74" s="2058"/>
      <c r="H74" s="62"/>
      <c r="I74" s="2762"/>
      <c r="J74" s="284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59">
        <f ca="1">C76+C80</f>
        <v>62909</v>
      </c>
      <c r="D75" s="50" t="s">
        <v>41</v>
      </c>
      <c r="E75" s="2057"/>
      <c r="F75" s="2058"/>
      <c r="G75" s="2058"/>
      <c r="H75" s="62"/>
      <c r="I75" s="2762"/>
      <c r="J75" s="284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7"/>
      <c r="J77" s="284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19" t="s">
        <v>1789</v>
      </c>
      <c r="F78" s="3457"/>
      <c r="G78" s="3457"/>
      <c r="H78" s="3471"/>
      <c r="I78" s="2762"/>
      <c r="J78" s="284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67">
        <f ca="1">ROUND(D47*D80/(1+'数据-取费表'!F30),0)</f>
        <v>62909</v>
      </c>
      <c r="D80" s="2768">
        <f>'数据-取费表'!E31</f>
        <v>5.000000000000001E-3</v>
      </c>
      <c r="E80" s="3451" t="s">
        <v>1794</v>
      </c>
      <c r="F80" s="3452"/>
      <c r="G80" s="3452"/>
      <c r="H80" s="3453"/>
      <c r="I80" s="608"/>
      <c r="J80" s="284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59">
        <f ca="1">C74-C75</f>
        <v>12518972</v>
      </c>
      <c r="D81" s="50" t="s">
        <v>41</v>
      </c>
      <c r="E81" s="2057"/>
      <c r="F81" s="2058"/>
      <c r="G81" s="2058"/>
      <c r="H81" s="62"/>
      <c r="I81" s="2762"/>
      <c r="J81" s="284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69">
        <f ca="1">IF(C81&lt;=0,0,C81/C75)</f>
        <v>199.001287574115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2"/>
      <c r="J82" s="284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70">
        <f ca="1">ROUND(IF(C81&lt;=0,0,IF(C82&gt;=200%,C81*60%-C75*35%,IF(C82&gt;=100%,C81*50%-C75*15%,IF(C82&gt;=50%,C81*40%-C75*5%,IF(C82&lt;50%,C81*30%,0))))),0)</f>
        <v>7489365</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7" t="s">
        <v>1798</v>
      </c>
      <c r="B85" s="3538"/>
      <c r="C85" s="3538"/>
      <c r="D85" s="3538"/>
      <c r="E85" s="3538"/>
      <c r="F85" s="3538"/>
      <c r="G85" s="3538"/>
      <c r="H85" s="3538"/>
      <c r="I85" s="607"/>
      <c r="J85" s="284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76" t="s">
        <v>1759</v>
      </c>
      <c r="B86" s="3477"/>
      <c r="C86" s="1576"/>
      <c r="D86" s="1576" t="s">
        <v>1760</v>
      </c>
      <c r="E86" s="58" t="s">
        <v>1761</v>
      </c>
      <c r="F86" s="59"/>
      <c r="G86" s="59"/>
      <c r="H86" s="72"/>
      <c r="I86" s="607"/>
      <c r="J86" s="284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59">
        <f ca="1">ROUND(D47/(1+'数据-取费表'!F30),0)</f>
        <v>12581881</v>
      </c>
      <c r="D87" s="50" t="s">
        <v>41</v>
      </c>
      <c r="E87" s="2057"/>
      <c r="F87" s="2058"/>
      <c r="G87" s="2058"/>
      <c r="H87" s="73"/>
      <c r="I87" s="607"/>
      <c r="J87" s="284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59">
        <f ca="1">IF(H90="仅含出让金",C89+C92+C93+C94+C95+C96,C89+C93+C94+C95+C96)</f>
        <v>62909</v>
      </c>
      <c r="D88" s="2771"/>
      <c r="E88" s="2057"/>
      <c r="F88" s="2058"/>
      <c r="G88" s="2058"/>
      <c r="H88" s="73"/>
      <c r="I88" s="607"/>
      <c r="J88" s="284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7"/>
      <c r="J89" s="284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7"/>
      <c r="J90" s="2848"/>
      <c r="K90" s="2943" t="s">
        <v>2759</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7"/>
      <c r="J91" s="284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512" t="s">
        <v>2676</v>
      </c>
      <c r="H92" s="3539"/>
      <c r="I92" s="607"/>
      <c r="J92" s="2848"/>
      <c r="K92" s="2943" t="s">
        <v>2760</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51" t="s">
        <v>1806</v>
      </c>
      <c r="F93" s="3452"/>
      <c r="G93" s="3452"/>
      <c r="H93" s="1458" t="s">
        <v>1807</v>
      </c>
      <c r="I93" s="2773"/>
      <c r="J93" s="285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51" t="s">
        <v>1809</v>
      </c>
      <c r="F94" s="3452"/>
      <c r="G94" s="3452"/>
      <c r="H94" s="3453"/>
      <c r="I94" s="607"/>
      <c r="J94" s="2848"/>
      <c r="K94" s="2944" t="s">
        <v>2761</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67">
        <f ca="1">ROUND(D47*D95/(1+'数据-取费表'!F30),0)</f>
        <v>62909</v>
      </c>
      <c r="D95" s="2768">
        <f>'数据-取费表'!E31</f>
        <v>5.000000000000001E-3</v>
      </c>
      <c r="E95" s="3451" t="s">
        <v>1794</v>
      </c>
      <c r="F95" s="3452"/>
      <c r="G95" s="3452"/>
      <c r="H95" s="3453"/>
      <c r="I95" s="607"/>
      <c r="J95" s="284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51" t="s">
        <v>1811</v>
      </c>
      <c r="F96" s="3452"/>
      <c r="G96" s="3452"/>
      <c r="H96" s="3453"/>
      <c r="I96" s="607"/>
      <c r="J96" s="284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59">
        <f ca="1">ROUND(C87-C88,0)</f>
        <v>12518972</v>
      </c>
      <c r="D97" s="50" t="s">
        <v>41</v>
      </c>
      <c r="E97" s="2057"/>
      <c r="F97" s="2058"/>
      <c r="G97" s="2058"/>
      <c r="H97" s="73"/>
      <c r="I97" s="607"/>
      <c r="J97" s="284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69">
        <f ca="1">IF(C97&lt;=0,0,C97/C88)</f>
        <v>199.001287574115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4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7489365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98" t="s">
        <v>1813</v>
      </c>
      <c r="B101" s="3499"/>
      <c r="C101" s="3499"/>
      <c r="D101" s="3500"/>
      <c r="E101" s="1430"/>
      <c r="F101" s="3534" t="s">
        <v>2718</v>
      </c>
      <c r="G101" s="3535"/>
      <c r="H101" s="3535"/>
      <c r="I101" s="3536"/>
      <c r="J101" s="2851"/>
    </row>
    <row r="102" spans="1:36" ht="15">
      <c r="A102" s="3510" t="s">
        <v>1815</v>
      </c>
      <c r="B102" s="3511"/>
      <c r="C102" s="2774" t="str">
        <f>C4</f>
        <v>比较法-办公</v>
      </c>
      <c r="D102" s="2775" t="str">
        <f>D4</f>
        <v>收益法</v>
      </c>
      <c r="E102" s="1430"/>
      <c r="F102" s="3422" t="s">
        <v>2719</v>
      </c>
      <c r="G102" s="3423"/>
      <c r="H102" s="3428" t="s">
        <v>2720</v>
      </c>
      <c r="I102" s="3421"/>
      <c r="J102" s="2831"/>
    </row>
    <row r="103" spans="1:36" ht="12.75">
      <c r="A103" s="3531" t="s">
        <v>2714</v>
      </c>
      <c r="B103" s="2276" t="str">
        <f>IF(H19="元","总价（元）","总价（万元）")</f>
        <v>总价（元）</v>
      </c>
      <c r="C103" s="1276">
        <f ca="1">C19</f>
        <v>7226873</v>
      </c>
      <c r="D103" s="2778">
        <f ca="1">D19</f>
        <v>4542125</v>
      </c>
      <c r="E103" s="1430"/>
      <c r="F103" s="3532"/>
      <c r="G103" s="3533"/>
      <c r="H103" s="3420">
        <f>典型户型修正!B25</f>
        <v>447.86</v>
      </c>
      <c r="I103" s="3421"/>
      <c r="J103" s="2831"/>
    </row>
    <row r="104" spans="1:36" ht="12.75">
      <c r="A104" s="3531"/>
      <c r="B104" s="2276" t="s">
        <v>2715</v>
      </c>
      <c r="C104" s="2779">
        <f ca="1">C20</f>
        <v>33198</v>
      </c>
      <c r="D104" s="2780">
        <f ca="1">D20</f>
        <v>20865</v>
      </c>
      <c r="E104" s="1430"/>
      <c r="F104" s="3432" t="s">
        <v>2721</v>
      </c>
      <c r="G104" s="3433"/>
      <c r="H104" s="2788" t="str">
        <f>C110</f>
        <v>总价（元）</v>
      </c>
      <c r="I104" s="2789">
        <f ca="1">H125</f>
        <v>13210975</v>
      </c>
      <c r="J104" s="2831"/>
    </row>
    <row r="105" spans="1:36" ht="12.75">
      <c r="A105" s="3531" t="s">
        <v>2716</v>
      </c>
      <c r="B105" s="2214" t="str">
        <f>B103</f>
        <v>总价（元）</v>
      </c>
      <c r="C105" s="12">
        <f ca="1">ROUND(IF('数据-取费表'!B4="总价",G19,IF(H19="元",G20*'数据-取费表'!E5,G20*'数据-取费表'!E5/10000)),0)</f>
        <v>6421420</v>
      </c>
      <c r="D105" s="2781"/>
      <c r="E105" s="1430"/>
      <c r="F105" s="3432"/>
      <c r="G105" s="3433"/>
      <c r="H105" s="2788" t="s">
        <v>2722</v>
      </c>
      <c r="I105" s="52">
        <f ca="1">I125</f>
        <v>294980016</v>
      </c>
      <c r="J105" s="2815"/>
    </row>
    <row r="106" spans="1:36" ht="12.75">
      <c r="A106" s="3531"/>
      <c r="B106" s="2276" t="s">
        <v>2715</v>
      </c>
      <c r="C106" s="1450">
        <f ca="1">ROUND(IF('数据-取费表'!B4="楼面单价",G20,IF(H19="元",G19/'数据-取费表'!E5,G19*10000/'数据-取费表'!E5)),0)</f>
        <v>29498</v>
      </c>
      <c r="D106" s="2781"/>
      <c r="E106" s="1430"/>
      <c r="F106" s="3432"/>
      <c r="G106" s="3433"/>
      <c r="H106" s="3492"/>
      <c r="I106" s="3493"/>
      <c r="J106" s="2832"/>
    </row>
    <row r="107" spans="1:36" ht="12.75">
      <c r="A107" s="3525" t="s">
        <v>2717</v>
      </c>
      <c r="B107" s="2782" t="str">
        <f>B103</f>
        <v>总价（元）</v>
      </c>
      <c r="C107" s="2783">
        <f ca="1">H125</f>
        <v>13210975</v>
      </c>
      <c r="D107" s="2784"/>
      <c r="E107" s="1430"/>
      <c r="F107" s="3496" t="s">
        <v>2723</v>
      </c>
      <c r="G107" s="3497"/>
      <c r="H107" s="2790" t="str">
        <f>C112</f>
        <v>总额（元）</v>
      </c>
      <c r="I107" s="2789">
        <f>SUMIF(I108:I110,"&lt;9E307")</f>
        <v>0</v>
      </c>
      <c r="J107" s="2831"/>
    </row>
    <row r="108" spans="1:36" ht="15" thickBot="1">
      <c r="A108" s="3491"/>
      <c r="B108" s="2785" t="s">
        <v>2715</v>
      </c>
      <c r="C108" s="2786">
        <f ca="1">I125</f>
        <v>294980016</v>
      </c>
      <c r="D108" s="2787"/>
      <c r="E108" s="1430"/>
      <c r="F108" s="3434" t="s">
        <v>2724</v>
      </c>
      <c r="G108" s="3435"/>
      <c r="H108" s="2790" t="str">
        <f>C113</f>
        <v>总额（元）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28" t="s">
        <v>1816</v>
      </c>
      <c r="B109" s="3529"/>
      <c r="C109" s="3529"/>
      <c r="D109" s="3530"/>
      <c r="E109" s="1430"/>
      <c r="F109" s="3434" t="s">
        <v>2725</v>
      </c>
      <c r="G109" s="3435"/>
      <c r="H109" s="2790" t="str">
        <f>C114</f>
        <v>总额（元）</v>
      </c>
      <c r="I109" s="52">
        <f>C39</f>
        <v>0</v>
      </c>
      <c r="J109" s="2815"/>
    </row>
    <row r="110" spans="1:36" ht="12.75">
      <c r="A110" s="3432" t="s">
        <v>2728</v>
      </c>
      <c r="B110" s="3433"/>
      <c r="C110" s="2788" t="str">
        <f>B103</f>
        <v>总价（元）</v>
      </c>
      <c r="D110" s="2789">
        <f ca="1">H125</f>
        <v>13210975</v>
      </c>
      <c r="E110" s="1430"/>
      <c r="F110" s="3434" t="s">
        <v>2726</v>
      </c>
      <c r="G110" s="3435"/>
      <c r="H110" s="2790" t="str">
        <f>C115</f>
        <v>总额（元）</v>
      </c>
      <c r="I110" s="52">
        <f>C40</f>
        <v>0</v>
      </c>
      <c r="J110" s="2815"/>
    </row>
    <row r="111" spans="1:36" ht="12.75">
      <c r="A111" s="3432"/>
      <c r="B111" s="3433"/>
      <c r="C111" s="2788" t="s">
        <v>2729</v>
      </c>
      <c r="D111" s="52">
        <f ca="1">I125</f>
        <v>294980016</v>
      </c>
      <c r="E111" s="1430"/>
      <c r="F111" s="3432"/>
      <c r="G111" s="3433"/>
      <c r="H111" s="3494"/>
      <c r="I111" s="3495"/>
      <c r="J111" s="2833"/>
    </row>
    <row r="112" spans="1:36" ht="28.5" customHeight="1">
      <c r="A112" s="3439" t="s">
        <v>2723</v>
      </c>
      <c r="B112" s="3440"/>
      <c r="C112" s="2790" t="str">
        <f>IF(H19="元","总额（元）","总额（万元）")</f>
        <v>总额（元）</v>
      </c>
      <c r="D112" s="2789">
        <f>IF(D38="正常操作",I108+I109+I110,I109+I110)</f>
        <v>0</v>
      </c>
      <c r="E112" s="1430"/>
      <c r="F112" s="3424" t="str">
        <f>IF(项目基本情况!F5="已注销","——","3.房地产抵押价值")</f>
        <v>3.房地产抵押价值</v>
      </c>
      <c r="G112" s="3425"/>
      <c r="H112" s="1450" t="str">
        <f>C116</f>
        <v>总价（元）</v>
      </c>
      <c r="I112" s="2789">
        <f ca="1">IF(F112="——","——",I104-I107)</f>
        <v>13210975</v>
      </c>
      <c r="J112" s="2831"/>
    </row>
    <row r="113" spans="1:27" ht="12.75">
      <c r="A113" s="3434" t="s">
        <v>2730</v>
      </c>
      <c r="B113" s="3435"/>
      <c r="C113" s="2790" t="str">
        <f>C112</f>
        <v>总额（元）</v>
      </c>
      <c r="D113" s="52">
        <f>IF(D38="同一抵押权人同一抵押物续贷",C38&amp;"（未扣减，详见特别提示）",C38)</f>
        <v>0</v>
      </c>
      <c r="E113" s="1430"/>
      <c r="F113" s="3523"/>
      <c r="G113" s="3524"/>
      <c r="H113" s="2788" t="s">
        <v>2722</v>
      </c>
      <c r="I113" s="2792">
        <f ca="1">D117</f>
        <v>294980016</v>
      </c>
      <c r="J113" s="2834"/>
    </row>
    <row r="114" spans="1:27" ht="12.75">
      <c r="A114" s="3434" t="s">
        <v>2731</v>
      </c>
      <c r="B114" s="3435"/>
      <c r="C114" s="2790" t="str">
        <f>C112</f>
        <v>总额（元）</v>
      </c>
      <c r="D114" s="52">
        <f>C39</f>
        <v>0</v>
      </c>
      <c r="E114" s="1430"/>
      <c r="F114" s="3424" t="str">
        <f>IF(项目基本情况!F5="已注销及未注销","4.抵押担保权已注销时的房地产抵押价值",IF(项目基本情况!F5="已注销","3.抵押担保权已注销时的房地产抵押价值","——"))</f>
        <v>——</v>
      </c>
      <c r="G114" s="3425"/>
      <c r="H114" s="1450" t="str">
        <f>C118</f>
        <v>总价（元）</v>
      </c>
      <c r="I114" s="2789" t="str">
        <f>IF(F114="——","——",I104-I109-I110)</f>
        <v>——</v>
      </c>
      <c r="J114" s="2831"/>
    </row>
    <row r="115" spans="1:27" ht="12.75">
      <c r="A115" s="3434" t="s">
        <v>2732</v>
      </c>
      <c r="B115" s="3435"/>
      <c r="C115" s="2790" t="str">
        <f>C112</f>
        <v>总额（元）</v>
      </c>
      <c r="D115" s="52">
        <f>C40</f>
        <v>0</v>
      </c>
      <c r="E115" s="1430"/>
      <c r="F115" s="3523"/>
      <c r="G115" s="3524"/>
      <c r="H115" s="2788" t="s">
        <v>2722</v>
      </c>
      <c r="I115" s="52" t="str">
        <f>D119</f>
        <v>——</v>
      </c>
      <c r="J115" s="2815"/>
    </row>
    <row r="116" spans="1:27" ht="12.75">
      <c r="A116" s="3432" t="str">
        <f>IF(项目基本情况!F5="已注销","——","3.房地产抵押价值")</f>
        <v>3.房地产抵押价值</v>
      </c>
      <c r="B116" s="3433"/>
      <c r="C116" s="2788" t="str">
        <f>B103</f>
        <v>总价（元）</v>
      </c>
      <c r="D116" s="2789">
        <f ca="1">IF(A116="——","——",D110-D112)</f>
        <v>13210975</v>
      </c>
      <c r="E116" s="1430"/>
      <c r="F116" s="3424" t="str">
        <f>IF(项目基本情况!G5="抵押净值",IF(OR(项目基本情况!F5="已注销",项目基本情况!F5="房地产抵押价值"),"4.抵押净值","5.抵押净值"),"——")</f>
        <v>——</v>
      </c>
      <c r="G116" s="3425"/>
      <c r="H116" s="2788" t="str">
        <f>C120</f>
        <v>总价（元）</v>
      </c>
      <c r="I116" s="2789" t="str">
        <f>IF(F116="——","——",O61)</f>
        <v>——</v>
      </c>
      <c r="J116" s="2831"/>
    </row>
    <row r="117" spans="1:27" ht="13.5" thickBot="1">
      <c r="A117" s="3432"/>
      <c r="B117" s="3433"/>
      <c r="C117" s="2788" t="s">
        <v>2729</v>
      </c>
      <c r="D117" s="52">
        <f ca="1">ROUND(IF(D116=D110,D111,IF(H19="元",D116/B125,D116*10000/B125)),0)</f>
        <v>294980016</v>
      </c>
      <c r="E117" s="1430"/>
      <c r="F117" s="3426"/>
      <c r="G117" s="3427"/>
      <c r="H117" s="2793" t="s">
        <v>2722</v>
      </c>
      <c r="I117" s="2777" t="str">
        <f ca="1">D121</f>
        <v>——</v>
      </c>
      <c r="J117" s="2815"/>
    </row>
    <row r="118" spans="1:27" ht="15.75">
      <c r="A118" s="3432" t="str">
        <f>IF(项目基本情况!F5="已注销及未注销","4.抵押担保权已注销时的房地产抵押价值",IF(项目基本情况!F5="已注销","3.抵押担保权已注销时的房地产抵押价值","——"))</f>
        <v>——</v>
      </c>
      <c r="B118" s="3433"/>
      <c r="C118" s="2788" t="str">
        <f>B103</f>
        <v>总价（元）</v>
      </c>
      <c r="D118" s="2789" t="str">
        <f>IF(A118="——","——",D110-D114-D115)</f>
        <v>——</v>
      </c>
      <c r="E118" s="1430"/>
      <c r="F118" s="3518"/>
      <c r="G118" s="3518"/>
      <c r="H118" s="3482"/>
      <c r="I118" s="3482"/>
      <c r="J118" s="2835"/>
      <c r="O118" s="32"/>
      <c r="P118" s="32"/>
    </row>
    <row r="119" spans="1:27" s="1277" customFormat="1" ht="12.75">
      <c r="A119" s="3432"/>
      <c r="B119" s="3433"/>
      <c r="C119" s="2788" t="s">
        <v>2729</v>
      </c>
      <c r="D119" s="52" t="str">
        <f>IF(A118="——","——",IF(H19="元",ROUND(D118/B125,0),ROUND(D118*10000/B125,0)))</f>
        <v>——</v>
      </c>
      <c r="E119" s="1430"/>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83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32" t="str">
        <f>IF(项目基本情况!G5="抵押净值",IF(OR(项目基本情况!F5="已注销",项目基本情况!F5="房地产抵押价值"),"4.抵押净值","5.抵押净值"),"——")</f>
        <v>——</v>
      </c>
      <c r="B120" s="3433"/>
      <c r="C120" s="2788" t="str">
        <f>B103</f>
        <v>总价（元）</v>
      </c>
      <c r="D120" s="2789" t="str">
        <f>IF(A120="——","——",O61)</f>
        <v>——</v>
      </c>
      <c r="E120" s="1430"/>
      <c r="F120" s="1484"/>
      <c r="G120" s="1484"/>
      <c r="H120" s="1484"/>
      <c r="I120" s="1484"/>
      <c r="J120" s="283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437"/>
      <c r="B121" s="3438"/>
      <c r="C121" s="2793" t="s">
        <v>2729</v>
      </c>
      <c r="D121" s="2777" t="str">
        <f ca="1">IF(D120=D110,D111,IF(A120="——","——",O63))</f>
        <v>——</v>
      </c>
      <c r="E121" s="1430"/>
      <c r="F121" s="1484"/>
      <c r="G121" s="1484"/>
      <c r="H121" s="1484"/>
      <c r="I121" s="1484"/>
      <c r="J121" s="283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83" t="s">
        <v>1855</v>
      </c>
      <c r="B122" s="3484"/>
      <c r="C122" s="3484"/>
      <c r="D122" s="3484"/>
      <c r="E122" s="3484"/>
      <c r="F122" s="3484"/>
      <c r="G122" s="3484"/>
      <c r="H122" s="3484"/>
      <c r="I122" s="3484"/>
      <c r="J122" s="283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17" t="s">
        <v>2733</v>
      </c>
      <c r="B123" s="3443" t="s">
        <v>2734</v>
      </c>
      <c r="C123" s="3443" t="s">
        <v>2740</v>
      </c>
      <c r="D123" s="3505" t="s">
        <v>2735</v>
      </c>
      <c r="E123" s="3506"/>
      <c r="F123" s="3418" t="s">
        <v>2741</v>
      </c>
      <c r="G123" s="3418"/>
      <c r="H123" s="3418" t="s">
        <v>2736</v>
      </c>
      <c r="I123" s="3504"/>
      <c r="J123" s="281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17"/>
      <c r="B124" s="3444"/>
      <c r="C124" s="3444"/>
      <c r="D124" s="2061" t="s">
        <v>2737</v>
      </c>
      <c r="E124" s="2061" t="s">
        <v>2742</v>
      </c>
      <c r="F124" s="2061" t="s">
        <v>2737</v>
      </c>
      <c r="G124" s="2061" t="s">
        <v>2738</v>
      </c>
      <c r="H124" s="2061" t="s">
        <v>2737</v>
      </c>
      <c r="I124" s="52" t="s">
        <v>2738</v>
      </c>
      <c r="J124" s="281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447.86</v>
      </c>
      <c r="C125" s="1425"/>
      <c r="D125" s="2061">
        <f>C36</f>
        <v>0</v>
      </c>
      <c r="E125" s="2061">
        <f>ROUND(IF(H19="元",D125/B125,D125*10000/B125),0)</f>
        <v>0</v>
      </c>
      <c r="F125" s="2061">
        <f>C37</f>
        <v>0</v>
      </c>
      <c r="G125" s="2061">
        <f>ROUND(IF(H19="元",F125/B125,F125*10000/B125),0)</f>
        <v>0</v>
      </c>
      <c r="H125" s="2061">
        <f ca="1">C34</f>
        <v>13210975</v>
      </c>
      <c r="I125" s="52">
        <f ca="1">C35</f>
        <v>294980016</v>
      </c>
      <c r="J125" s="281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17" t="s">
        <v>2739</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 ca="1">IF(H19="元",NUMBERSTRING(INT(H125),2)&amp;"元整",NUMBERSTRING(INT(H125*10000),2)&amp;"元整")</f>
        <v>壹仟叁佰贰拾壹万零玖佰柒拾伍元整</v>
      </c>
      <c r="I126" s="3446"/>
      <c r="J126" s="283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83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89" t="s">
        <v>2739</v>
      </c>
      <c r="B128" s="3457"/>
      <c r="C128" s="3458"/>
      <c r="D128" s="3429">
        <f>H111</f>
        <v>0</v>
      </c>
      <c r="E128" s="3430"/>
      <c r="F128" s="3430"/>
      <c r="G128" s="3430"/>
      <c r="H128" s="3430"/>
      <c r="I128" s="3431"/>
      <c r="J128" s="283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32" t="str">
        <f>IF(项目基本情况!D5="房地产市场价值","——",MID(A116,3,LEN(A116)-2))</f>
        <v>房地产抵押价值</v>
      </c>
      <c r="B129" s="3433"/>
      <c r="C129" s="3433"/>
      <c r="D129" s="3420">
        <f ca="1">I112</f>
        <v>13210975</v>
      </c>
      <c r="E129" s="3428"/>
      <c r="F129" s="3428"/>
      <c r="G129" s="3428"/>
      <c r="H129" s="3428"/>
      <c r="I129" s="3421"/>
      <c r="J129" s="283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17" t="s">
        <v>2739</v>
      </c>
      <c r="B130" s="3418"/>
      <c r="C130" s="3418"/>
      <c r="D130" s="3429">
        <f ca="1">I113</f>
        <v>294980016</v>
      </c>
      <c r="E130" s="3430"/>
      <c r="F130" s="3430"/>
      <c r="G130" s="3430"/>
      <c r="H130" s="3430"/>
      <c r="I130" s="3431"/>
      <c r="J130" s="283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32" t="str">
        <f>IF(项目基本情况!D5="房地产市场价值","——",MID(A118,3,LEN(A118)-2))</f>
        <v/>
      </c>
      <c r="B131" s="3433"/>
      <c r="C131" s="3433"/>
      <c r="D131" s="3465" t="str">
        <f>I114</f>
        <v>——</v>
      </c>
      <c r="E131" s="3466"/>
      <c r="F131" s="3466"/>
      <c r="G131" s="3466"/>
      <c r="H131" s="3466"/>
      <c r="I131" s="3517"/>
      <c r="J131" s="283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17" t="s">
        <v>2739</v>
      </c>
      <c r="B132" s="3418"/>
      <c r="C132" s="3419"/>
      <c r="D132" s="3481" t="str">
        <f>I115</f>
        <v>——</v>
      </c>
      <c r="E132" s="3481"/>
      <c r="F132" s="3481"/>
      <c r="G132" s="3481"/>
      <c r="H132" s="3481"/>
      <c r="I132" s="3481"/>
      <c r="J132" s="283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32" t="str">
        <f>IF(项目基本情况!D5="房地产市场价值","——",MID(F116,3,LEN(F116)-2))</f>
        <v/>
      </c>
      <c r="B133" s="3433"/>
      <c r="C133" s="3420"/>
      <c r="D133" s="3436" t="str">
        <f>I116</f>
        <v>——</v>
      </c>
      <c r="E133" s="3436"/>
      <c r="F133" s="3436"/>
      <c r="G133" s="3436"/>
      <c r="H133" s="3436"/>
      <c r="I133" s="3436"/>
      <c r="J133" s="283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41" t="s">
        <v>2739</v>
      </c>
      <c r="B134" s="3442"/>
      <c r="C134" s="3442"/>
      <c r="D134" s="3447">
        <f>H118</f>
        <v>0</v>
      </c>
      <c r="E134" s="3448"/>
      <c r="F134" s="3448"/>
      <c r="G134" s="3448"/>
      <c r="H134" s="3448"/>
      <c r="I134" s="3449"/>
      <c r="J134" s="283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4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83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4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4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4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4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4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2"/>
    </row>
    <row r="152" spans="1:27" s="658" customFormat="1" ht="21.75" customHeight="1">
      <c r="J152" s="2842"/>
    </row>
    <row r="153" spans="1:27" s="658" customFormat="1" ht="21.75" customHeight="1">
      <c r="J153" s="2842"/>
    </row>
    <row r="154" spans="1:27" s="658" customFormat="1" ht="21.75" customHeight="1">
      <c r="J154" s="2842"/>
    </row>
    <row r="155" spans="1:27" s="658" customFormat="1" ht="21.75" customHeight="1">
      <c r="J155" s="2842"/>
    </row>
    <row r="156" spans="1:27" s="658" customFormat="1" ht="21.75" customHeight="1">
      <c r="J156" s="2842"/>
    </row>
    <row r="157" spans="1:27" s="658" customFormat="1" ht="21.75" customHeight="1">
      <c r="J157" s="2842"/>
    </row>
    <row r="158" spans="1:27" s="658" customFormat="1" ht="21.75" customHeight="1">
      <c r="J158" s="2842"/>
    </row>
    <row r="159" spans="1:27" s="658" customFormat="1" ht="21.75" customHeight="1">
      <c r="J159" s="2842"/>
    </row>
    <row r="160" spans="1:27"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27" s="658" customFormat="1" ht="21.75" customHeight="1">
      <c r="J369" s="2842"/>
    </row>
    <row r="370" spans="10:27" s="658" customFormat="1" ht="21.75" customHeight="1">
      <c r="J370" s="2842"/>
    </row>
    <row r="371" spans="10:27" s="658" customFormat="1" ht="21.75" customHeight="1">
      <c r="J371" s="2842"/>
    </row>
    <row r="372" spans="10:27" s="658" customFormat="1" ht="21.75" customHeight="1">
      <c r="J372" s="2842"/>
    </row>
    <row r="373" spans="10:27" s="658" customFormat="1" ht="21.75" customHeight="1">
      <c r="J373" s="2842"/>
    </row>
    <row r="374" spans="10:27" s="658" customFormat="1" ht="21.75" customHeight="1">
      <c r="J374" s="2842"/>
    </row>
    <row r="375" spans="10:27" s="658" customFormat="1" ht="21.75" customHeight="1">
      <c r="J375" s="2842"/>
    </row>
    <row r="376" spans="10:27" s="658" customFormat="1" ht="21.75" customHeight="1">
      <c r="J376" s="2842"/>
    </row>
    <row r="377" spans="10:27" s="658" customFormat="1" ht="21.75" customHeight="1">
      <c r="J377" s="2842"/>
    </row>
    <row r="378" spans="10:27" s="658" customFormat="1" ht="21.75" customHeight="1">
      <c r="J378" s="2842"/>
    </row>
    <row r="379" spans="10:27" s="658" customFormat="1" ht="21.75" customHeight="1">
      <c r="J379" s="2842"/>
    </row>
    <row r="380" spans="10:27" s="658" customFormat="1" ht="21.75" customHeight="1">
      <c r="J380" s="2842"/>
    </row>
    <row r="381" spans="10:27" s="658" customFormat="1" ht="21.75" customHeight="1">
      <c r="J381" s="2842"/>
    </row>
    <row r="382" spans="10:27" s="658" customFormat="1" ht="21.75" customHeight="1">
      <c r="J382" s="2842"/>
    </row>
    <row r="383" spans="10:27" s="1277" customFormat="1" ht="21.75" customHeight="1">
      <c r="J383" s="281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21738240</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48538</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13694251</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f>基准地价修正!E29</f>
        <v>13202017</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402662</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89572</v>
      </c>
      <c r="D8" s="1140"/>
      <c r="E8" s="115"/>
      <c r="F8" s="1139"/>
      <c r="G8" s="1487" t="s">
        <v>2999</v>
      </c>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89572</v>
      </c>
      <c r="D10" s="1142">
        <f>IF('数据-取费表'!B10&lt;&gt;"住宅",IF(B1="仅计算典型户型",'数据-取费表'!E5,'数据-取费表'!B5),0)</f>
        <v>447.86</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447.86</v>
      </c>
      <c r="E19" s="111">
        <f>'数据-取费表'!E15</f>
        <v>200</v>
      </c>
      <c r="F19" s="112"/>
      <c r="G19" s="1487" t="s">
        <v>3000</v>
      </c>
    </row>
    <row r="20" spans="1:123" s="91" customFormat="1" ht="13.5" customHeight="1">
      <c r="A20" s="120" t="s">
        <v>1885</v>
      </c>
      <c r="B20" s="89" t="s">
        <v>1886</v>
      </c>
      <c r="C20" s="99">
        <f>ROUND((C5+C19)*F20,0)</f>
        <v>273885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1185977</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1174474</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11503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2793627</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2793627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19449220</v>
      </c>
      <c r="D31" s="1145"/>
      <c r="E31" s="111"/>
      <c r="F31" s="1146"/>
      <c r="G31" s="100" t="s">
        <v>1912</v>
      </c>
    </row>
    <row r="32" spans="1:123" s="88" customFormat="1" ht="15.75">
      <c r="A32" s="117" t="s">
        <v>1913</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1961627</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1791440</v>
      </c>
      <c r="D34" s="1137"/>
      <c r="E34" s="115"/>
      <c r="F34" s="1148" t="str">
        <f>IF('数据-取费表'!B26=0,"",'数据-取费表'!E20)</f>
        <v/>
      </c>
      <c r="G34" s="95"/>
    </row>
    <row r="35" spans="1:123" ht="13.5" customHeight="1">
      <c r="A35" s="92" t="s">
        <v>1868</v>
      </c>
      <c r="B35" s="93" t="s">
        <v>1917</v>
      </c>
      <c r="C35" s="115">
        <f>ROUND(C34*F35,0)</f>
        <v>53743</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89572</v>
      </c>
      <c r="D37" s="1137">
        <f>IF(B1="仅计算典型户型",'数据-取费表'!E5,'数据-取费表'!B5)</f>
        <v>447.86</v>
      </c>
      <c r="E37" s="115">
        <f>'数据-取费表'!E23</f>
        <v>200</v>
      </c>
      <c r="F37" s="1149"/>
      <c r="G37" s="124" t="s">
        <v>1922</v>
      </c>
    </row>
    <row r="38" spans="1:123" ht="13.5" customHeight="1">
      <c r="A38" s="92" t="s">
        <v>1923</v>
      </c>
      <c r="B38" s="93" t="s">
        <v>1924</v>
      </c>
      <c r="C38" s="115">
        <f>ROUND(C34*F38,0)</f>
        <v>26872</v>
      </c>
      <c r="D38" s="115"/>
      <c r="E38" s="115"/>
      <c r="F38" s="1149">
        <f>'数据-取费表'!E24</f>
        <v>1.4999999999999999E-2</v>
      </c>
      <c r="G38" s="95" t="s">
        <v>1918</v>
      </c>
    </row>
    <row r="39" spans="1:123" s="91" customFormat="1" ht="13.5" customHeight="1">
      <c r="A39" s="120" t="s">
        <v>1883</v>
      </c>
      <c r="B39" s="89" t="s">
        <v>1886</v>
      </c>
      <c r="C39" s="99">
        <f>ROUND(C33*F20,0)</f>
        <v>39233</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84036</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82388</v>
      </c>
      <c r="D42" s="104"/>
      <c r="E42" s="104"/>
      <c r="F42" s="105"/>
      <c r="G42" s="3554" t="s">
        <v>1928</v>
      </c>
    </row>
    <row r="43" spans="1:123" ht="13.5" customHeight="1">
      <c r="A43" s="92" t="s">
        <v>1868</v>
      </c>
      <c r="B43" s="93" t="s">
        <v>1897</v>
      </c>
      <c r="C43" s="104">
        <f ca="1">ROUND(IF('数据-取费表'!B24&lt;=1,C39*F22*'数据-取费表'!B23/2,C39*(POWER((1+F22),'数据-取费表'!B23/2)-1)),0)</f>
        <v>1648</v>
      </c>
      <c r="D43" s="104"/>
      <c r="E43" s="104"/>
      <c r="F43" s="105"/>
      <c r="G43" s="3555"/>
    </row>
    <row r="44" spans="1:123" ht="13.5" customHeight="1">
      <c r="A44" s="92" t="s">
        <v>1870</v>
      </c>
      <c r="B44" s="93" t="s">
        <v>1899</v>
      </c>
      <c r="C44" s="104">
        <f ca="1">ROUND(IF('数据-取费表'!B24&lt;=1,C40*F22*'数据-取费表'!B23/2,C40*(POWER((1+F22),'数据-取费表'!B23/2)-1)),4)</f>
        <v>8.0000000000000004E-4</v>
      </c>
      <c r="D44" s="104"/>
      <c r="E44" s="104"/>
      <c r="F44" s="105"/>
      <c r="G44" s="3556"/>
    </row>
    <row r="45" spans="1:123" s="91" customFormat="1" ht="13.5" customHeight="1">
      <c r="A45" s="120" t="s">
        <v>1892</v>
      </c>
      <c r="B45" s="110" t="s">
        <v>1904</v>
      </c>
      <c r="C45" s="111">
        <f>C46</f>
        <v>400172</v>
      </c>
      <c r="D45" s="101">
        <f>C47</f>
        <v>4.0000000000000001E-3</v>
      </c>
      <c r="E45" s="102" t="s">
        <v>1926</v>
      </c>
      <c r="F45" s="2858">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400172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5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2692965</v>
      </c>
      <c r="D49" s="99"/>
      <c r="E49" s="99"/>
      <c r="F49" s="126"/>
      <c r="G49" s="100" t="s">
        <v>1936</v>
      </c>
    </row>
    <row r="50" spans="1:123" s="122" customFormat="1" ht="24">
      <c r="A50" s="993" t="s">
        <v>1937</v>
      </c>
      <c r="B50" s="89" t="s">
        <v>1938</v>
      </c>
      <c r="C50" s="99"/>
      <c r="D50" s="99"/>
      <c r="E50" s="99"/>
      <c r="F50" s="126">
        <f>IF('数据-取费表'!B26=0,'数据-取费表'!E20,1)</f>
        <v>0.85</v>
      </c>
      <c r="G50" s="113" t="s">
        <v>1939</v>
      </c>
    </row>
    <row r="51" spans="1:123" ht="16.5" customHeight="1">
      <c r="A51" s="993" t="s">
        <v>1940</v>
      </c>
      <c r="B51" s="89" t="s">
        <v>1941</v>
      </c>
      <c r="C51" s="99">
        <f ca="1">ROUND(C49*F50,0)</f>
        <v>2289020</v>
      </c>
      <c r="D51" s="99"/>
      <c r="E51" s="99"/>
      <c r="F51" s="126"/>
      <c r="G51" s="100" t="s">
        <v>1942</v>
      </c>
    </row>
    <row r="52" spans="1:123" s="88" customFormat="1" ht="16.5" thickBot="1">
      <c r="A52" s="127" t="s">
        <v>1943</v>
      </c>
      <c r="B52" s="128"/>
      <c r="C52" s="129">
        <f ca="1">C31+C51</f>
        <v>21738240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0.105</v>
      </c>
    </row>
    <row r="57" spans="1:123">
      <c r="B57" s="135" t="s">
        <v>1946</v>
      </c>
      <c r="C57" s="137">
        <f ca="1">1-C56</f>
        <v>0.89500000000000002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4962102</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22794</v>
      </c>
      <c r="C3" s="1370" t="s">
        <v>1233</v>
      </c>
      <c r="D3" s="923"/>
      <c r="E3" s="923"/>
      <c r="F3" s="923"/>
      <c r="G3" s="923"/>
      <c r="H3" s="923"/>
      <c r="I3" s="923"/>
      <c r="J3" s="923"/>
      <c r="K3" s="923"/>
    </row>
    <row r="4" spans="1:33" s="143" customFormat="1" ht="16.5" customHeight="1">
      <c r="A4" s="140" t="s">
        <v>1234</v>
      </c>
      <c r="B4" s="141"/>
      <c r="C4" s="1093">
        <f>SUM(C8:K8)</f>
        <v>7619150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217.69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7619150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870760</v>
      </c>
      <c r="D11" s="164"/>
      <c r="E11" s="34"/>
      <c r="F11" s="165">
        <f>1-'数据-取费表'!E20</f>
        <v>0.15000000000000002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26123</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6531</v>
      </c>
      <c r="D14" s="164">
        <f>IF(C1="仅计算典型户型",'数据-取费表'!E5,'数据-取费表'!B5)</f>
        <v>217.69</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13061</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916475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217.69</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-46034</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43538</v>
      </c>
      <c r="D20" s="164">
        <f>IF('数据-取费表'!B10&lt;&gt;"住宅",IF(C1="仅计算典型户型",'数据-取费表'!E5,'数据-取费表'!B5),0)</f>
        <v>217.69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870441</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17409</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22857</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182141</v>
      </c>
      <c r="D28" s="183">
        <f>C29</f>
        <v>0.20580000000000001</v>
      </c>
      <c r="E28" s="189" t="s">
        <v>12</v>
      </c>
      <c r="F28" s="200">
        <f>'数据-取费表'!E28</f>
        <v>0.2</v>
      </c>
      <c r="G28" s="185"/>
      <c r="H28" s="186"/>
      <c r="I28" s="186"/>
      <c r="J28" s="186"/>
      <c r="K28" s="187"/>
    </row>
    <row r="29" spans="1:33" s="204" customFormat="1" ht="13.5" customHeight="1">
      <c r="A29" s="995" t="s">
        <v>1285</v>
      </c>
      <c r="B29" s="202" t="s">
        <v>1286</v>
      </c>
      <c r="C29" s="193">
        <f>ROUND((1+C24)*F28,4)</f>
        <v>0.20580000000000001</v>
      </c>
      <c r="D29" s="193"/>
      <c r="E29" s="194"/>
      <c r="F29" s="203"/>
      <c r="G29" s="147" t="s">
        <v>1287</v>
      </c>
      <c r="H29" s="170"/>
      <c r="I29" s="170"/>
      <c r="J29" s="170"/>
      <c r="K29" s="171"/>
    </row>
    <row r="30" spans="1:33" s="204" customFormat="1" ht="13.5" customHeight="1">
      <c r="A30" s="995" t="s">
        <v>1288</v>
      </c>
      <c r="B30" s="202" t="s">
        <v>1289</v>
      </c>
      <c r="C30" s="205">
        <f>ROUND((C21+C22+C23)*F28,0)</f>
        <v>182141</v>
      </c>
      <c r="D30" s="193"/>
      <c r="E30" s="206"/>
      <c r="F30" s="203"/>
      <c r="G30" s="147"/>
      <c r="H30" s="170"/>
      <c r="I30" s="170"/>
      <c r="J30" s="170"/>
      <c r="K30" s="171"/>
    </row>
    <row r="31" spans="1:33" s="182" customFormat="1" ht="13.5" customHeight="1" thickBot="1">
      <c r="A31" s="1372" t="s">
        <v>1290</v>
      </c>
      <c r="B31" s="177" t="s">
        <v>1291</v>
      </c>
      <c r="C31" s="207">
        <f>ROUND(C4*F31/(1+'数据-取费表'!F30),0)</f>
        <v>399098</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4962102</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Normal="60" zoomScaleSheetLayoutView="100" workbookViewId="0">
      <selection activeCell="D45" sqref="D45: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3012</v>
      </c>
      <c r="E1" s="1595" t="s">
        <v>1184</v>
      </c>
      <c r="F1" s="1596"/>
      <c r="G1" s="1597" t="e">
        <f>MATCH(C1,'数据-取费表'!A19:A19,0)+5</f>
        <v>#N/A</v>
      </c>
      <c r="H1" s="295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4542125</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20865</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250602</v>
      </c>
      <c r="D5" s="1602" t="s">
        <v>2666</v>
      </c>
      <c r="E5" s="926"/>
      <c r="F5" s="1055"/>
      <c r="G5" s="950"/>
      <c r="H5" s="232">
        <v>1</v>
      </c>
      <c r="I5" s="233" t="s">
        <v>1955</v>
      </c>
      <c r="J5" s="234">
        <f ca="1">J6+J10+J12</f>
        <v>0</v>
      </c>
      <c r="K5" s="1489" t="s">
        <v>1956</v>
      </c>
      <c r="L5" s="926"/>
      <c r="M5" s="1055"/>
    </row>
    <row r="6" spans="1:37" ht="18" customHeight="1">
      <c r="A6" s="1056" t="s">
        <v>1957</v>
      </c>
      <c r="B6" s="1411" t="s">
        <v>1958</v>
      </c>
      <c r="C6" s="234">
        <f>ROUND(F6*F8*F7*(1-F9),0)</f>
        <v>250289</v>
      </c>
      <c r="D6" s="36" t="s">
        <v>2641</v>
      </c>
      <c r="E6" s="235" t="s">
        <v>1959</v>
      </c>
      <c r="F6" s="236">
        <f>'数据-取费表'!B30</f>
        <v>3.5</v>
      </c>
      <c r="G6" s="950"/>
      <c r="H6" s="1056" t="s">
        <v>1957</v>
      </c>
      <c r="I6" s="1411" t="s">
        <v>1958</v>
      </c>
      <c r="J6" s="234">
        <f>ROUND(M6*M8*M7*(1-M9),0)</f>
        <v>0</v>
      </c>
      <c r="K6" s="36" t="s">
        <v>2641</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217.69</v>
      </c>
      <c r="G7" s="950"/>
      <c r="H7" s="237"/>
      <c r="I7" s="238"/>
      <c r="J7" s="239"/>
      <c r="K7" s="240"/>
      <c r="L7" s="235" t="s">
        <v>1960</v>
      </c>
      <c r="M7" s="236">
        <f>IF('数据-取费表'!B42="",IF(D1="仅计算典型户型",'数据-取费表'!E5,'数据-取费表'!B5),'数据-取费表'!B42)</f>
        <v>217.69</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313</v>
      </c>
      <c r="D10" s="1491" t="s">
        <v>2647</v>
      </c>
      <c r="E10" s="246" t="s">
        <v>1966</v>
      </c>
      <c r="F10" s="1492" t="s">
        <v>1967</v>
      </c>
      <c r="G10" s="950"/>
      <c r="H10" s="1056" t="s">
        <v>1964</v>
      </c>
      <c r="I10" s="1490" t="s">
        <v>1965</v>
      </c>
      <c r="J10" s="1057">
        <f ca="1">ROUND(IF(M10="押一",J6/12*M11,IF(M10="押二",J6/12*2*M11,IF(M10="押三",J6/12*3*M11,J11*M11))),0)</f>
        <v>0</v>
      </c>
      <c r="K10" s="36" t="s">
        <v>2647</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1112617</v>
      </c>
      <c r="D13" s="1064" t="s">
        <v>1974</v>
      </c>
      <c r="E13" s="1064" t="s">
        <v>1975</v>
      </c>
      <c r="F13" s="1065">
        <f>'数据-取费表'!E20</f>
        <v>0.85</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870760</v>
      </c>
      <c r="D14" s="1297" t="s">
        <v>1978</v>
      </c>
      <c r="E14" s="1298"/>
      <c r="F14" s="798"/>
      <c r="G14" s="951"/>
      <c r="H14" s="253" t="s">
        <v>1957</v>
      </c>
      <c r="I14" s="235" t="s">
        <v>1979</v>
      </c>
      <c r="J14" s="13">
        <f ca="1">C29</f>
        <v>1308961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26123</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28011</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43538</v>
      </c>
      <c r="D17" s="235" t="s">
        <v>1992</v>
      </c>
      <c r="E17" s="235" t="s">
        <v>1993</v>
      </c>
      <c r="F17" s="15">
        <f>'数据-取费表'!E23</f>
        <v>200</v>
      </c>
      <c r="G17" s="951"/>
      <c r="H17" s="253" t="s">
        <v>1994</v>
      </c>
      <c r="I17" s="235" t="s">
        <v>1995</v>
      </c>
      <c r="J17" s="2796">
        <f ca="1">ROUND(IF(AND(项目基本情况!B7="自然人",项目基本情况!B6="北京市"),J6*M17/(1+'数据-取费表'!F30),J18+J19+J20),0)</f>
        <v>10995</v>
      </c>
      <c r="K17" s="1297" t="s">
        <v>1996</v>
      </c>
      <c r="L17" s="1300" t="s">
        <v>1997</v>
      </c>
      <c r="M17" s="279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13061</v>
      </c>
      <c r="D18" s="235" t="s">
        <v>1982</v>
      </c>
      <c r="E18" s="235" t="s">
        <v>1983</v>
      </c>
      <c r="F18" s="258">
        <f>'数据-取费表'!E24</f>
        <v>1.4999999999999999E-2</v>
      </c>
      <c r="G18" s="950"/>
      <c r="H18" s="253" t="s">
        <v>2000</v>
      </c>
      <c r="I18" s="235" t="s">
        <v>2001</v>
      </c>
      <c r="J18" s="13">
        <f>IF(项目基本情况!B7="自然人","——",ROUND(J6*M18/(1+'数据-取费表'!F30),0))</f>
        <v>0</v>
      </c>
      <c r="K18" s="1300" t="s">
        <v>2668</v>
      </c>
      <c r="L18" s="235" t="s">
        <v>1983</v>
      </c>
      <c r="M18" s="258">
        <f>'数据-取费表'!E29</f>
        <v>5.5000000000000007E-2</v>
      </c>
    </row>
    <row r="19" spans="1:37" s="257" customFormat="1" ht="18" customHeight="1">
      <c r="A19" s="253" t="s">
        <v>1994</v>
      </c>
      <c r="B19" s="235" t="s">
        <v>2002</v>
      </c>
      <c r="C19" s="13">
        <f>SUM(C14:C18)</f>
        <v>953482</v>
      </c>
      <c r="D19" s="33" t="s">
        <v>2003</v>
      </c>
      <c r="E19" s="1302"/>
      <c r="F19" s="15"/>
      <c r="G19" s="951"/>
      <c r="H19" s="253" t="s">
        <v>1980</v>
      </c>
      <c r="I19" s="235" t="s">
        <v>2004</v>
      </c>
      <c r="J19" s="13">
        <f ca="1">IF(项目基本情况!B7="自然人","——",IF(K19="按租金收入计税",ROUND(J6*M19/(1+'数据-取费表'!F30),0),ROUND(C29*M19*0.7,0)))</f>
        <v>10995</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19070</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1.5</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17016</v>
      </c>
      <c r="K22" s="1300" t="s">
        <v>2020</v>
      </c>
      <c r="L22" s="235" t="s">
        <v>1983</v>
      </c>
      <c r="M22" s="265">
        <f>'数据-取费表'!B45</f>
        <v>1.2999999999999999E-2</v>
      </c>
    </row>
    <row r="23" spans="1:37" ht="18" customHeight="1">
      <c r="A23" s="253" t="s">
        <v>2000</v>
      </c>
      <c r="B23" s="235" t="s">
        <v>2021</v>
      </c>
      <c r="C23" s="13">
        <f ca="1">IF('数据-取费表'!B24&lt;=1,ROUND(C19*F24*F23/2,0)+ROUND(C20*F24*F23/2,0),ROUND(C19*(POWER((1+F24),F23/2)-1),0)+ROUND(C20*(POWER((1+F24),F23/2)-1),0))</f>
        <v>40847</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-28011</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194510</v>
      </c>
      <c r="D26" s="259" t="s">
        <v>2036</v>
      </c>
      <c r="E26" s="246" t="s">
        <v>2037</v>
      </c>
      <c r="F26" s="245">
        <f>'数据-取费表'!E28</f>
        <v>0.2</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4.0000000000000001E-3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1308961</v>
      </c>
      <c r="D29" s="1075"/>
      <c r="E29" s="1073"/>
      <c r="F29" s="1076"/>
      <c r="G29" s="651"/>
      <c r="H29" s="271" t="s">
        <v>24</v>
      </c>
      <c r="I29" s="272" t="s">
        <v>2052</v>
      </c>
      <c r="J29" s="273">
        <f ca="1">ROUND(J26/(1+F40)^F41,0)</f>
        <v>0</v>
      </c>
      <c r="K29" s="274" t="s">
        <v>2053</v>
      </c>
      <c r="L29" s="275"/>
      <c r="M29" s="276">
        <f>IF(D1="仅计算典型户型",'数据-取费表'!E5,'数据-取费表'!B5)</f>
        <v>217.69</v>
      </c>
    </row>
    <row r="30" spans="1:37" ht="18" customHeight="1" thickTop="1">
      <c r="A30" s="1062" t="s">
        <v>14</v>
      </c>
      <c r="B30" s="1063" t="s">
        <v>2054</v>
      </c>
      <c r="C30" s="243">
        <f ca="1">ROUND(C31+C36+C37+C38,0)</f>
        <v>62905</v>
      </c>
      <c r="D30" s="1069" t="s">
        <v>2055</v>
      </c>
      <c r="E30" s="1070"/>
      <c r="F30" s="1071"/>
      <c r="G30" s="651"/>
      <c r="H30" s="930"/>
      <c r="I30" s="931"/>
      <c r="J30" s="932"/>
      <c r="K30" s="933"/>
      <c r="L30" s="934"/>
      <c r="M30" s="935"/>
    </row>
    <row r="31" spans="1:37" ht="18" customHeight="1">
      <c r="A31" s="253" t="s">
        <v>1957</v>
      </c>
      <c r="B31" s="235" t="s">
        <v>1995</v>
      </c>
      <c r="C31" s="2796">
        <f>ROUND(IF(AND(项目基本情况!B7="自然人",项目基本情况!B6="北京市"),C6*F31/(1+'数据-取费表'!F30),C32+C33+C34),0)</f>
        <v>41714</v>
      </c>
      <c r="D31" s="1297" t="s">
        <v>2056</v>
      </c>
      <c r="E31" s="1300" t="s">
        <v>2057</v>
      </c>
      <c r="F31" s="279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13110</v>
      </c>
      <c r="D32" s="1300" t="s">
        <v>2667</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28604</v>
      </c>
      <c r="D33" s="1405" t="s">
        <v>2828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1.5</v>
      </c>
      <c r="G34" s="651"/>
      <c r="H34" s="930"/>
      <c r="I34" s="280" t="s">
        <v>2061</v>
      </c>
      <c r="J34" s="281">
        <f ca="1">ROUND(C13*J35,0)</f>
        <v>0</v>
      </c>
      <c r="K34" s="944"/>
      <c r="L34" s="945"/>
      <c r="M34" s="945"/>
    </row>
    <row r="35" spans="1:18" ht="24.6" customHeight="1">
      <c r="A35" s="1060"/>
      <c r="B35" s="244"/>
      <c r="C35" s="17"/>
      <c r="D35" s="264"/>
      <c r="E35" s="235" t="s">
        <v>2016</v>
      </c>
      <c r="F35" s="236">
        <f>IF(D1="仅计算典型户型",'数据-取费表'!E6,'数据-取费表'!B6)</f>
        <v>0</v>
      </c>
      <c r="G35" s="651" t="s">
        <v>2756</v>
      </c>
      <c r="H35" s="930"/>
      <c r="I35" s="282" t="s">
        <v>2062</v>
      </c>
      <c r="J35" s="283">
        <f>'数据-取费表'!B18</f>
        <v>0</v>
      </c>
      <c r="K35" s="943"/>
      <c r="L35" s="942"/>
      <c r="M35" s="942"/>
    </row>
    <row r="36" spans="1:18" ht="18" customHeight="1">
      <c r="A36" s="1059" t="s">
        <v>1964</v>
      </c>
      <c r="B36" s="235" t="s">
        <v>2063</v>
      </c>
      <c r="C36" s="13">
        <f ca="1">ROUND(C29*F36,0)</f>
        <v>17016</v>
      </c>
      <c r="D36" s="1300" t="s">
        <v>2064</v>
      </c>
      <c r="E36" s="235" t="s">
        <v>2008</v>
      </c>
      <c r="F36" s="265">
        <f>'数据-取费表'!B45</f>
        <v>1.2999999999999999E-2</v>
      </c>
      <c r="G36" s="651"/>
      <c r="H36" s="942"/>
      <c r="I36" s="284" t="s">
        <v>2065</v>
      </c>
      <c r="J36" s="285"/>
      <c r="K36" s="946"/>
      <c r="L36" s="942"/>
      <c r="M36" s="942"/>
    </row>
    <row r="37" spans="1:18" ht="18" customHeight="1">
      <c r="A37" s="253" t="s">
        <v>2012</v>
      </c>
      <c r="B37" s="235" t="s">
        <v>2023</v>
      </c>
      <c r="C37" s="13">
        <f ca="1">ROUND(C13*F37,0)</f>
        <v>1669</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2506</v>
      </c>
      <c r="D38" s="1075" t="s">
        <v>2029</v>
      </c>
      <c r="E38" s="1073" t="s">
        <v>2025</v>
      </c>
      <c r="F38" s="1068">
        <f>'数据-取费表'!B47</f>
        <v>0.01</v>
      </c>
      <c r="G38" s="651"/>
      <c r="H38" s="942"/>
      <c r="I38" s="280" t="s">
        <v>2067</v>
      </c>
      <c r="J38" s="136">
        <f ca="1">ROUND(J34/C39,3)</f>
        <v>0</v>
      </c>
      <c r="K38" s="947"/>
      <c r="L38" s="942"/>
      <c r="M38" s="942"/>
    </row>
    <row r="39" spans="1:18" ht="18" customHeight="1" thickTop="1">
      <c r="A39" s="1062" t="s">
        <v>22</v>
      </c>
      <c r="B39" s="1077" t="s">
        <v>2068</v>
      </c>
      <c r="C39" s="243">
        <f ca="1">C5-C30</f>
        <v>187697</v>
      </c>
      <c r="D39" s="1078" t="s">
        <v>2069</v>
      </c>
      <c r="E39" s="1079"/>
      <c r="F39" s="1080"/>
      <c r="G39" s="651"/>
      <c r="H39" s="942"/>
      <c r="I39" s="280" t="s">
        <v>2070</v>
      </c>
      <c r="J39" s="136">
        <f ca="1">1-J38</f>
        <v>1</v>
      </c>
      <c r="K39" s="947"/>
      <c r="L39" s="942"/>
      <c r="M39" s="942"/>
    </row>
    <row r="40" spans="1:18" s="651" customFormat="1" ht="18" customHeight="1">
      <c r="A40" s="232" t="s">
        <v>23</v>
      </c>
      <c r="B40" s="233" t="s">
        <v>2071</v>
      </c>
      <c r="C40" s="234">
        <f ca="1">ROUND(C39*(1-((1+F42)/(1+F40))^F41)/(F40-F42),0)</f>
        <v>4542125</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2650</v>
      </c>
      <c r="F41" s="270">
        <f>IF('数据-取费表'!B29="租赁期内按合同租金",'数据-取费表'!B35,IF(E41="收益年期(n)",'数据-取费表'!B34,'数据-取费表'!B13))</f>
        <v>38.729999999999997</v>
      </c>
      <c r="H41" s="949"/>
      <c r="I41" s="135" t="s">
        <v>1945</v>
      </c>
      <c r="J41" s="136">
        <f ca="1">ROUND(C13/C40,3)</f>
        <v>0.245</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0.755</v>
      </c>
      <c r="K42" s="946"/>
      <c r="L42" s="949"/>
      <c r="M42" s="949"/>
      <c r="Q42" s="655"/>
    </row>
    <row r="43" spans="1:18" s="651" customFormat="1" ht="18" customHeight="1" thickBot="1">
      <c r="A43" s="271" t="s">
        <v>24</v>
      </c>
      <c r="B43" s="272" t="s">
        <v>2074</v>
      </c>
      <c r="C43" s="273">
        <f ca="1">ROUND(C40/F43,0)</f>
        <v>20865</v>
      </c>
      <c r="D43" s="274" t="s">
        <v>2075</v>
      </c>
      <c r="E43" s="275" t="s">
        <v>2076</v>
      </c>
      <c r="F43" s="276">
        <f>IF(D1="仅计算典型户型",'数据-取费表'!E5,'数据-取费表'!B5)</f>
        <v>217.69</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4542125</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-6586936</v>
      </c>
      <c r="D47" s="1497" t="str">
        <f>C2</f>
        <v>元</v>
      </c>
      <c r="E47" s="648"/>
      <c r="F47" s="648"/>
      <c r="I47" s="1498" t="s">
        <v>2087</v>
      </c>
      <c r="J47" s="1022"/>
      <c r="K47" s="1023"/>
      <c r="L47" s="1036" t="str">
        <f>IF(M48="住宅",0,IF(L49&gt;J52,L61,J61))</f>
        <v>0</v>
      </c>
      <c r="O47" s="1050" t="s">
        <v>951</v>
      </c>
      <c r="P47" s="1047" t="s">
        <v>2088</v>
      </c>
      <c r="Q47" s="1048">
        <f ca="1">C29</f>
        <v>1308961</v>
      </c>
      <c r="R47" s="1049" t="s">
        <v>2083</v>
      </c>
    </row>
    <row r="48" spans="1:18" s="651" customFormat="1" ht="15.75" thickBot="1">
      <c r="A48" s="228" t="s">
        <v>2089</v>
      </c>
      <c r="B48" s="229" t="s">
        <v>2090</v>
      </c>
      <c r="C48" s="229" t="s">
        <v>2091</v>
      </c>
      <c r="D48" s="229" t="s">
        <v>2092</v>
      </c>
      <c r="E48" s="985" t="s">
        <v>2093</v>
      </c>
      <c r="F48" s="986"/>
      <c r="I48" s="1499" t="s">
        <v>2094</v>
      </c>
      <c r="J48" s="1500" t="s">
        <v>2987</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2988</v>
      </c>
      <c r="K49" s="1504" t="s">
        <v>2099</v>
      </c>
      <c r="L49" s="862">
        <f>'数据-取费表'!B13</f>
        <v>38.729999999999997</v>
      </c>
      <c r="O49" s="1050" t="s">
        <v>953</v>
      </c>
      <c r="P49" s="1047" t="s">
        <v>2100</v>
      </c>
      <c r="Q49" s="1051">
        <f>J53</f>
        <v>8.5000000000000006E-2</v>
      </c>
      <c r="R49" s="1049"/>
    </row>
    <row r="50" spans="1:18" s="651" customFormat="1" ht="15.75" thickBot="1">
      <c r="A50" s="260" t="s">
        <v>1957</v>
      </c>
      <c r="B50" s="1411" t="s">
        <v>2101</v>
      </c>
      <c r="C50" s="234">
        <f>ROUND(F50*F52*F51*(1-F53),0)</f>
        <v>0</v>
      </c>
      <c r="D50" s="42" t="s">
        <v>2642</v>
      </c>
      <c r="E50" s="1505" t="s">
        <v>2102</v>
      </c>
      <c r="F50" s="987"/>
      <c r="I50" s="1502" t="s">
        <v>2103</v>
      </c>
      <c r="J50" s="862">
        <f>'数据-取费表'!B27</f>
        <v>2013</v>
      </c>
      <c r="K50" s="1506" t="s">
        <v>2104</v>
      </c>
      <c r="L50" s="1025"/>
      <c r="O50" s="1050" t="s">
        <v>954</v>
      </c>
      <c r="P50" s="1047" t="s">
        <v>2105</v>
      </c>
      <c r="Q50" s="1048">
        <f>J54</f>
        <v>38.729999999999997</v>
      </c>
      <c r="R50" s="1049" t="s">
        <v>2106</v>
      </c>
    </row>
    <row r="51" spans="1:18" s="651" customFormat="1" ht="15.75" thickBot="1">
      <c r="A51" s="237"/>
      <c r="B51" s="238"/>
      <c r="C51" s="239"/>
      <c r="D51" s="240"/>
      <c r="E51" s="255" t="s">
        <v>1960</v>
      </c>
      <c r="F51" s="984">
        <f>F7</f>
        <v>217.69</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4542125</v>
      </c>
      <c r="R51" s="1049" t="s">
        <v>956</v>
      </c>
    </row>
    <row r="52" spans="1:18" s="651" customFormat="1" ht="16.5" thickBot="1">
      <c r="A52" s="237"/>
      <c r="B52" s="238"/>
      <c r="C52" s="239"/>
      <c r="D52" s="240"/>
      <c r="E52" s="235" t="s">
        <v>1962</v>
      </c>
      <c r="F52" s="236">
        <f>F8</f>
        <v>365</v>
      </c>
      <c r="I52" s="1507" t="s">
        <v>2109</v>
      </c>
      <c r="J52" s="1027">
        <f>IF(J50="",J51,J50+J51-YEAR('数据-取费表'!B2))</f>
        <v>51</v>
      </c>
      <c r="K52" s="1508" t="s">
        <v>2110</v>
      </c>
      <c r="L52" s="1028">
        <f ca="1">ROUND(-PV('数据-取费表'!B15,J52,(C40-C13*J35)),0)</f>
        <v>83297924</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2648</v>
      </c>
      <c r="E54" s="246" t="s">
        <v>1966</v>
      </c>
      <c r="F54" s="1492"/>
      <c r="I54" s="1598" t="s">
        <v>2651</v>
      </c>
      <c r="J54" s="1030">
        <f>IF(M48="住宅",IF(E1="——",MAX(J52,L49),MAX(J52,L49-'数据-取费表'!B26)),IF(E1="——",MIN(J52,L49),MIN(J52,L49-'数据-取费表'!B26)))</f>
        <v>38.729999999999997</v>
      </c>
      <c r="K54" s="3557" t="s">
        <v>2640</v>
      </c>
      <c r="L54" s="3558"/>
      <c r="O54" s="1046" t="s">
        <v>949</v>
      </c>
      <c r="P54" s="1047" t="s">
        <v>2082</v>
      </c>
      <c r="Q54" s="1048">
        <f ca="1">C40+J29</f>
        <v>4542125</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c r="O56" s="1050" t="s">
        <v>951</v>
      </c>
      <c r="P56" s="1047" t="s">
        <v>2118</v>
      </c>
      <c r="Q56" s="1048">
        <f>IF(L56="比较法",L50,IF(L56="基准地价",L51,0))</f>
        <v>0</v>
      </c>
      <c r="R56" s="1049" t="s">
        <v>2083</v>
      </c>
    </row>
    <row r="57" spans="1:18" s="651" customFormat="1" ht="44.25" thickTop="1" thickBot="1">
      <c r="A57" s="1062">
        <v>2</v>
      </c>
      <c r="B57" s="1063" t="s">
        <v>1973</v>
      </c>
      <c r="C57" s="1121">
        <f ca="1">C13</f>
        <v>1112617</v>
      </c>
      <c r="D57" s="982"/>
      <c r="E57" s="983"/>
      <c r="F57" s="990"/>
      <c r="I57" s="1516" t="s">
        <v>2119</v>
      </c>
      <c r="J57" s="1034" t="s">
        <v>2989</v>
      </c>
      <c r="K57" s="1502" t="s">
        <v>2120</v>
      </c>
      <c r="L57" s="862" t="str">
        <f>IF(L49&lt;J52,"——",L49-J52)</f>
        <v>——</v>
      </c>
      <c r="O57" s="1050" t="s">
        <v>952</v>
      </c>
      <c r="P57" s="1047" t="s">
        <v>2121</v>
      </c>
      <c r="Q57" s="1051">
        <f>L53</f>
        <v>0</v>
      </c>
      <c r="R57" s="1049"/>
    </row>
    <row r="58" spans="1:18" s="651" customFormat="1" ht="29.25" thickBot="1">
      <c r="A58" s="989"/>
      <c r="B58" s="235" t="s">
        <v>2051</v>
      </c>
      <c r="C58" s="104">
        <f ca="1">C29</f>
        <v>1308961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128638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96">
        <f ca="1">ROUND(IF(AND(项目基本情况!B7="自然人",项目基本情况!B6="北京市"),C50*F60/(1+'数据-取费表'!F30),C61+C62+C63),0)</f>
        <v>109953</v>
      </c>
      <c r="D60" s="1297" t="s">
        <v>2056</v>
      </c>
      <c r="E60" s="1300" t="s">
        <v>2057</v>
      </c>
      <c r="F60" s="279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4542125</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109953</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4542125</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17016</v>
      </c>
      <c r="D65" s="1300" t="s">
        <v>2064</v>
      </c>
      <c r="E65" s="235" t="s">
        <v>2008</v>
      </c>
      <c r="F65" s="265">
        <f t="shared" si="0"/>
        <v>1.2999999999999999E-2</v>
      </c>
      <c r="I65" s="1520" t="s">
        <v>2144</v>
      </c>
      <c r="J65" s="1292">
        <v>50</v>
      </c>
      <c r="K65" s="1292">
        <v>35</v>
      </c>
      <c r="L65" s="1292">
        <v>60</v>
      </c>
      <c r="M65" s="1291">
        <v>0</v>
      </c>
      <c r="O65" s="1050" t="s">
        <v>951</v>
      </c>
      <c r="P65" s="1047" t="s">
        <v>2118</v>
      </c>
      <c r="Q65" s="1052">
        <f ca="1">L52</f>
        <v>83297924</v>
      </c>
      <c r="R65" s="1053" t="s">
        <v>2145</v>
      </c>
    </row>
    <row r="66" spans="1:18" s="651" customFormat="1" ht="20.25" thickBot="1">
      <c r="A66" s="253" t="s">
        <v>20</v>
      </c>
      <c r="B66" s="235" t="s">
        <v>2023</v>
      </c>
      <c r="C66" s="13">
        <f ca="1">ROUND(C57*F66,0)</f>
        <v>1669</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187697</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187697</v>
      </c>
      <c r="R67" s="1049" t="s">
        <v>2083</v>
      </c>
    </row>
    <row r="68" spans="1:18" ht="15.75" thickBot="1">
      <c r="A68" s="248" t="s">
        <v>22</v>
      </c>
      <c r="B68" s="41" t="s">
        <v>2033</v>
      </c>
      <c r="C68" s="250">
        <f ca="1">C49-C59</f>
        <v>-128638</v>
      </c>
      <c r="D68" s="1297" t="s">
        <v>2034</v>
      </c>
      <c r="E68" s="1299"/>
      <c r="F68" s="268"/>
      <c r="H68" s="651"/>
      <c r="I68" s="651"/>
      <c r="J68" s="651"/>
      <c r="K68" s="651"/>
      <c r="L68" s="651"/>
      <c r="M68" s="651"/>
      <c r="O68" s="1050" t="s">
        <v>958</v>
      </c>
      <c r="P68" s="1054" t="s">
        <v>2149</v>
      </c>
      <c r="Q68" s="1048">
        <f ca="1">C13</f>
        <v>1112617</v>
      </c>
      <c r="R68" s="1049" t="s">
        <v>2083</v>
      </c>
    </row>
    <row r="69" spans="1:18" ht="15.75" thickBot="1">
      <c r="A69" s="232" t="s">
        <v>23</v>
      </c>
      <c r="B69" s="233" t="s">
        <v>2071</v>
      </c>
      <c r="C69" s="234">
        <f ca="1">ROUND(C68*(1-((1+F71)/(1+F69))^F70)/(F69-F71),0)</f>
        <v>-2044811</v>
      </c>
      <c r="D69" s="261" t="s">
        <v>2039</v>
      </c>
      <c r="E69" s="235" t="s">
        <v>2040</v>
      </c>
      <c r="F69" s="245">
        <f>F40</f>
        <v>5.5E-2</v>
      </c>
      <c r="H69" s="651"/>
      <c r="I69" s="651"/>
      <c r="J69" s="651"/>
      <c r="K69" s="651"/>
      <c r="L69" s="651"/>
      <c r="M69" s="651"/>
      <c r="O69" s="1050" t="s">
        <v>959</v>
      </c>
      <c r="P69" s="1054" t="s">
        <v>2150</v>
      </c>
      <c r="Q69" s="1051">
        <f>J35</f>
        <v>0</v>
      </c>
      <c r="R69" s="1049"/>
    </row>
    <row r="70" spans="1:18" ht="15.75" thickBot="1">
      <c r="A70" s="237"/>
      <c r="B70" s="238"/>
      <c r="C70" s="239"/>
      <c r="D70" s="269" t="s">
        <v>2073</v>
      </c>
      <c r="E70" s="235" t="s">
        <v>2045</v>
      </c>
      <c r="F70" s="270">
        <f>F41</f>
        <v>38.729999999999997</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-9393</v>
      </c>
      <c r="D72" s="274" t="s">
        <v>2075</v>
      </c>
      <c r="E72" s="275" t="s">
        <v>2076</v>
      </c>
      <c r="F72" s="276">
        <f>F43</f>
        <v>217.69</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4542125</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2976</v>
      </c>
      <c r="B1" s="3134"/>
      <c r="C1" s="3140"/>
      <c r="D1" s="3140"/>
      <c r="E1" s="3135"/>
      <c r="F1" s="3136"/>
      <c r="G1" s="3229"/>
      <c r="J1" s="3232" t="s">
        <v>2832</v>
      </c>
      <c r="K1" s="3233"/>
      <c r="L1" s="3233"/>
      <c r="M1" s="3233"/>
      <c r="N1" s="3233"/>
      <c r="O1" s="3233"/>
      <c r="P1" s="3233"/>
      <c r="Q1" s="3233"/>
      <c r="R1" s="3234"/>
      <c r="S1" s="3235"/>
      <c r="T1" s="3235"/>
      <c r="U1" s="3235"/>
    </row>
    <row r="2" spans="1:23" s="3143" customFormat="1" ht="13.15" customHeight="1">
      <c r="A2" s="3138" t="s">
        <v>2833</v>
      </c>
      <c r="B2" s="3139" t="e">
        <f>C40</f>
        <v>#DIV/0!</v>
      </c>
      <c r="C2" s="3140" t="s">
        <v>2834</v>
      </c>
      <c r="D2" s="3140"/>
      <c r="E2" s="3141"/>
      <c r="F2" s="3142"/>
      <c r="G2" s="3236"/>
      <c r="H2" s="3237"/>
      <c r="I2" s="3238"/>
      <c r="J2" s="3559" t="s">
        <v>2835</v>
      </c>
      <c r="K2" s="3560"/>
      <c r="L2" s="3239" t="s">
        <v>2836</v>
      </c>
      <c r="M2" s="3239" t="s">
        <v>2837</v>
      </c>
      <c r="N2" s="3239" t="s">
        <v>2838</v>
      </c>
      <c r="O2" s="3239" t="s">
        <v>2839</v>
      </c>
      <c r="P2" s="3239" t="s">
        <v>2840</v>
      </c>
      <c r="Q2" s="3240" t="s">
        <v>2841</v>
      </c>
      <c r="R2" s="3241" t="s">
        <v>2842</v>
      </c>
      <c r="S2" s="3235"/>
      <c r="T2" s="3235"/>
      <c r="U2" s="3235"/>
      <c r="V2" s="3238"/>
      <c r="W2" s="3237"/>
    </row>
    <row r="3" spans="1:23" s="3143" customFormat="1" ht="13.15" customHeight="1">
      <c r="A3" s="3145" t="s">
        <v>2843</v>
      </c>
      <c r="B3" s="3146" t="e">
        <f>ROUND(B2*10000/B4,0)</f>
        <v>#DIV/0!</v>
      </c>
      <c r="C3" s="3140" t="s">
        <v>2844</v>
      </c>
      <c r="D3" s="3140"/>
      <c r="E3" s="3141"/>
      <c r="F3" s="3142"/>
      <c r="G3" s="3236"/>
      <c r="H3" s="3237"/>
      <c r="I3" s="3238"/>
      <c r="J3" s="3561" t="s">
        <v>2845</v>
      </c>
      <c r="K3" s="3562"/>
      <c r="L3" s="3242"/>
      <c r="M3" s="3242"/>
      <c r="N3" s="3242"/>
      <c r="O3" s="3242"/>
      <c r="P3" s="3242"/>
      <c r="Q3" s="3243"/>
      <c r="R3" s="3244">
        <f>SUM(L3:Q3)</f>
        <v>0</v>
      </c>
      <c r="S3" s="3235"/>
      <c r="T3" s="3235"/>
      <c r="U3" s="3235"/>
      <c r="V3" s="3238"/>
      <c r="W3" s="3237"/>
    </row>
    <row r="4" spans="1:23" s="3143" customFormat="1" ht="13.15" customHeight="1">
      <c r="A4" s="3147" t="s">
        <v>2846</v>
      </c>
      <c r="B4" s="3204"/>
      <c r="C4" s="3140"/>
      <c r="D4" s="3140"/>
      <c r="E4" s="3141"/>
      <c r="F4" s="3142"/>
      <c r="G4" s="3236"/>
      <c r="H4" s="3237"/>
      <c r="I4" s="3238"/>
      <c r="J4" s="3561" t="s">
        <v>2847</v>
      </c>
      <c r="K4" s="3562"/>
      <c r="L4" s="3245"/>
      <c r="M4" s="3245"/>
      <c r="N4" s="3245"/>
      <c r="O4" s="3245"/>
      <c r="P4" s="3245"/>
      <c r="Q4" s="3246"/>
      <c r="R4" s="3247">
        <f>SUM(L4:Q4)</f>
        <v>0</v>
      </c>
      <c r="S4" s="3235"/>
      <c r="T4" s="3235"/>
      <c r="U4" s="3235"/>
      <c r="V4" s="3238"/>
      <c r="W4" s="3237"/>
    </row>
    <row r="5" spans="1:23" s="3143" customFormat="1" ht="13.15" customHeight="1" thickBot="1">
      <c r="A5" s="3148" t="s">
        <v>2848</v>
      </c>
      <c r="B5" s="3205"/>
      <c r="C5" s="3140"/>
      <c r="D5" s="3149"/>
      <c r="E5" s="3142"/>
      <c r="F5" s="3142"/>
      <c r="G5" s="3236"/>
      <c r="H5" s="3237"/>
      <c r="I5" s="3238"/>
      <c r="J5" s="3248" t="s">
        <v>2849</v>
      </c>
      <c r="K5" s="3249"/>
      <c r="L5" s="3249"/>
      <c r="M5" s="3250"/>
      <c r="N5" s="3250"/>
      <c r="O5" s="3250"/>
      <c r="P5" s="3250"/>
      <c r="Q5" s="3250"/>
      <c r="R5" s="3241">
        <f>SUM(R14,R19,R24,R25,R27,R28)</f>
        <v>0</v>
      </c>
      <c r="S5" s="3235"/>
      <c r="T5" s="3235" t="s">
        <v>2850</v>
      </c>
      <c r="U5" s="3235" t="e">
        <f>ROUND(R5*10000/365/R3,1)</f>
        <v>#DIV/0!</v>
      </c>
      <c r="V5" s="3238"/>
      <c r="W5" s="3237"/>
    </row>
    <row r="6" spans="1:23" s="3143" customFormat="1" ht="13.15" customHeight="1" thickBot="1">
      <c r="A6" s="3563" t="s">
        <v>2851</v>
      </c>
      <c r="B6" s="3564"/>
      <c r="C6" s="3565"/>
      <c r="D6" s="3206"/>
      <c r="E6" s="3150"/>
      <c r="F6" s="3151"/>
      <c r="G6" s="3251"/>
      <c r="H6" s="3237"/>
      <c r="I6" s="3238"/>
      <c r="J6" s="3566">
        <v>1</v>
      </c>
      <c r="K6" s="3567" t="s">
        <v>2852</v>
      </c>
      <c r="L6" s="3252" t="s">
        <v>2853</v>
      </c>
      <c r="M6" s="3253" t="s">
        <v>2854</v>
      </c>
      <c r="N6" s="3253" t="s">
        <v>2855</v>
      </c>
      <c r="O6" s="3253" t="s">
        <v>2856</v>
      </c>
      <c r="P6" s="3253" t="s">
        <v>2857</v>
      </c>
      <c r="Q6" s="3253" t="s">
        <v>2858</v>
      </c>
      <c r="R6" s="3244" t="s">
        <v>2859</v>
      </c>
      <c r="S6" s="3235"/>
      <c r="T6" s="3235" t="s">
        <v>2860</v>
      </c>
      <c r="U6" s="3235"/>
      <c r="V6" s="3238"/>
      <c r="W6" s="3237"/>
    </row>
    <row r="7" spans="1:23" s="3143" customFormat="1" ht="13.15" customHeight="1">
      <c r="A7" s="3153" t="s">
        <v>2861</v>
      </c>
      <c r="B7" s="3154"/>
      <c r="C7" s="3155"/>
      <c r="D7" s="3156">
        <f>SUM(D9,D10,D11,D17,0)</f>
        <v>0</v>
      </c>
      <c r="E7" s="3157" t="e">
        <f>E9+E10+E11+E17</f>
        <v>#DIV/0!</v>
      </c>
      <c r="F7" s="3158"/>
      <c r="G7" s="3254"/>
      <c r="H7" s="3237"/>
      <c r="I7" s="3238"/>
      <c r="J7" s="3566"/>
      <c r="K7" s="3568"/>
      <c r="L7" s="3255" t="s">
        <v>2961</v>
      </c>
      <c r="M7" s="3256"/>
      <c r="N7" s="3256"/>
      <c r="O7" s="3257"/>
      <c r="P7" s="3257"/>
      <c r="Q7" s="3258">
        <v>365</v>
      </c>
      <c r="R7" s="3259">
        <f>ROUND(M7*N7*O7*P7*Q7/10000,0)</f>
        <v>0</v>
      </c>
      <c r="S7" s="3235"/>
      <c r="T7" s="3235" t="s">
        <v>2862</v>
      </c>
      <c r="U7" s="3235"/>
      <c r="V7" s="3238"/>
      <c r="W7" s="3237"/>
    </row>
    <row r="8" spans="1:23" s="3143" customFormat="1" ht="13.15" customHeight="1">
      <c r="A8" s="3159" t="s">
        <v>2863</v>
      </c>
      <c r="B8" s="3570" t="s">
        <v>2864</v>
      </c>
      <c r="C8" s="3571"/>
      <c r="D8" s="3160" t="s">
        <v>2865</v>
      </c>
      <c r="E8" s="3161" t="s">
        <v>2866</v>
      </c>
      <c r="F8" s="3144" t="s">
        <v>2867</v>
      </c>
      <c r="G8" s="3314" t="s">
        <v>2975</v>
      </c>
      <c r="H8" s="3237"/>
      <c r="I8" s="3238"/>
      <c r="J8" s="3566"/>
      <c r="K8" s="3568"/>
      <c r="L8" s="3255" t="s">
        <v>2962</v>
      </c>
      <c r="M8" s="3256"/>
      <c r="N8" s="3256"/>
      <c r="O8" s="3257"/>
      <c r="P8" s="3257"/>
      <c r="Q8" s="3258">
        <v>365</v>
      </c>
      <c r="R8" s="3259">
        <f t="shared" ref="R8:R13" si="0">ROUND(M8*N8*O8*P8*Q8/10000,0)</f>
        <v>0</v>
      </c>
      <c r="S8" s="3235"/>
      <c r="T8" s="3235" t="s">
        <v>2868</v>
      </c>
      <c r="U8" s="3235"/>
      <c r="V8" s="3238"/>
      <c r="W8" s="3237"/>
    </row>
    <row r="9" spans="1:23" s="3143" customFormat="1" ht="13.15" customHeight="1">
      <c r="A9" s="3159">
        <v>1</v>
      </c>
      <c r="B9" s="3570" t="s">
        <v>2869</v>
      </c>
      <c r="C9" s="3571"/>
      <c r="D9" s="3160">
        <f>ROUND(D6*E9,0)</f>
        <v>0</v>
      </c>
      <c r="E9" s="3207"/>
      <c r="F9" s="3162" t="s">
        <v>2870</v>
      </c>
      <c r="G9" s="3260" t="s">
        <v>2973</v>
      </c>
      <c r="H9" s="3237"/>
      <c r="I9" s="3238"/>
      <c r="J9" s="3566"/>
      <c r="K9" s="3568"/>
      <c r="L9" s="3255" t="s">
        <v>2963</v>
      </c>
      <c r="M9" s="3256"/>
      <c r="N9" s="3256"/>
      <c r="O9" s="3257"/>
      <c r="P9" s="3257"/>
      <c r="Q9" s="3258">
        <v>365</v>
      </c>
      <c r="R9" s="3259">
        <f t="shared" si="0"/>
        <v>0</v>
      </c>
      <c r="S9" s="3235"/>
      <c r="T9" s="3235"/>
      <c r="U9" s="3235"/>
      <c r="V9" s="3238"/>
      <c r="W9" s="3237"/>
    </row>
    <row r="10" spans="1:23" s="3143" customFormat="1" ht="13.15" customHeight="1">
      <c r="A10" s="3159">
        <v>2</v>
      </c>
      <c r="B10" s="3570" t="s">
        <v>2871</v>
      </c>
      <c r="C10" s="3571"/>
      <c r="D10" s="3160">
        <f>ROUND(D6*E10,0)</f>
        <v>0</v>
      </c>
      <c r="E10" s="3207"/>
      <c r="F10" s="3162" t="s">
        <v>2872</v>
      </c>
      <c r="G10" s="3260" t="s">
        <v>2974</v>
      </c>
      <c r="H10" s="3237"/>
      <c r="I10" s="3238"/>
      <c r="J10" s="3566"/>
      <c r="K10" s="3568"/>
      <c r="L10" s="3255" t="s">
        <v>2964</v>
      </c>
      <c r="M10" s="3256"/>
      <c r="N10" s="3256"/>
      <c r="O10" s="3257"/>
      <c r="P10" s="3257"/>
      <c r="Q10" s="3258">
        <v>365</v>
      </c>
      <c r="R10" s="3259">
        <f t="shared" si="0"/>
        <v>0</v>
      </c>
      <c r="S10" s="3235"/>
      <c r="T10" s="3235"/>
      <c r="U10" s="3235"/>
      <c r="V10" s="3238"/>
      <c r="W10" s="3237"/>
    </row>
    <row r="11" spans="1:23" s="3143" customFormat="1" ht="13.15" customHeight="1">
      <c r="A11" s="3159">
        <v>3</v>
      </c>
      <c r="B11" s="3570" t="s">
        <v>2873</v>
      </c>
      <c r="C11" s="3571"/>
      <c r="D11" s="3160">
        <f>D12+D14+D15+D16</f>
        <v>0</v>
      </c>
      <c r="E11" s="3163" t="e">
        <f>D11/D6</f>
        <v>#DIV/0!</v>
      </c>
      <c r="F11" s="3144"/>
      <c r="G11" s="3260"/>
      <c r="H11" s="3237"/>
      <c r="I11" s="3238"/>
      <c r="J11" s="3566"/>
      <c r="K11" s="3568"/>
      <c r="L11" s="3255" t="s">
        <v>2965</v>
      </c>
      <c r="M11" s="3256"/>
      <c r="N11" s="3256"/>
      <c r="O11" s="3257"/>
      <c r="P11" s="3257"/>
      <c r="Q11" s="3258">
        <v>365</v>
      </c>
      <c r="R11" s="3259">
        <f t="shared" si="0"/>
        <v>0</v>
      </c>
      <c r="S11" s="3235"/>
      <c r="T11" s="3235"/>
      <c r="U11" s="3235"/>
      <c r="V11" s="3238"/>
      <c r="W11" s="3237"/>
    </row>
    <row r="12" spans="1:23" s="3143" customFormat="1" ht="13.15" customHeight="1">
      <c r="A12" s="3164" t="s">
        <v>2874</v>
      </c>
      <c r="B12" s="3572" t="s">
        <v>2875</v>
      </c>
      <c r="C12" s="3573"/>
      <c r="D12" s="3165">
        <f>ROUND(D13*1.2%*(1-30%),0)</f>
        <v>0</v>
      </c>
      <c r="E12" s="3166">
        <v>1.2E-2</v>
      </c>
      <c r="F12" s="3144" t="s">
        <v>2876</v>
      </c>
      <c r="G12" s="3260"/>
      <c r="H12" s="3237"/>
      <c r="I12" s="3238"/>
      <c r="J12" s="3566"/>
      <c r="K12" s="3568"/>
      <c r="L12" s="3255" t="s">
        <v>2966</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2877</v>
      </c>
      <c r="D13" s="3208"/>
      <c r="E13" s="3169"/>
      <c r="F13" s="3144"/>
      <c r="G13" s="3260"/>
      <c r="H13" s="3237"/>
      <c r="I13" s="3238"/>
      <c r="J13" s="3566"/>
      <c r="K13" s="3568"/>
      <c r="L13" s="3255" t="s">
        <v>2967</v>
      </c>
      <c r="M13" s="3256"/>
      <c r="N13" s="3256"/>
      <c r="O13" s="3257"/>
      <c r="P13" s="3257"/>
      <c r="Q13" s="3258">
        <v>365</v>
      </c>
      <c r="R13" s="3259">
        <f t="shared" si="0"/>
        <v>0</v>
      </c>
      <c r="S13" s="3235"/>
      <c r="T13" s="3235"/>
      <c r="U13" s="3235"/>
      <c r="V13" s="3238"/>
      <c r="W13" s="3237"/>
    </row>
    <row r="14" spans="1:23" s="3143" customFormat="1" ht="13.15" customHeight="1">
      <c r="A14" s="3164" t="s">
        <v>2878</v>
      </c>
      <c r="B14" s="3572" t="s">
        <v>2879</v>
      </c>
      <c r="C14" s="3573"/>
      <c r="D14" s="3165">
        <f>ROUND(E14*B5/10000,0)</f>
        <v>0</v>
      </c>
      <c r="E14" s="3209"/>
      <c r="F14" s="3144" t="s">
        <v>2880</v>
      </c>
      <c r="G14" s="3260"/>
      <c r="H14" s="3237"/>
      <c r="I14" s="3238"/>
      <c r="J14" s="3566"/>
      <c r="K14" s="3569"/>
      <c r="L14" s="3261" t="s">
        <v>2881</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2882</v>
      </c>
      <c r="B15" s="3572" t="s">
        <v>2883</v>
      </c>
      <c r="C15" s="3573"/>
      <c r="D15" s="3165">
        <f>ROUND(D6*E15,0)</f>
        <v>0</v>
      </c>
      <c r="E15" s="3166">
        <v>5.5E-2</v>
      </c>
      <c r="F15" s="3144" t="s">
        <v>2884</v>
      </c>
      <c r="G15" s="3260"/>
      <c r="H15" s="3237"/>
      <c r="I15" s="3238"/>
      <c r="J15" s="3566">
        <v>2</v>
      </c>
      <c r="K15" s="3567" t="s">
        <v>2885</v>
      </c>
      <c r="L15" s="3265" t="s">
        <v>2886</v>
      </c>
      <c r="M15" s="3266" t="s">
        <v>2887</v>
      </c>
      <c r="N15" s="3266" t="s">
        <v>2888</v>
      </c>
      <c r="O15" s="3267" t="s">
        <v>2889</v>
      </c>
      <c r="P15" s="3267" t="s">
        <v>2890</v>
      </c>
      <c r="Q15" s="3204" t="s">
        <v>2891</v>
      </c>
      <c r="R15" s="3268" t="s">
        <v>2892</v>
      </c>
      <c r="S15" s="3235"/>
      <c r="T15" s="3235"/>
      <c r="U15" s="3235"/>
      <c r="V15" s="3238"/>
      <c r="W15" s="3237"/>
    </row>
    <row r="16" spans="1:23" s="3143" customFormat="1" ht="13.15" customHeight="1">
      <c r="A16" s="3164" t="s">
        <v>2893</v>
      </c>
      <c r="B16" s="3572" t="s">
        <v>2894</v>
      </c>
      <c r="C16" s="3573"/>
      <c r="D16" s="3210">
        <f>D6*E16</f>
        <v>0</v>
      </c>
      <c r="E16" s="3211"/>
      <c r="F16" s="3162" t="s">
        <v>2895</v>
      </c>
      <c r="G16" s="3260"/>
      <c r="H16" s="3237"/>
      <c r="I16" s="3238"/>
      <c r="J16" s="3566"/>
      <c r="K16" s="3568"/>
      <c r="L16" s="3255" t="s">
        <v>2968</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74" t="s">
        <v>2896</v>
      </c>
      <c r="C17" s="3575"/>
      <c r="D17" s="3171">
        <f>ROUND(D6*E17,0)</f>
        <v>0</v>
      </c>
      <c r="E17" s="3212"/>
      <c r="F17" s="3172" t="s">
        <v>2897</v>
      </c>
      <c r="G17" s="3313">
        <v>0.1</v>
      </c>
      <c r="H17" s="3237"/>
      <c r="I17" s="3238"/>
      <c r="J17" s="3566"/>
      <c r="K17" s="3568"/>
      <c r="L17" s="3255" t="s">
        <v>2969</v>
      </c>
      <c r="M17" s="3256"/>
      <c r="N17" s="3256"/>
      <c r="O17" s="3257"/>
      <c r="P17" s="3258">
        <v>365</v>
      </c>
      <c r="Q17" s="3256"/>
      <c r="R17" s="3269">
        <f>ROUND(M17*N17*O17*P17/10000,0)</f>
        <v>0</v>
      </c>
      <c r="S17" s="3235"/>
      <c r="T17" s="3235"/>
      <c r="U17" s="3235"/>
      <c r="V17" s="3238"/>
      <c r="W17" s="3237"/>
    </row>
    <row r="18" spans="1:23" s="3143" customFormat="1" ht="13.15" customHeight="1" thickBot="1">
      <c r="A18" s="3153" t="s">
        <v>2898</v>
      </c>
      <c r="B18" s="3154"/>
      <c r="C18" s="3154"/>
      <c r="D18" s="3173">
        <f>ROUND(D6*E18,0)</f>
        <v>0</v>
      </c>
      <c r="E18" s="3213"/>
      <c r="F18" s="3174" t="s">
        <v>2899</v>
      </c>
      <c r="G18" s="3313">
        <v>0.05</v>
      </c>
      <c r="H18" s="3237"/>
      <c r="I18" s="3238"/>
      <c r="J18" s="3566"/>
      <c r="K18" s="3568"/>
      <c r="L18" s="3255" t="s">
        <v>2970</v>
      </c>
      <c r="M18" s="3256"/>
      <c r="N18" s="3256"/>
      <c r="O18" s="3257"/>
      <c r="P18" s="3258">
        <v>365</v>
      </c>
      <c r="Q18" s="3256"/>
      <c r="R18" s="3269">
        <f>ROUND(M18*N18*O18*P18/10000,0)</f>
        <v>0</v>
      </c>
      <c r="S18" s="3235"/>
      <c r="T18" s="3235"/>
      <c r="U18" s="3235"/>
      <c r="V18" s="3238"/>
      <c r="W18" s="3237"/>
    </row>
    <row r="19" spans="1:23" s="3143" customFormat="1" ht="13.15" customHeight="1" thickBot="1">
      <c r="A19" s="3175" t="s">
        <v>2900</v>
      </c>
      <c r="B19" s="3150"/>
      <c r="C19" s="3150"/>
      <c r="D19" s="3150"/>
      <c r="E19" s="3150"/>
      <c r="F19" s="3151"/>
      <c r="G19" s="3260"/>
      <c r="H19" s="3237"/>
      <c r="I19" s="3238"/>
      <c r="J19" s="3566"/>
      <c r="K19" s="3569"/>
      <c r="L19" s="3261" t="s">
        <v>2881</v>
      </c>
      <c r="M19" s="3262"/>
      <c r="N19" s="3262">
        <f>SUM(N16:N18)</f>
        <v>0</v>
      </c>
      <c r="O19" s="3263"/>
      <c r="P19" s="3270" t="s">
        <v>2971</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66">
        <v>3</v>
      </c>
      <c r="K20" s="3567" t="s">
        <v>2901</v>
      </c>
      <c r="L20" s="3265" t="s">
        <v>2902</v>
      </c>
      <c r="M20" s="3266" t="s">
        <v>2903</v>
      </c>
      <c r="N20" s="3272" t="s">
        <v>2904</v>
      </c>
      <c r="O20" s="3267" t="s">
        <v>2905</v>
      </c>
      <c r="P20" s="3209" t="s">
        <v>2890</v>
      </c>
      <c r="Q20" s="3204" t="s">
        <v>2891</v>
      </c>
      <c r="R20" s="3268" t="s">
        <v>2892</v>
      </c>
      <c r="S20" s="3273"/>
      <c r="T20" s="3273"/>
      <c r="U20" s="3273"/>
      <c r="V20" s="3238"/>
      <c r="W20" s="3237"/>
    </row>
    <row r="21" spans="1:23" s="3143" customFormat="1" ht="13.15" customHeight="1">
      <c r="A21" s="3153"/>
      <c r="B21" s="3154"/>
      <c r="C21" s="3177" t="s">
        <v>2906</v>
      </c>
      <c r="D21" s="3178" t="s">
        <v>2907</v>
      </c>
      <c r="E21" s="3179" t="s">
        <v>2908</v>
      </c>
      <c r="F21" s="3176"/>
      <c r="G21" s="3260"/>
      <c r="H21" s="3237"/>
      <c r="I21" s="3238"/>
      <c r="J21" s="3566"/>
      <c r="K21" s="3568"/>
      <c r="L21" s="3265" t="s">
        <v>2909</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2910</v>
      </c>
      <c r="D22" s="3215" t="s">
        <v>2911</v>
      </c>
      <c r="E22" s="3216" t="s">
        <v>2912</v>
      </c>
      <c r="F22" s="3176"/>
      <c r="G22" s="3275"/>
      <c r="H22" s="3237"/>
      <c r="I22" s="3238"/>
      <c r="J22" s="3566"/>
      <c r="K22" s="3568"/>
      <c r="L22" s="3265" t="s">
        <v>2913</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2914</v>
      </c>
      <c r="C23" s="3181">
        <f>D6</f>
        <v>0</v>
      </c>
      <c r="D23" s="3182">
        <f>C23*(1+D24)</f>
        <v>0</v>
      </c>
      <c r="E23" s="3183">
        <f>D23*(1+E24)</f>
        <v>0</v>
      </c>
      <c r="F23" s="3184"/>
      <c r="G23" s="3276"/>
      <c r="H23" s="3237"/>
      <c r="I23" s="3238"/>
      <c r="J23" s="3566"/>
      <c r="K23" s="3568"/>
      <c r="L23" s="3265" t="s">
        <v>2915</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2916</v>
      </c>
      <c r="C24" s="3187"/>
      <c r="D24" s="3217"/>
      <c r="E24" s="3218"/>
      <c r="F24" s="3188"/>
      <c r="G24" s="3276"/>
      <c r="H24" s="3237"/>
      <c r="I24" s="3238"/>
      <c r="J24" s="3566"/>
      <c r="K24" s="3569"/>
      <c r="L24" s="3261" t="s">
        <v>2881</v>
      </c>
      <c r="M24" s="3262">
        <f>SUM(M21:M23)</f>
        <v>0</v>
      </c>
      <c r="N24" s="3262"/>
      <c r="O24" s="3263"/>
      <c r="P24" s="3270" t="s">
        <v>2971</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2917</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2918</v>
      </c>
      <c r="C26" s="3181">
        <f>D7</f>
        <v>0</v>
      </c>
      <c r="D26" s="3182">
        <f>D23*D27</f>
        <v>0</v>
      </c>
      <c r="E26" s="3183">
        <f>E23*E27</f>
        <v>0</v>
      </c>
      <c r="F26" s="3184"/>
      <c r="G26" s="3276"/>
      <c r="H26" s="3237"/>
      <c r="I26" s="3238"/>
      <c r="J26" s="3576">
        <v>5</v>
      </c>
      <c r="K26" s="3284" t="s">
        <v>2919</v>
      </c>
      <c r="L26" s="3285"/>
      <c r="M26" s="3286"/>
      <c r="N26" s="3287" t="s">
        <v>2920</v>
      </c>
      <c r="O26" s="3287" t="s">
        <v>2921</v>
      </c>
      <c r="P26" s="3288" t="s">
        <v>2922</v>
      </c>
      <c r="Q26" s="3288" t="s">
        <v>2923</v>
      </c>
      <c r="R26" s="3244" t="s">
        <v>2892</v>
      </c>
      <c r="S26" s="3289"/>
      <c r="T26" s="3289"/>
      <c r="U26" s="3289"/>
      <c r="V26" s="3282"/>
      <c r="W26" s="3283"/>
    </row>
    <row r="27" spans="1:23" s="3143" customFormat="1" ht="13.15" customHeight="1">
      <c r="A27" s="3185"/>
      <c r="B27" s="3186" t="s">
        <v>2924</v>
      </c>
      <c r="C27" s="3190" t="e">
        <f>E7</f>
        <v>#DIV/0!</v>
      </c>
      <c r="D27" s="3217"/>
      <c r="E27" s="3218"/>
      <c r="F27" s="3188"/>
      <c r="G27" s="3276"/>
      <c r="H27" s="3283"/>
      <c r="I27" s="3282"/>
      <c r="J27" s="3577"/>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2925</v>
      </c>
      <c r="F28" s="3188"/>
      <c r="G28" s="3275"/>
      <c r="H28" s="3283"/>
      <c r="I28" s="3282"/>
      <c r="J28" s="3295">
        <v>6</v>
      </c>
      <c r="K28" s="3296" t="s">
        <v>2926</v>
      </c>
      <c r="L28" s="3297" t="s">
        <v>2927</v>
      </c>
      <c r="M28" s="3298"/>
      <c r="N28" s="3297" t="s">
        <v>2928</v>
      </c>
      <c r="O28" s="3299"/>
      <c r="P28" s="3297" t="s">
        <v>2929</v>
      </c>
      <c r="Q28" s="3300">
        <v>1.4999999999999999E-2</v>
      </c>
      <c r="R28" s="3301"/>
      <c r="S28" s="3273"/>
      <c r="T28" s="3273"/>
      <c r="U28" s="3273"/>
      <c r="V28" s="3282"/>
      <c r="W28" s="3283"/>
    </row>
    <row r="29" spans="1:23" s="3189" customFormat="1" ht="13.15" customHeight="1">
      <c r="A29" s="3180">
        <v>3</v>
      </c>
      <c r="B29" s="3152" t="s">
        <v>2930</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2924</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2931</v>
      </c>
      <c r="K31" s="3233"/>
      <c r="L31" s="3233"/>
      <c r="M31" s="3233"/>
      <c r="N31" s="3233"/>
      <c r="O31" s="3233"/>
      <c r="P31" s="3233"/>
      <c r="Q31" s="3233"/>
      <c r="R31" s="3234"/>
      <c r="S31" s="3273"/>
      <c r="T31" s="3235"/>
      <c r="U31" s="3235"/>
      <c r="V31" s="3282"/>
      <c r="W31" s="3283"/>
    </row>
    <row r="32" spans="1:23" s="3189" customFormat="1" ht="13.15" customHeight="1">
      <c r="A32" s="3180">
        <v>4</v>
      </c>
      <c r="B32" s="3152" t="s">
        <v>2932</v>
      </c>
      <c r="C32" s="3181">
        <f>C23-C26-C29</f>
        <v>0</v>
      </c>
      <c r="D32" s="3182">
        <f>D23-D26-D29</f>
        <v>0</v>
      </c>
      <c r="E32" s="3183">
        <f>E23-E26-E29</f>
        <v>0</v>
      </c>
      <c r="F32" s="3184"/>
      <c r="G32" s="3275"/>
      <c r="H32" s="3237"/>
      <c r="I32" s="3238"/>
      <c r="J32" s="3559" t="s">
        <v>2933</v>
      </c>
      <c r="K32" s="3560"/>
      <c r="L32" s="3239" t="s">
        <v>2934</v>
      </c>
      <c r="M32" s="3239" t="s">
        <v>2837</v>
      </c>
      <c r="N32" s="3239" t="s">
        <v>2838</v>
      </c>
      <c r="O32" s="3239" t="s">
        <v>2839</v>
      </c>
      <c r="P32" s="3239" t="s">
        <v>2840</v>
      </c>
      <c r="Q32" s="3240" t="s">
        <v>2935</v>
      </c>
      <c r="R32" s="3302" t="s">
        <v>2936</v>
      </c>
      <c r="S32" s="3273"/>
      <c r="T32" s="3235"/>
      <c r="U32" s="3235"/>
      <c r="V32" s="3282"/>
      <c r="W32" s="3283"/>
    </row>
    <row r="33" spans="1:23" s="3143" customFormat="1" ht="13.15" customHeight="1">
      <c r="A33" s="3180"/>
      <c r="B33" s="3152"/>
      <c r="C33" s="3181"/>
      <c r="D33" s="3192"/>
      <c r="E33" s="3193"/>
      <c r="F33" s="3184"/>
      <c r="G33" s="3275"/>
      <c r="H33" s="3283"/>
      <c r="I33" s="3282"/>
      <c r="J33" s="3561" t="s">
        <v>2937</v>
      </c>
      <c r="K33" s="3562"/>
      <c r="L33" s="3242"/>
      <c r="M33" s="3242"/>
      <c r="N33" s="3242"/>
      <c r="O33" s="3242"/>
      <c r="P33" s="3242"/>
      <c r="Q33" s="3243"/>
      <c r="R33" s="3303">
        <f>SUM(L33:Q33)</f>
        <v>0</v>
      </c>
      <c r="S33" s="3273"/>
      <c r="T33" s="3235"/>
      <c r="U33" s="3235"/>
      <c r="V33" s="3238"/>
      <c r="W33" s="3237"/>
    </row>
    <row r="34" spans="1:23" s="3143" customFormat="1" ht="13.15" customHeight="1">
      <c r="A34" s="3180">
        <v>5</v>
      </c>
      <c r="B34" s="3152" t="s">
        <v>2938</v>
      </c>
      <c r="C34" s="3220"/>
      <c r="D34" s="3221"/>
      <c r="E34" s="3222"/>
      <c r="F34" s="3184"/>
      <c r="G34" s="3275"/>
      <c r="H34" s="3283"/>
      <c r="I34" s="3282"/>
      <c r="J34" s="3561" t="s">
        <v>2939</v>
      </c>
      <c r="K34" s="3562"/>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2940</v>
      </c>
      <c r="C35" s="3223"/>
      <c r="D35" s="3224"/>
      <c r="E35" s="3225"/>
      <c r="F35" s="3184"/>
      <c r="G35" s="3305"/>
      <c r="H35" s="3237"/>
      <c r="I35" s="3282"/>
      <c r="J35" s="3248" t="s">
        <v>2941</v>
      </c>
      <c r="K35" s="3249"/>
      <c r="L35" s="3249"/>
      <c r="M35" s="3250"/>
      <c r="N35" s="3250"/>
      <c r="O35" s="3250"/>
      <c r="P35" s="3250"/>
      <c r="Q35" s="3250"/>
      <c r="R35" s="3306">
        <f>R40+R41+R43</f>
        <v>0</v>
      </c>
      <c r="S35" s="3273"/>
      <c r="T35" s="3235" t="s">
        <v>2942</v>
      </c>
      <c r="U35" s="3235"/>
      <c r="V35" s="3238"/>
      <c r="W35" s="3237"/>
    </row>
    <row r="36" spans="1:23" s="3143" customFormat="1" ht="13.15" customHeight="1" thickBot="1">
      <c r="A36" s="3180">
        <v>7</v>
      </c>
      <c r="B36" s="3194" t="s">
        <v>2943</v>
      </c>
      <c r="C36" s="3226"/>
      <c r="D36" s="3227"/>
      <c r="E36" s="3228"/>
      <c r="F36" s="3195">
        <f>C36+D36+E36</f>
        <v>0</v>
      </c>
      <c r="G36" s="3275"/>
      <c r="H36" s="3237"/>
      <c r="I36" s="3238"/>
      <c r="J36" s="3566">
        <v>1</v>
      </c>
      <c r="K36" s="3567" t="s">
        <v>2944</v>
      </c>
      <c r="L36" s="3252"/>
      <c r="M36" s="3253"/>
      <c r="N36" s="3253"/>
      <c r="O36" s="3253"/>
      <c r="P36" s="3253"/>
      <c r="Q36" s="3253"/>
      <c r="R36" s="3244" t="s">
        <v>2892</v>
      </c>
      <c r="S36" s="3273"/>
      <c r="T36" s="3235" t="s">
        <v>2945</v>
      </c>
      <c r="U36" s="3235"/>
      <c r="V36" s="3238"/>
      <c r="W36" s="3237"/>
    </row>
    <row r="37" spans="1:23" s="3143" customFormat="1" ht="13.15" customHeight="1">
      <c r="A37" s="3180"/>
      <c r="B37" s="3152"/>
      <c r="C37" s="3152"/>
      <c r="D37" s="3152"/>
      <c r="E37" s="3152"/>
      <c r="F37" s="3184"/>
      <c r="G37" s="3275"/>
      <c r="H37" s="3237"/>
      <c r="I37" s="3238"/>
      <c r="J37" s="3566"/>
      <c r="K37" s="3568"/>
      <c r="L37" s="3265"/>
      <c r="M37" s="3266"/>
      <c r="N37" s="3204"/>
      <c r="O37" s="3267"/>
      <c r="P37" s="3267"/>
      <c r="Q37" s="3209"/>
      <c r="R37" s="3307"/>
      <c r="S37" s="3273"/>
      <c r="T37" s="3235" t="s">
        <v>2946</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66"/>
      <c r="K38" s="3568"/>
      <c r="L38" s="3265"/>
      <c r="M38" s="3266"/>
      <c r="N38" s="3204"/>
      <c r="O38" s="3267"/>
      <c r="P38" s="3267"/>
      <c r="Q38" s="3209"/>
      <c r="R38" s="3307"/>
      <c r="S38" s="3273"/>
      <c r="T38" s="3235" t="s">
        <v>2868</v>
      </c>
      <c r="U38" s="3235"/>
      <c r="V38" s="3238"/>
      <c r="W38" s="3237"/>
    </row>
    <row r="39" spans="1:23" s="3143" customFormat="1" ht="13.15" customHeight="1">
      <c r="A39" s="3180">
        <v>9</v>
      </c>
      <c r="B39" s="3152" t="s">
        <v>2947</v>
      </c>
      <c r="C39" s="3165" t="e">
        <f>C38</f>
        <v>#DIV/0!</v>
      </c>
      <c r="D39" s="3152">
        <f>D38/(1+D34)^C36</f>
        <v>0</v>
      </c>
      <c r="E39" s="3152">
        <f>E38/(1+E34)^(C36+D36)</f>
        <v>0</v>
      </c>
      <c r="F39" s="3184"/>
      <c r="G39" s="3308"/>
      <c r="H39" s="3237"/>
      <c r="I39" s="3238"/>
      <c r="J39" s="3566"/>
      <c r="K39" s="3568"/>
      <c r="L39" s="3265"/>
      <c r="M39" s="3266"/>
      <c r="N39" s="3204"/>
      <c r="O39" s="3267"/>
      <c r="P39" s="3267"/>
      <c r="Q39" s="3209"/>
      <c r="R39" s="3307"/>
      <c r="S39" s="3273"/>
      <c r="T39" s="3235"/>
      <c r="U39" s="3235"/>
      <c r="V39" s="3238"/>
      <c r="W39" s="3237"/>
    </row>
    <row r="40" spans="1:23" s="3143" customFormat="1" ht="13.15" customHeight="1">
      <c r="A40" s="3196">
        <v>10</v>
      </c>
      <c r="B40" s="3152" t="s">
        <v>2948</v>
      </c>
      <c r="C40" s="3197" t="e">
        <f>C39+D39+E39</f>
        <v>#DIV/0!</v>
      </c>
      <c r="D40" s="3198"/>
      <c r="E40" s="3198"/>
      <c r="F40" s="3199"/>
      <c r="G40" s="3275"/>
      <c r="H40" s="3237"/>
      <c r="I40" s="3238"/>
      <c r="J40" s="3566"/>
      <c r="K40" s="3569"/>
      <c r="L40" s="3261" t="s">
        <v>2949</v>
      </c>
      <c r="M40" s="3262"/>
      <c r="N40" s="3262"/>
      <c r="O40" s="3263"/>
      <c r="P40" s="3263"/>
      <c r="Q40" s="3264"/>
      <c r="R40" s="3241">
        <f>SUM(R37:R39)</f>
        <v>0</v>
      </c>
      <c r="S40" s="3273"/>
      <c r="T40" s="3235"/>
      <c r="U40" s="3235"/>
      <c r="V40" s="3238"/>
      <c r="W40" s="3237"/>
    </row>
    <row r="41" spans="1:23" s="3143" customFormat="1" ht="13.15" customHeight="1" thickBot="1">
      <c r="A41" s="3200">
        <v>11</v>
      </c>
      <c r="B41" s="3201" t="s">
        <v>2950</v>
      </c>
      <c r="C41" s="3201" t="e">
        <f>ROUND(C40*10000/B4,0)</f>
        <v>#DIV/0!</v>
      </c>
      <c r="D41" s="3202"/>
      <c r="E41" s="3202"/>
      <c r="F41" s="3203"/>
      <c r="G41" s="3309"/>
      <c r="H41" s="3237"/>
      <c r="I41" s="3238"/>
      <c r="J41" s="3277">
        <v>2</v>
      </c>
      <c r="K41" s="3278" t="s">
        <v>2951</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6">
        <v>3</v>
      </c>
      <c r="K42" s="3284" t="s">
        <v>2952</v>
      </c>
      <c r="L42" s="3285"/>
      <c r="M42" s="3286"/>
      <c r="N42" s="3287" t="s">
        <v>2953</v>
      </c>
      <c r="O42" s="3287" t="s">
        <v>2954</v>
      </c>
      <c r="P42" s="3288" t="s">
        <v>2955</v>
      </c>
      <c r="Q42" s="3288" t="s">
        <v>2956</v>
      </c>
      <c r="R42" s="3244" t="s">
        <v>2859</v>
      </c>
      <c r="S42" s="3289"/>
      <c r="T42" s="3289"/>
      <c r="U42" s="3235"/>
      <c r="V42" s="3238"/>
      <c r="W42" s="3237"/>
    </row>
    <row r="43" spans="1:23" ht="13.15" customHeight="1">
      <c r="A43" s="3143"/>
      <c r="B43" s="3143"/>
      <c r="C43" s="3143"/>
      <c r="D43" s="3143"/>
      <c r="E43" s="3143"/>
      <c r="F43" s="3143"/>
      <c r="I43" s="3230"/>
      <c r="J43" s="3577"/>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2957</v>
      </c>
      <c r="L44" s="3312" t="s">
        <v>2958</v>
      </c>
      <c r="M44" s="3298"/>
      <c r="N44" s="3312" t="s">
        <v>2959</v>
      </c>
      <c r="O44" s="3298"/>
      <c r="P44" s="3312" t="s">
        <v>2960</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AD37" sqref="AD3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8.2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13210975</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294980016</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81" t="s">
        <v>2156</v>
      </c>
      <c r="D4" s="3582"/>
      <c r="E4" s="3582"/>
      <c r="F4" s="3582"/>
      <c r="G4" s="3582"/>
      <c r="H4" s="3582"/>
      <c r="I4" s="3582"/>
      <c r="J4" s="3582"/>
      <c r="K4" s="3582"/>
      <c r="L4" s="3582"/>
      <c r="M4" s="3582"/>
      <c r="N4" s="3582"/>
      <c r="O4" s="3582"/>
      <c r="P4" s="3582"/>
      <c r="Q4" s="3582"/>
      <c r="R4" s="3582"/>
      <c r="S4" s="3583"/>
      <c r="T4" s="575" t="s">
        <v>2157</v>
      </c>
      <c r="U4" s="998"/>
      <c r="V4" s="998"/>
      <c r="X4" s="998"/>
      <c r="Y4" s="998"/>
    </row>
    <row r="5" spans="1:44" s="587" customFormat="1" ht="38.25">
      <c r="A5" s="1002"/>
      <c r="B5" s="583" t="s">
        <v>2158</v>
      </c>
      <c r="C5" s="584" t="str">
        <f t="shared" ref="C5:L5" si="0">C6&amp;"(含)"&amp;"-"&amp;D6</f>
        <v>0(含)-300</v>
      </c>
      <c r="D5" s="585" t="str">
        <f t="shared" si="0"/>
        <v>300(含)-500</v>
      </c>
      <c r="E5" s="585" t="str">
        <f t="shared" si="0"/>
        <v>500(含)-1000</v>
      </c>
      <c r="F5" s="585" t="str">
        <f t="shared" si="0"/>
        <v>1000(含)-2000</v>
      </c>
      <c r="G5" s="585" t="str">
        <f t="shared" si="0"/>
        <v>2000(含)-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1000</v>
      </c>
      <c r="G6" s="1871">
        <v>2000</v>
      </c>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99</v>
      </c>
      <c r="D7" s="1825">
        <v>100</v>
      </c>
      <c r="E7" s="1825">
        <v>99</v>
      </c>
      <c r="F7" s="1825">
        <v>98</v>
      </c>
      <c r="G7" s="1825">
        <v>97</v>
      </c>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3321" t="s">
        <v>3042</v>
      </c>
      <c r="C8" s="3324" t="s">
        <v>3045</v>
      </c>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ht="24">
      <c r="A10" s="1005"/>
      <c r="B10" s="3322" t="s">
        <v>3043</v>
      </c>
      <c r="C10" s="3323" t="s">
        <v>3044</v>
      </c>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2159</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2160</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2161</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2162</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2163</v>
      </c>
      <c r="B20" s="1522" t="s">
        <v>2164</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2165</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2166</v>
      </c>
      <c r="B23" s="224">
        <f ca="1">IF(F23="——",IF(C23="万元",T25,S25),IF(C23="万元",T25-H23,S25-H23))</f>
        <v>13210975</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2167</v>
      </c>
      <c r="B24" s="224">
        <f ca="1">ROUND(B23*10000/B25,0)</f>
        <v>294980016</v>
      </c>
      <c r="C24" s="863"/>
      <c r="D24" s="37"/>
      <c r="E24" s="37"/>
      <c r="F24" s="37"/>
      <c r="G24" s="37"/>
      <c r="H24" s="37"/>
      <c r="I24" s="37"/>
      <c r="J24" s="37"/>
      <c r="K24" s="37"/>
      <c r="L24" s="37"/>
      <c r="M24" s="37"/>
      <c r="N24" s="37"/>
      <c r="O24" s="37"/>
      <c r="P24" s="37"/>
      <c r="Q24" s="37"/>
      <c r="R24" s="644"/>
      <c r="S24" s="13" t="s">
        <v>2168</v>
      </c>
      <c r="T24" s="1301" t="s">
        <v>2169</v>
      </c>
      <c r="U24" s="2214" t="s">
        <v>2170</v>
      </c>
      <c r="V24" s="2957"/>
      <c r="W24" s="2958" t="s">
        <v>2171</v>
      </c>
      <c r="X24" s="2214" t="s">
        <v>2172</v>
      </c>
      <c r="Y24" s="2957"/>
      <c r="Z24" s="2959" t="s">
        <v>2171</v>
      </c>
    </row>
    <row r="25" spans="1:45">
      <c r="A25" s="250" t="s">
        <v>2173</v>
      </c>
      <c r="B25" s="13">
        <f>SUM(B27:B10000)</f>
        <v>447.86</v>
      </c>
      <c r="C25" s="3578" t="s">
        <v>45</v>
      </c>
      <c r="D25" s="3579"/>
      <c r="E25" s="3579"/>
      <c r="F25" s="3579"/>
      <c r="G25" s="3579"/>
      <c r="H25" s="3579"/>
      <c r="I25" s="3579"/>
      <c r="J25" s="3579"/>
      <c r="K25" s="3579"/>
      <c r="L25" s="3579"/>
      <c r="M25" s="3579"/>
      <c r="N25" s="3579"/>
      <c r="O25" s="3579"/>
      <c r="P25" s="3579"/>
      <c r="Q25" s="3580"/>
      <c r="R25" s="596">
        <f ca="1">IF(C23="万元",ROUND(T25*10000/B25,0),ROUND(S25/B25,0))</f>
        <v>29498</v>
      </c>
      <c r="S25" s="13">
        <f ca="1">SUM(S27:S10000)</f>
        <v>13210975</v>
      </c>
      <c r="T25" s="13">
        <f ca="1">SUM(T27:T10000)</f>
        <v>1321</v>
      </c>
      <c r="U25" s="17">
        <f>SUM(U27:U10000)</f>
        <v>0</v>
      </c>
      <c r="V25" s="17">
        <f>SUM(V27:V10000)</f>
        <v>0</v>
      </c>
      <c r="W25" s="2961"/>
      <c r="X25" s="17">
        <f>SUM(X27:X10000)</f>
        <v>0</v>
      </c>
      <c r="Y25" s="17">
        <f>SUM(Y27:Y10000)</f>
        <v>0</v>
      </c>
      <c r="Z25" s="1527"/>
      <c r="AA25" s="658">
        <v>1320</v>
      </c>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805</v>
      </c>
      <c r="B27" s="599">
        <f>'数据-取费表'!E5</f>
        <v>217.69</v>
      </c>
      <c r="C27" s="900">
        <v>1</v>
      </c>
      <c r="D27" s="600" t="s">
        <v>3006</v>
      </c>
      <c r="E27" s="900">
        <v>1</v>
      </c>
      <c r="F27" s="600" t="s">
        <v>3040</v>
      </c>
      <c r="G27" s="900">
        <v>1</v>
      </c>
      <c r="H27" s="600"/>
      <c r="I27" s="900">
        <v>1</v>
      </c>
      <c r="J27" s="600"/>
      <c r="K27" s="900">
        <v>1</v>
      </c>
      <c r="L27" s="600"/>
      <c r="M27" s="900">
        <v>1</v>
      </c>
      <c r="N27" s="600"/>
      <c r="O27" s="900">
        <v>1</v>
      </c>
      <c r="P27" s="600"/>
      <c r="Q27" s="900">
        <v>1</v>
      </c>
      <c r="R27" s="906">
        <f ca="1">'结果表 (1修多)'!G20</f>
        <v>29498</v>
      </c>
      <c r="S27" s="599">
        <f ca="1">ROUND(R27*B27,0)</f>
        <v>6421420</v>
      </c>
      <c r="T27" s="599">
        <f ca="1">ROUND(R27*B27/10000,0)</f>
        <v>642</v>
      </c>
      <c r="U27" s="2960">
        <f>ROUND(W27*B27,0)</f>
        <v>0</v>
      </c>
      <c r="V27" s="2960">
        <f>ROUND(W27*B27/10000,0)</f>
        <v>0</v>
      </c>
      <c r="W27" s="996"/>
      <c r="X27" s="2960">
        <f>ROUND(Z27*B27,0)</f>
        <v>0</v>
      </c>
      <c r="Y27" s="296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806</v>
      </c>
      <c r="B28" s="20">
        <v>230.17</v>
      </c>
      <c r="C28" s="13">
        <f t="shared" ref="C28:C91" si="14">IF(B28="",1,(LOOKUP(B28,$6:$6,$7:$7)-LOOKUP($B$27,$6:$6,$7:$7)+100)/100)</f>
        <v>1</v>
      </c>
      <c r="D28" s="600" t="s">
        <v>3006</v>
      </c>
      <c r="E28" s="13">
        <f t="shared" ref="E28:E91" si="15">(SUMIF($8:$8,D28,$9:$9)-SUMIF($8:$8,$D$27,$9:$9)+100)/100</f>
        <v>1</v>
      </c>
      <c r="F28" s="600" t="s">
        <v>3040</v>
      </c>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29498</v>
      </c>
      <c r="S28" s="250">
        <f ca="1">ROUND(R28*B28,0)</f>
        <v>6789555</v>
      </c>
      <c r="T28" s="900">
        <f ca="1">ROUND(R28*B28/10000,0)</f>
        <v>679</v>
      </c>
      <c r="U28" s="2960">
        <f t="shared" ref="U28:U91" si="22">ROUND(W28*B28,0)</f>
        <v>0</v>
      </c>
      <c r="V28" s="2960">
        <f t="shared" ref="V28:V91" si="23">ROUND(W28*B28/10000,0)</f>
        <v>0</v>
      </c>
      <c r="W28" s="997"/>
      <c r="X28" s="2960">
        <f t="shared" ref="X28:X91" si="24">ROUND(Z28*B28,0)</f>
        <v>0</v>
      </c>
      <c r="Y28" s="2960">
        <f t="shared" ref="Y28:Y91" si="25">ROUND(Z28*B28/10000,0)</f>
        <v>0</v>
      </c>
      <c r="Z28" s="997"/>
    </row>
    <row r="29" spans="1:45">
      <c r="A29" s="35"/>
      <c r="B29" s="20"/>
      <c r="C29" s="13">
        <f t="shared" si="14"/>
        <v>1</v>
      </c>
      <c r="D29" s="600"/>
      <c r="E29" s="13">
        <f t="shared" si="15"/>
        <v>0</v>
      </c>
      <c r="F29" s="600"/>
      <c r="G29" s="13">
        <f t="shared" si="16"/>
        <v>0</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900">
        <f t="shared" ref="T29:T92" si="28">ROUND(R29*B29/10000,0)</f>
        <v>0</v>
      </c>
      <c r="U29" s="2960">
        <f t="shared" si="22"/>
        <v>0</v>
      </c>
      <c r="V29" s="2960">
        <f t="shared" si="23"/>
        <v>0</v>
      </c>
      <c r="W29" s="997"/>
      <c r="X29" s="2960">
        <f t="shared" si="24"/>
        <v>0</v>
      </c>
      <c r="Y29" s="2960">
        <f t="shared" si="25"/>
        <v>0</v>
      </c>
      <c r="Z29" s="997"/>
    </row>
    <row r="30" spans="1:45">
      <c r="A30" s="35"/>
      <c r="B30" s="20"/>
      <c r="C30" s="13">
        <f t="shared" si="14"/>
        <v>1</v>
      </c>
      <c r="D30" s="600"/>
      <c r="E30" s="13">
        <f t="shared" si="15"/>
        <v>0</v>
      </c>
      <c r="F30" s="600"/>
      <c r="G30" s="13">
        <f t="shared" si="16"/>
        <v>0</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60">
        <f t="shared" si="22"/>
        <v>0</v>
      </c>
      <c r="V30" s="2960">
        <f t="shared" si="23"/>
        <v>0</v>
      </c>
      <c r="W30" s="997"/>
      <c r="X30" s="2960">
        <f t="shared" si="24"/>
        <v>0</v>
      </c>
      <c r="Y30" s="2960">
        <f t="shared" si="25"/>
        <v>0</v>
      </c>
      <c r="Z30" s="997"/>
    </row>
    <row r="31" spans="1:45">
      <c r="A31" s="35"/>
      <c r="B31" s="20"/>
      <c r="C31" s="13">
        <f t="shared" si="14"/>
        <v>1</v>
      </c>
      <c r="D31" s="600"/>
      <c r="E31" s="13">
        <f t="shared" si="15"/>
        <v>0</v>
      </c>
      <c r="F31" s="600"/>
      <c r="G31" s="13">
        <f t="shared" si="16"/>
        <v>0</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60">
        <f t="shared" si="22"/>
        <v>0</v>
      </c>
      <c r="V31" s="2960">
        <f t="shared" si="23"/>
        <v>0</v>
      </c>
      <c r="W31" s="997"/>
      <c r="X31" s="2960">
        <f t="shared" si="24"/>
        <v>0</v>
      </c>
      <c r="Y31" s="2960">
        <f t="shared" si="25"/>
        <v>0</v>
      </c>
      <c r="Z31" s="997"/>
    </row>
    <row r="32" spans="1:45">
      <c r="A32" s="35"/>
      <c r="B32" s="20"/>
      <c r="C32" s="13">
        <f t="shared" si="14"/>
        <v>1</v>
      </c>
      <c r="D32" s="600"/>
      <c r="E32" s="13">
        <f t="shared" si="15"/>
        <v>0</v>
      </c>
      <c r="F32" s="600"/>
      <c r="G32" s="13">
        <f t="shared" si="16"/>
        <v>0</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60">
        <f t="shared" si="22"/>
        <v>0</v>
      </c>
      <c r="V32" s="2960">
        <f t="shared" si="23"/>
        <v>0</v>
      </c>
      <c r="W32" s="997"/>
      <c r="X32" s="2960">
        <f t="shared" si="24"/>
        <v>0</v>
      </c>
      <c r="Y32" s="2960">
        <f t="shared" si="25"/>
        <v>0</v>
      </c>
      <c r="Z32" s="997"/>
    </row>
    <row r="33" spans="1:26">
      <c r="A33" s="35"/>
      <c r="B33" s="20"/>
      <c r="C33" s="13">
        <f t="shared" si="14"/>
        <v>1</v>
      </c>
      <c r="D33" s="600"/>
      <c r="E33" s="13">
        <f t="shared" si="15"/>
        <v>0</v>
      </c>
      <c r="F33" s="600"/>
      <c r="G33" s="13">
        <f t="shared" si="16"/>
        <v>0</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60">
        <f t="shared" si="22"/>
        <v>0</v>
      </c>
      <c r="V33" s="2960">
        <f t="shared" si="23"/>
        <v>0</v>
      </c>
      <c r="W33" s="997"/>
      <c r="X33" s="2960">
        <f t="shared" si="24"/>
        <v>0</v>
      </c>
      <c r="Y33" s="2960">
        <f t="shared" si="25"/>
        <v>0</v>
      </c>
      <c r="Z33" s="997"/>
    </row>
    <row r="34" spans="1:26">
      <c r="A34" s="35"/>
      <c r="B34" s="20"/>
      <c r="C34" s="13">
        <f t="shared" si="14"/>
        <v>1</v>
      </c>
      <c r="D34" s="600"/>
      <c r="E34" s="13">
        <f t="shared" si="15"/>
        <v>0</v>
      </c>
      <c r="F34" s="600"/>
      <c r="G34" s="13">
        <f t="shared" si="16"/>
        <v>0</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60">
        <f t="shared" si="22"/>
        <v>0</v>
      </c>
      <c r="V34" s="2960">
        <f t="shared" si="23"/>
        <v>0</v>
      </c>
      <c r="W34" s="997"/>
      <c r="X34" s="2960">
        <f t="shared" si="24"/>
        <v>0</v>
      </c>
      <c r="Y34" s="2960">
        <f t="shared" si="25"/>
        <v>0</v>
      </c>
      <c r="Z34" s="997"/>
    </row>
    <row r="35" spans="1:26">
      <c r="A35" s="35"/>
      <c r="B35" s="20"/>
      <c r="C35" s="13">
        <f t="shared" si="14"/>
        <v>1</v>
      </c>
      <c r="D35" s="600"/>
      <c r="E35" s="13">
        <f t="shared" si="15"/>
        <v>0</v>
      </c>
      <c r="F35" s="600"/>
      <c r="G35" s="13">
        <f t="shared" si="16"/>
        <v>0</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60">
        <f t="shared" si="22"/>
        <v>0</v>
      </c>
      <c r="V35" s="2960">
        <f t="shared" si="23"/>
        <v>0</v>
      </c>
      <c r="W35" s="997"/>
      <c r="X35" s="2960">
        <f t="shared" si="24"/>
        <v>0</v>
      </c>
      <c r="Y35" s="2960">
        <f t="shared" si="25"/>
        <v>0</v>
      </c>
      <c r="Z35" s="997"/>
    </row>
    <row r="36" spans="1:26">
      <c r="A36" s="35"/>
      <c r="B36" s="20"/>
      <c r="C36" s="13">
        <f t="shared" si="14"/>
        <v>1</v>
      </c>
      <c r="D36" s="600"/>
      <c r="E36" s="13">
        <f t="shared" si="15"/>
        <v>0</v>
      </c>
      <c r="F36" s="600"/>
      <c r="G36" s="13">
        <f t="shared" si="16"/>
        <v>0</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60">
        <f t="shared" si="22"/>
        <v>0</v>
      </c>
      <c r="V36" s="2960">
        <f t="shared" si="23"/>
        <v>0</v>
      </c>
      <c r="W36" s="997"/>
      <c r="X36" s="2960">
        <f t="shared" si="24"/>
        <v>0</v>
      </c>
      <c r="Y36" s="2960">
        <f t="shared" si="25"/>
        <v>0</v>
      </c>
      <c r="Z36" s="997"/>
    </row>
    <row r="37" spans="1:26">
      <c r="A37" s="35"/>
      <c r="B37" s="20"/>
      <c r="C37" s="13">
        <f t="shared" si="14"/>
        <v>1</v>
      </c>
      <c r="D37" s="600"/>
      <c r="E37" s="13">
        <f t="shared" si="15"/>
        <v>0</v>
      </c>
      <c r="F37" s="600"/>
      <c r="G37" s="13">
        <f t="shared" si="16"/>
        <v>0</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60">
        <f t="shared" si="22"/>
        <v>0</v>
      </c>
      <c r="V37" s="2960">
        <f t="shared" si="23"/>
        <v>0</v>
      </c>
      <c r="W37" s="997"/>
      <c r="X37" s="2960">
        <f t="shared" si="24"/>
        <v>0</v>
      </c>
      <c r="Y37" s="2960">
        <f t="shared" si="25"/>
        <v>0</v>
      </c>
      <c r="Z37" s="997"/>
    </row>
    <row r="38" spans="1:26">
      <c r="A38" s="35"/>
      <c r="B38" s="20"/>
      <c r="C38" s="13">
        <f t="shared" si="14"/>
        <v>1</v>
      </c>
      <c r="D38" s="600"/>
      <c r="E38" s="13">
        <f t="shared" si="15"/>
        <v>0</v>
      </c>
      <c r="F38" s="600"/>
      <c r="G38" s="13">
        <f t="shared" si="16"/>
        <v>0</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60">
        <f t="shared" si="22"/>
        <v>0</v>
      </c>
      <c r="V38" s="2960">
        <f t="shared" si="23"/>
        <v>0</v>
      </c>
      <c r="W38" s="997"/>
      <c r="X38" s="2960">
        <f t="shared" si="24"/>
        <v>0</v>
      </c>
      <c r="Y38" s="2960">
        <f t="shared" si="25"/>
        <v>0</v>
      </c>
      <c r="Z38" s="997"/>
    </row>
    <row r="39" spans="1:26">
      <c r="A39" s="35"/>
      <c r="B39" s="20"/>
      <c r="C39" s="13">
        <f t="shared" si="14"/>
        <v>1</v>
      </c>
      <c r="D39" s="600"/>
      <c r="E39" s="13">
        <f t="shared" si="15"/>
        <v>0</v>
      </c>
      <c r="F39" s="600"/>
      <c r="G39" s="13">
        <f t="shared" si="16"/>
        <v>0</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60">
        <f t="shared" si="22"/>
        <v>0</v>
      </c>
      <c r="V39" s="2960">
        <f t="shared" si="23"/>
        <v>0</v>
      </c>
      <c r="W39" s="997"/>
      <c r="X39" s="2960">
        <f t="shared" si="24"/>
        <v>0</v>
      </c>
      <c r="Y39" s="2960">
        <f t="shared" si="25"/>
        <v>0</v>
      </c>
      <c r="Z39" s="997"/>
    </row>
    <row r="40" spans="1:26">
      <c r="A40" s="35"/>
      <c r="B40" s="20"/>
      <c r="C40" s="13">
        <f t="shared" si="14"/>
        <v>1</v>
      </c>
      <c r="D40" s="600"/>
      <c r="E40" s="13">
        <f t="shared" si="15"/>
        <v>0</v>
      </c>
      <c r="F40" s="600"/>
      <c r="G40" s="13">
        <f t="shared" si="16"/>
        <v>0</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60">
        <f t="shared" si="22"/>
        <v>0</v>
      </c>
      <c r="V40" s="2960">
        <f t="shared" si="23"/>
        <v>0</v>
      </c>
      <c r="W40" s="997"/>
      <c r="X40" s="2960">
        <f t="shared" si="24"/>
        <v>0</v>
      </c>
      <c r="Y40" s="2960">
        <f t="shared" si="25"/>
        <v>0</v>
      </c>
      <c r="Z40" s="997"/>
    </row>
    <row r="41" spans="1:26">
      <c r="A41" s="35"/>
      <c r="B41" s="20"/>
      <c r="C41" s="13">
        <f t="shared" si="14"/>
        <v>1</v>
      </c>
      <c r="D41" s="600"/>
      <c r="E41" s="13">
        <f t="shared" si="15"/>
        <v>0</v>
      </c>
      <c r="F41" s="600"/>
      <c r="G41" s="13">
        <f t="shared" si="16"/>
        <v>0</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60">
        <f t="shared" si="22"/>
        <v>0</v>
      </c>
      <c r="V41" s="2960">
        <f t="shared" si="23"/>
        <v>0</v>
      </c>
      <c r="W41" s="997"/>
      <c r="X41" s="2960">
        <f t="shared" si="24"/>
        <v>0</v>
      </c>
      <c r="Y41" s="2960">
        <f t="shared" si="25"/>
        <v>0</v>
      </c>
      <c r="Z41" s="997"/>
    </row>
    <row r="42" spans="1:26">
      <c r="A42" s="35"/>
      <c r="B42" s="20"/>
      <c r="C42" s="13">
        <f t="shared" si="14"/>
        <v>1</v>
      </c>
      <c r="D42" s="600"/>
      <c r="E42" s="13">
        <f t="shared" si="15"/>
        <v>0</v>
      </c>
      <c r="F42" s="600"/>
      <c r="G42" s="13">
        <f t="shared" si="16"/>
        <v>0</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60">
        <f t="shared" si="22"/>
        <v>0</v>
      </c>
      <c r="V42" s="2960">
        <f t="shared" si="23"/>
        <v>0</v>
      </c>
      <c r="W42" s="997"/>
      <c r="X42" s="2960">
        <f t="shared" si="24"/>
        <v>0</v>
      </c>
      <c r="Y42" s="2960">
        <f t="shared" si="25"/>
        <v>0</v>
      </c>
      <c r="Z42" s="997"/>
    </row>
    <row r="43" spans="1:26">
      <c r="A43" s="35"/>
      <c r="B43" s="20"/>
      <c r="C43" s="13">
        <f t="shared" si="14"/>
        <v>1</v>
      </c>
      <c r="D43" s="600"/>
      <c r="E43" s="13">
        <f t="shared" si="15"/>
        <v>0</v>
      </c>
      <c r="F43" s="600"/>
      <c r="G43" s="13">
        <f t="shared" si="16"/>
        <v>0</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60">
        <f t="shared" si="22"/>
        <v>0</v>
      </c>
      <c r="V43" s="2960">
        <f t="shared" si="23"/>
        <v>0</v>
      </c>
      <c r="W43" s="997"/>
      <c r="X43" s="2960">
        <f t="shared" si="24"/>
        <v>0</v>
      </c>
      <c r="Y43" s="2960">
        <f t="shared" si="25"/>
        <v>0</v>
      </c>
      <c r="Z43" s="997"/>
    </row>
    <row r="44" spans="1:26">
      <c r="A44" s="35"/>
      <c r="B44" s="20"/>
      <c r="C44" s="13">
        <f t="shared" si="14"/>
        <v>1</v>
      </c>
      <c r="D44" s="600"/>
      <c r="E44" s="13">
        <f t="shared" si="15"/>
        <v>0</v>
      </c>
      <c r="F44" s="600"/>
      <c r="G44" s="13">
        <f t="shared" si="16"/>
        <v>0</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60">
        <f t="shared" si="22"/>
        <v>0</v>
      </c>
      <c r="V44" s="2960">
        <f t="shared" si="23"/>
        <v>0</v>
      </c>
      <c r="W44" s="997"/>
      <c r="X44" s="2960">
        <f t="shared" si="24"/>
        <v>0</v>
      </c>
      <c r="Y44" s="2960">
        <f t="shared" si="25"/>
        <v>0</v>
      </c>
      <c r="Z44" s="997"/>
    </row>
    <row r="45" spans="1:26">
      <c r="A45" s="35"/>
      <c r="B45" s="20"/>
      <c r="C45" s="13">
        <f t="shared" si="14"/>
        <v>1</v>
      </c>
      <c r="D45" s="600"/>
      <c r="E45" s="13">
        <f t="shared" si="15"/>
        <v>0</v>
      </c>
      <c r="F45" s="600"/>
      <c r="G45" s="13">
        <f t="shared" si="16"/>
        <v>0</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60">
        <f t="shared" si="22"/>
        <v>0</v>
      </c>
      <c r="V45" s="2960">
        <f t="shared" si="23"/>
        <v>0</v>
      </c>
      <c r="W45" s="997"/>
      <c r="X45" s="2960">
        <f t="shared" si="24"/>
        <v>0</v>
      </c>
      <c r="Y45" s="2960">
        <f t="shared" si="25"/>
        <v>0</v>
      </c>
      <c r="Z45" s="997"/>
    </row>
    <row r="46" spans="1:26">
      <c r="A46" s="35"/>
      <c r="B46" s="20"/>
      <c r="C46" s="13">
        <f t="shared" si="14"/>
        <v>1</v>
      </c>
      <c r="D46" s="600"/>
      <c r="E46" s="13">
        <f t="shared" si="15"/>
        <v>0</v>
      </c>
      <c r="F46" s="600"/>
      <c r="G46" s="13">
        <f t="shared" si="16"/>
        <v>0</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60">
        <f t="shared" si="22"/>
        <v>0</v>
      </c>
      <c r="V46" s="2960">
        <f t="shared" si="23"/>
        <v>0</v>
      </c>
      <c r="W46" s="997"/>
      <c r="X46" s="2960">
        <f t="shared" si="24"/>
        <v>0</v>
      </c>
      <c r="Y46" s="2960">
        <f t="shared" si="25"/>
        <v>0</v>
      </c>
      <c r="Z46" s="997"/>
    </row>
    <row r="47" spans="1:26">
      <c r="A47" s="35"/>
      <c r="B47" s="20"/>
      <c r="C47" s="13">
        <f t="shared" si="14"/>
        <v>1</v>
      </c>
      <c r="D47" s="600"/>
      <c r="E47" s="13">
        <f t="shared" si="15"/>
        <v>0</v>
      </c>
      <c r="F47" s="600"/>
      <c r="G47" s="13">
        <f t="shared" si="16"/>
        <v>0</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60">
        <f t="shared" si="22"/>
        <v>0</v>
      </c>
      <c r="V47" s="2960">
        <f t="shared" si="23"/>
        <v>0</v>
      </c>
      <c r="W47" s="997"/>
      <c r="X47" s="2960">
        <f t="shared" si="24"/>
        <v>0</v>
      </c>
      <c r="Y47" s="2960">
        <f t="shared" si="25"/>
        <v>0</v>
      </c>
      <c r="Z47" s="997"/>
    </row>
    <row r="48" spans="1:26">
      <c r="A48" s="35"/>
      <c r="B48" s="20"/>
      <c r="C48" s="13">
        <f t="shared" si="14"/>
        <v>1</v>
      </c>
      <c r="D48" s="600"/>
      <c r="E48" s="13">
        <f t="shared" si="15"/>
        <v>0</v>
      </c>
      <c r="F48" s="600"/>
      <c r="G48" s="13">
        <f t="shared" si="16"/>
        <v>0</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60">
        <f t="shared" si="22"/>
        <v>0</v>
      </c>
      <c r="V48" s="2960">
        <f t="shared" si="23"/>
        <v>0</v>
      </c>
      <c r="W48" s="997"/>
      <c r="X48" s="2960">
        <f t="shared" si="24"/>
        <v>0</v>
      </c>
      <c r="Y48" s="2960">
        <f t="shared" si="25"/>
        <v>0</v>
      </c>
      <c r="Z48" s="997"/>
    </row>
    <row r="49" spans="1:26">
      <c r="A49" s="35"/>
      <c r="B49" s="20"/>
      <c r="C49" s="13">
        <f t="shared" si="14"/>
        <v>1</v>
      </c>
      <c r="D49" s="600"/>
      <c r="E49" s="13">
        <f t="shared" si="15"/>
        <v>0</v>
      </c>
      <c r="F49" s="600"/>
      <c r="G49" s="13">
        <f t="shared" si="16"/>
        <v>0</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60">
        <f t="shared" si="22"/>
        <v>0</v>
      </c>
      <c r="V49" s="2960">
        <f t="shared" si="23"/>
        <v>0</v>
      </c>
      <c r="W49" s="997"/>
      <c r="X49" s="2960">
        <f t="shared" si="24"/>
        <v>0</v>
      </c>
      <c r="Y49" s="2960">
        <f t="shared" si="25"/>
        <v>0</v>
      </c>
      <c r="Z49" s="997"/>
    </row>
    <row r="50" spans="1:26">
      <c r="A50" s="35"/>
      <c r="B50" s="20"/>
      <c r="C50" s="13">
        <f t="shared" si="14"/>
        <v>1</v>
      </c>
      <c r="D50" s="600"/>
      <c r="E50" s="13">
        <f t="shared" si="15"/>
        <v>0</v>
      </c>
      <c r="F50" s="600"/>
      <c r="G50" s="13">
        <f t="shared" si="16"/>
        <v>0</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60">
        <f t="shared" si="22"/>
        <v>0</v>
      </c>
      <c r="V50" s="2960">
        <f t="shared" si="23"/>
        <v>0</v>
      </c>
      <c r="W50" s="997"/>
      <c r="X50" s="2960">
        <f t="shared" si="24"/>
        <v>0</v>
      </c>
      <c r="Y50" s="2960">
        <f t="shared" si="25"/>
        <v>0</v>
      </c>
      <c r="Z50" s="997"/>
    </row>
    <row r="51" spans="1:26">
      <c r="A51" s="35"/>
      <c r="B51" s="20"/>
      <c r="C51" s="13">
        <f t="shared" si="14"/>
        <v>1</v>
      </c>
      <c r="D51" s="600"/>
      <c r="E51" s="13">
        <f t="shared" si="15"/>
        <v>0</v>
      </c>
      <c r="F51" s="600"/>
      <c r="G51" s="13">
        <f t="shared" si="16"/>
        <v>0</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60">
        <f t="shared" si="22"/>
        <v>0</v>
      </c>
      <c r="V51" s="2960">
        <f t="shared" si="23"/>
        <v>0</v>
      </c>
      <c r="W51" s="997"/>
      <c r="X51" s="2960">
        <f t="shared" si="24"/>
        <v>0</v>
      </c>
      <c r="Y51" s="2960">
        <f t="shared" si="25"/>
        <v>0</v>
      </c>
      <c r="Z51" s="997"/>
    </row>
    <row r="52" spans="1:26">
      <c r="A52" s="35"/>
      <c r="B52" s="20"/>
      <c r="C52" s="13">
        <f t="shared" si="14"/>
        <v>1</v>
      </c>
      <c r="D52" s="600"/>
      <c r="E52" s="13">
        <f t="shared" si="15"/>
        <v>0</v>
      </c>
      <c r="F52" s="600"/>
      <c r="G52" s="13">
        <f t="shared" si="16"/>
        <v>0</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60">
        <f t="shared" si="22"/>
        <v>0</v>
      </c>
      <c r="V52" s="2960">
        <f t="shared" si="23"/>
        <v>0</v>
      </c>
      <c r="W52" s="997"/>
      <c r="X52" s="2960">
        <f t="shared" si="24"/>
        <v>0</v>
      </c>
      <c r="Y52" s="2960">
        <f t="shared" si="25"/>
        <v>0</v>
      </c>
      <c r="Z52" s="997"/>
    </row>
    <row r="53" spans="1:26">
      <c r="A53" s="35"/>
      <c r="B53" s="20"/>
      <c r="C53" s="13">
        <f t="shared" si="14"/>
        <v>1</v>
      </c>
      <c r="D53" s="600"/>
      <c r="E53" s="13">
        <f t="shared" si="15"/>
        <v>0</v>
      </c>
      <c r="F53" s="600"/>
      <c r="G53" s="13">
        <f t="shared" si="16"/>
        <v>0</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60">
        <f t="shared" si="22"/>
        <v>0</v>
      </c>
      <c r="V53" s="2960">
        <f t="shared" si="23"/>
        <v>0</v>
      </c>
      <c r="W53" s="997"/>
      <c r="X53" s="2960">
        <f t="shared" si="24"/>
        <v>0</v>
      </c>
      <c r="Y53" s="2960">
        <f t="shared" si="25"/>
        <v>0</v>
      </c>
      <c r="Z53" s="997"/>
    </row>
    <row r="54" spans="1:26">
      <c r="A54" s="35"/>
      <c r="B54" s="20"/>
      <c r="C54" s="13">
        <f t="shared" si="14"/>
        <v>1</v>
      </c>
      <c r="D54" s="600"/>
      <c r="E54" s="13">
        <f t="shared" si="15"/>
        <v>0</v>
      </c>
      <c r="F54" s="600"/>
      <c r="G54" s="13">
        <f t="shared" si="16"/>
        <v>0</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60">
        <f t="shared" si="22"/>
        <v>0</v>
      </c>
      <c r="V54" s="2960">
        <f t="shared" si="23"/>
        <v>0</v>
      </c>
      <c r="W54" s="997"/>
      <c r="X54" s="2960">
        <f t="shared" si="24"/>
        <v>0</v>
      </c>
      <c r="Y54" s="2960">
        <f t="shared" si="25"/>
        <v>0</v>
      </c>
      <c r="Z54" s="997"/>
    </row>
    <row r="55" spans="1:26">
      <c r="A55" s="35"/>
      <c r="B55" s="20"/>
      <c r="C55" s="13">
        <f t="shared" si="14"/>
        <v>1</v>
      </c>
      <c r="D55" s="600"/>
      <c r="E55" s="13">
        <f t="shared" si="15"/>
        <v>0</v>
      </c>
      <c r="F55" s="600"/>
      <c r="G55" s="13">
        <f t="shared" si="16"/>
        <v>0</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60">
        <f t="shared" si="22"/>
        <v>0</v>
      </c>
      <c r="V55" s="2960">
        <f t="shared" si="23"/>
        <v>0</v>
      </c>
      <c r="W55" s="997"/>
      <c r="X55" s="2960">
        <f t="shared" si="24"/>
        <v>0</v>
      </c>
      <c r="Y55" s="2960">
        <f t="shared" si="25"/>
        <v>0</v>
      </c>
      <c r="Z55" s="997"/>
    </row>
    <row r="56" spans="1:26">
      <c r="A56" s="35"/>
      <c r="B56" s="20"/>
      <c r="C56" s="13">
        <f t="shared" si="14"/>
        <v>1</v>
      </c>
      <c r="D56" s="600"/>
      <c r="E56" s="13">
        <f t="shared" si="15"/>
        <v>0</v>
      </c>
      <c r="F56" s="600"/>
      <c r="G56" s="13">
        <f t="shared" si="16"/>
        <v>0</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60">
        <f t="shared" si="22"/>
        <v>0</v>
      </c>
      <c r="V56" s="2960">
        <f t="shared" si="23"/>
        <v>0</v>
      </c>
      <c r="W56" s="997"/>
      <c r="X56" s="2960">
        <f t="shared" si="24"/>
        <v>0</v>
      </c>
      <c r="Y56" s="2960">
        <f t="shared" si="25"/>
        <v>0</v>
      </c>
      <c r="Z56" s="997"/>
    </row>
    <row r="57" spans="1:26">
      <c r="A57" s="35"/>
      <c r="B57" s="20"/>
      <c r="C57" s="13">
        <f t="shared" si="14"/>
        <v>1</v>
      </c>
      <c r="D57" s="600"/>
      <c r="E57" s="13">
        <f t="shared" si="15"/>
        <v>0</v>
      </c>
      <c r="F57" s="600"/>
      <c r="G57" s="13">
        <f t="shared" si="16"/>
        <v>0</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60">
        <f t="shared" si="22"/>
        <v>0</v>
      </c>
      <c r="V57" s="2960">
        <f t="shared" si="23"/>
        <v>0</v>
      </c>
      <c r="W57" s="997"/>
      <c r="X57" s="2960">
        <f t="shared" si="24"/>
        <v>0</v>
      </c>
      <c r="Y57" s="2960">
        <f t="shared" si="25"/>
        <v>0</v>
      </c>
      <c r="Z57" s="997"/>
    </row>
    <row r="58" spans="1:26">
      <c r="A58" s="35"/>
      <c r="B58" s="20"/>
      <c r="C58" s="13">
        <f t="shared" si="14"/>
        <v>1</v>
      </c>
      <c r="D58" s="600"/>
      <c r="E58" s="13">
        <f t="shared" si="15"/>
        <v>0</v>
      </c>
      <c r="F58" s="600"/>
      <c r="G58" s="13">
        <f t="shared" si="16"/>
        <v>0</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60">
        <f t="shared" si="22"/>
        <v>0</v>
      </c>
      <c r="V58" s="2960">
        <f t="shared" si="23"/>
        <v>0</v>
      </c>
      <c r="W58" s="997"/>
      <c r="X58" s="2960">
        <f t="shared" si="24"/>
        <v>0</v>
      </c>
      <c r="Y58" s="2960">
        <f t="shared" si="25"/>
        <v>0</v>
      </c>
      <c r="Z58" s="997"/>
    </row>
    <row r="59" spans="1:26">
      <c r="A59" s="35"/>
      <c r="B59" s="20"/>
      <c r="C59" s="13">
        <f t="shared" si="14"/>
        <v>1</v>
      </c>
      <c r="D59" s="600"/>
      <c r="E59" s="13">
        <f t="shared" si="15"/>
        <v>0</v>
      </c>
      <c r="F59" s="600"/>
      <c r="G59" s="13">
        <f t="shared" si="16"/>
        <v>0</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60">
        <f t="shared" si="22"/>
        <v>0</v>
      </c>
      <c r="V59" s="2960">
        <f t="shared" si="23"/>
        <v>0</v>
      </c>
      <c r="W59" s="997"/>
      <c r="X59" s="2960">
        <f t="shared" si="24"/>
        <v>0</v>
      </c>
      <c r="Y59" s="2960">
        <f t="shared" si="25"/>
        <v>0</v>
      </c>
      <c r="Z59" s="997"/>
    </row>
    <row r="60" spans="1:26">
      <c r="A60" s="35"/>
      <c r="B60" s="20"/>
      <c r="C60" s="13">
        <f t="shared" si="14"/>
        <v>1</v>
      </c>
      <c r="D60" s="600"/>
      <c r="E60" s="13">
        <f t="shared" si="15"/>
        <v>0</v>
      </c>
      <c r="F60" s="600"/>
      <c r="G60" s="13">
        <f t="shared" si="16"/>
        <v>0</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60">
        <f t="shared" si="22"/>
        <v>0</v>
      </c>
      <c r="V60" s="2960">
        <f t="shared" si="23"/>
        <v>0</v>
      </c>
      <c r="W60" s="997"/>
      <c r="X60" s="2960">
        <f t="shared" si="24"/>
        <v>0</v>
      </c>
      <c r="Y60" s="2960">
        <f t="shared" si="25"/>
        <v>0</v>
      </c>
      <c r="Z60" s="997"/>
    </row>
    <row r="61" spans="1:26">
      <c r="A61" s="35"/>
      <c r="B61" s="20"/>
      <c r="C61" s="13">
        <f t="shared" si="14"/>
        <v>1</v>
      </c>
      <c r="D61" s="600"/>
      <c r="E61" s="13">
        <f t="shared" si="15"/>
        <v>0</v>
      </c>
      <c r="F61" s="600"/>
      <c r="G61" s="13">
        <f t="shared" si="16"/>
        <v>0</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60">
        <f t="shared" si="22"/>
        <v>0</v>
      </c>
      <c r="V61" s="2960">
        <f t="shared" si="23"/>
        <v>0</v>
      </c>
      <c r="W61" s="997"/>
      <c r="X61" s="2960">
        <f t="shared" si="24"/>
        <v>0</v>
      </c>
      <c r="Y61" s="2960">
        <f t="shared" si="25"/>
        <v>0</v>
      </c>
      <c r="Z61" s="997"/>
    </row>
    <row r="62" spans="1:26">
      <c r="A62" s="35"/>
      <c r="B62" s="20"/>
      <c r="C62" s="13">
        <f t="shared" si="14"/>
        <v>1</v>
      </c>
      <c r="D62" s="600"/>
      <c r="E62" s="13">
        <f t="shared" si="15"/>
        <v>0</v>
      </c>
      <c r="F62" s="600"/>
      <c r="G62" s="13">
        <f t="shared" si="16"/>
        <v>0</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60">
        <f t="shared" si="22"/>
        <v>0</v>
      </c>
      <c r="V62" s="2960">
        <f t="shared" si="23"/>
        <v>0</v>
      </c>
      <c r="W62" s="997"/>
      <c r="X62" s="2960">
        <f t="shared" si="24"/>
        <v>0</v>
      </c>
      <c r="Y62" s="2960">
        <f t="shared" si="25"/>
        <v>0</v>
      </c>
      <c r="Z62" s="997"/>
    </row>
    <row r="63" spans="1:26">
      <c r="A63" s="35"/>
      <c r="B63" s="20"/>
      <c r="C63" s="13">
        <f t="shared" si="14"/>
        <v>1</v>
      </c>
      <c r="D63" s="600"/>
      <c r="E63" s="13">
        <f t="shared" si="15"/>
        <v>0</v>
      </c>
      <c r="F63" s="600"/>
      <c r="G63" s="13">
        <f t="shared" si="16"/>
        <v>0</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60">
        <f t="shared" si="22"/>
        <v>0</v>
      </c>
      <c r="V63" s="2960">
        <f t="shared" si="23"/>
        <v>0</v>
      </c>
      <c r="W63" s="997"/>
      <c r="X63" s="2960">
        <f t="shared" si="24"/>
        <v>0</v>
      </c>
      <c r="Y63" s="2960">
        <f t="shared" si="25"/>
        <v>0</v>
      </c>
      <c r="Z63" s="997"/>
    </row>
    <row r="64" spans="1:26">
      <c r="A64" s="35"/>
      <c r="B64" s="20"/>
      <c r="C64" s="13">
        <f t="shared" si="14"/>
        <v>1</v>
      </c>
      <c r="D64" s="600"/>
      <c r="E64" s="13">
        <f t="shared" si="15"/>
        <v>0</v>
      </c>
      <c r="F64" s="600"/>
      <c r="G64" s="13">
        <f t="shared" si="16"/>
        <v>0</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60">
        <f t="shared" si="22"/>
        <v>0</v>
      </c>
      <c r="V64" s="2960">
        <f t="shared" si="23"/>
        <v>0</v>
      </c>
      <c r="W64" s="997"/>
      <c r="X64" s="2960">
        <f t="shared" si="24"/>
        <v>0</v>
      </c>
      <c r="Y64" s="2960">
        <f t="shared" si="25"/>
        <v>0</v>
      </c>
      <c r="Z64" s="997"/>
    </row>
    <row r="65" spans="1:26">
      <c r="A65" s="35"/>
      <c r="B65" s="20"/>
      <c r="C65" s="13">
        <f t="shared" si="14"/>
        <v>1</v>
      </c>
      <c r="D65" s="600"/>
      <c r="E65" s="13">
        <f t="shared" si="15"/>
        <v>0</v>
      </c>
      <c r="F65" s="600"/>
      <c r="G65" s="13">
        <f t="shared" si="16"/>
        <v>0</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60">
        <f t="shared" si="22"/>
        <v>0</v>
      </c>
      <c r="V65" s="2960">
        <f t="shared" si="23"/>
        <v>0</v>
      </c>
      <c r="W65" s="997"/>
      <c r="X65" s="2960">
        <f t="shared" si="24"/>
        <v>0</v>
      </c>
      <c r="Y65" s="2960">
        <f t="shared" si="25"/>
        <v>0</v>
      </c>
      <c r="Z65" s="997"/>
    </row>
    <row r="66" spans="1:26">
      <c r="A66" s="35"/>
      <c r="B66" s="20"/>
      <c r="C66" s="13">
        <f t="shared" si="14"/>
        <v>1</v>
      </c>
      <c r="D66" s="600"/>
      <c r="E66" s="13">
        <f t="shared" si="15"/>
        <v>0</v>
      </c>
      <c r="F66" s="600"/>
      <c r="G66" s="13">
        <f t="shared" si="16"/>
        <v>0</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60">
        <f t="shared" si="22"/>
        <v>0</v>
      </c>
      <c r="V66" s="2960">
        <f t="shared" si="23"/>
        <v>0</v>
      </c>
      <c r="W66" s="997"/>
      <c r="X66" s="2960">
        <f t="shared" si="24"/>
        <v>0</v>
      </c>
      <c r="Y66" s="2960">
        <f t="shared" si="25"/>
        <v>0</v>
      </c>
      <c r="Z66" s="997"/>
    </row>
    <row r="67" spans="1:26">
      <c r="A67" s="35"/>
      <c r="B67" s="20"/>
      <c r="C67" s="13">
        <f t="shared" si="14"/>
        <v>1</v>
      </c>
      <c r="D67" s="600"/>
      <c r="E67" s="13">
        <f t="shared" si="15"/>
        <v>0</v>
      </c>
      <c r="F67" s="600"/>
      <c r="G67" s="13">
        <f t="shared" si="16"/>
        <v>0</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60">
        <f t="shared" si="22"/>
        <v>0</v>
      </c>
      <c r="V67" s="2960">
        <f t="shared" si="23"/>
        <v>0</v>
      </c>
      <c r="W67" s="997"/>
      <c r="X67" s="2960">
        <f t="shared" si="24"/>
        <v>0</v>
      </c>
      <c r="Y67" s="2960">
        <f t="shared" si="25"/>
        <v>0</v>
      </c>
      <c r="Z67" s="997"/>
    </row>
    <row r="68" spans="1:26">
      <c r="A68" s="35"/>
      <c r="B68" s="20"/>
      <c r="C68" s="13">
        <f t="shared" si="14"/>
        <v>1</v>
      </c>
      <c r="D68" s="600"/>
      <c r="E68" s="13">
        <f t="shared" si="15"/>
        <v>0</v>
      </c>
      <c r="F68" s="600"/>
      <c r="G68" s="13">
        <f t="shared" si="16"/>
        <v>0</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60">
        <f t="shared" si="22"/>
        <v>0</v>
      </c>
      <c r="V68" s="2960">
        <f t="shared" si="23"/>
        <v>0</v>
      </c>
      <c r="W68" s="997"/>
      <c r="X68" s="2960">
        <f t="shared" si="24"/>
        <v>0</v>
      </c>
      <c r="Y68" s="2960">
        <f t="shared" si="25"/>
        <v>0</v>
      </c>
      <c r="Z68" s="997"/>
    </row>
    <row r="69" spans="1:26">
      <c r="A69" s="35"/>
      <c r="B69" s="20"/>
      <c r="C69" s="13">
        <f t="shared" si="14"/>
        <v>1</v>
      </c>
      <c r="D69" s="600"/>
      <c r="E69" s="13">
        <f t="shared" si="15"/>
        <v>0</v>
      </c>
      <c r="F69" s="600"/>
      <c r="G69" s="13">
        <f t="shared" si="16"/>
        <v>0</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60">
        <f t="shared" si="22"/>
        <v>0</v>
      </c>
      <c r="V69" s="2960">
        <f t="shared" si="23"/>
        <v>0</v>
      </c>
      <c r="W69" s="997"/>
      <c r="X69" s="2960">
        <f t="shared" si="24"/>
        <v>0</v>
      </c>
      <c r="Y69" s="2960">
        <f t="shared" si="25"/>
        <v>0</v>
      </c>
      <c r="Z69" s="997"/>
    </row>
    <row r="70" spans="1:26">
      <c r="A70" s="35"/>
      <c r="B70" s="20"/>
      <c r="C70" s="13">
        <f t="shared" si="14"/>
        <v>1</v>
      </c>
      <c r="D70" s="600"/>
      <c r="E70" s="13">
        <f t="shared" si="15"/>
        <v>0</v>
      </c>
      <c r="F70" s="600"/>
      <c r="G70" s="13">
        <f t="shared" si="16"/>
        <v>0</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60">
        <f t="shared" si="22"/>
        <v>0</v>
      </c>
      <c r="V70" s="2960">
        <f t="shared" si="23"/>
        <v>0</v>
      </c>
      <c r="W70" s="997"/>
      <c r="X70" s="2960">
        <f t="shared" si="24"/>
        <v>0</v>
      </c>
      <c r="Y70" s="2960">
        <f t="shared" si="25"/>
        <v>0</v>
      </c>
      <c r="Z70" s="997"/>
    </row>
    <row r="71" spans="1:26">
      <c r="A71" s="35"/>
      <c r="B71" s="20"/>
      <c r="C71" s="13">
        <f t="shared" si="14"/>
        <v>1</v>
      </c>
      <c r="D71" s="600"/>
      <c r="E71" s="13">
        <f t="shared" si="15"/>
        <v>0</v>
      </c>
      <c r="F71" s="600"/>
      <c r="G71" s="13">
        <f t="shared" si="16"/>
        <v>0</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60">
        <f t="shared" si="22"/>
        <v>0</v>
      </c>
      <c r="V71" s="2960">
        <f t="shared" si="23"/>
        <v>0</v>
      </c>
      <c r="W71" s="997"/>
      <c r="X71" s="2960">
        <f t="shared" si="24"/>
        <v>0</v>
      </c>
      <c r="Y71" s="2960">
        <f t="shared" si="25"/>
        <v>0</v>
      </c>
      <c r="Z71" s="997"/>
    </row>
    <row r="72" spans="1:26">
      <c r="A72" s="35"/>
      <c r="B72" s="20"/>
      <c r="C72" s="13">
        <f t="shared" si="14"/>
        <v>1</v>
      </c>
      <c r="D72" s="600"/>
      <c r="E72" s="13">
        <f t="shared" si="15"/>
        <v>0</v>
      </c>
      <c r="F72" s="600"/>
      <c r="G72" s="13">
        <f t="shared" si="16"/>
        <v>0</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60">
        <f t="shared" si="22"/>
        <v>0</v>
      </c>
      <c r="V72" s="2960">
        <f t="shared" si="23"/>
        <v>0</v>
      </c>
      <c r="W72" s="997"/>
      <c r="X72" s="2960">
        <f t="shared" si="24"/>
        <v>0</v>
      </c>
      <c r="Y72" s="2960">
        <f t="shared" si="25"/>
        <v>0</v>
      </c>
      <c r="Z72" s="997"/>
    </row>
    <row r="73" spans="1:26">
      <c r="A73" s="35"/>
      <c r="B73" s="20"/>
      <c r="C73" s="13">
        <f t="shared" si="14"/>
        <v>1</v>
      </c>
      <c r="D73" s="600"/>
      <c r="E73" s="13">
        <f t="shared" si="15"/>
        <v>0</v>
      </c>
      <c r="F73" s="600"/>
      <c r="G73" s="13">
        <f t="shared" si="16"/>
        <v>0</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60">
        <f t="shared" si="22"/>
        <v>0</v>
      </c>
      <c r="V73" s="2960">
        <f t="shared" si="23"/>
        <v>0</v>
      </c>
      <c r="W73" s="997"/>
      <c r="X73" s="2960">
        <f t="shared" si="24"/>
        <v>0</v>
      </c>
      <c r="Y73" s="2960">
        <f t="shared" si="25"/>
        <v>0</v>
      </c>
      <c r="Z73" s="997"/>
    </row>
    <row r="74" spans="1:26">
      <c r="A74" s="35"/>
      <c r="B74" s="20"/>
      <c r="C74" s="13">
        <f t="shared" si="14"/>
        <v>1</v>
      </c>
      <c r="D74" s="600"/>
      <c r="E74" s="13">
        <f t="shared" si="15"/>
        <v>0</v>
      </c>
      <c r="F74" s="600"/>
      <c r="G74" s="13">
        <f t="shared" si="16"/>
        <v>0</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60">
        <f t="shared" si="22"/>
        <v>0</v>
      </c>
      <c r="V74" s="2960">
        <f t="shared" si="23"/>
        <v>0</v>
      </c>
      <c r="W74" s="997"/>
      <c r="X74" s="2960">
        <f t="shared" si="24"/>
        <v>0</v>
      </c>
      <c r="Y74" s="2960">
        <f t="shared" si="25"/>
        <v>0</v>
      </c>
      <c r="Z74" s="997"/>
    </row>
    <row r="75" spans="1:26">
      <c r="A75" s="35"/>
      <c r="B75" s="20"/>
      <c r="C75" s="13">
        <f t="shared" si="14"/>
        <v>1</v>
      </c>
      <c r="D75" s="600"/>
      <c r="E75" s="13">
        <f t="shared" si="15"/>
        <v>0</v>
      </c>
      <c r="F75" s="600"/>
      <c r="G75" s="13">
        <f t="shared" si="16"/>
        <v>0</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60">
        <f t="shared" si="22"/>
        <v>0</v>
      </c>
      <c r="V75" s="2960">
        <f t="shared" si="23"/>
        <v>0</v>
      </c>
      <c r="W75" s="997"/>
      <c r="X75" s="2960">
        <f t="shared" si="24"/>
        <v>0</v>
      </c>
      <c r="Y75" s="2960">
        <f t="shared" si="25"/>
        <v>0</v>
      </c>
      <c r="Z75" s="997"/>
    </row>
    <row r="76" spans="1:26">
      <c r="A76" s="35"/>
      <c r="B76" s="20"/>
      <c r="C76" s="13">
        <f t="shared" si="14"/>
        <v>1</v>
      </c>
      <c r="D76" s="600"/>
      <c r="E76" s="13">
        <f t="shared" si="15"/>
        <v>0</v>
      </c>
      <c r="F76" s="600"/>
      <c r="G76" s="13">
        <f t="shared" si="16"/>
        <v>0</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60">
        <f t="shared" si="22"/>
        <v>0</v>
      </c>
      <c r="V76" s="2960">
        <f t="shared" si="23"/>
        <v>0</v>
      </c>
      <c r="W76" s="997"/>
      <c r="X76" s="2960">
        <f t="shared" si="24"/>
        <v>0</v>
      </c>
      <c r="Y76" s="2960">
        <f t="shared" si="25"/>
        <v>0</v>
      </c>
      <c r="Z76" s="997"/>
    </row>
    <row r="77" spans="1:26">
      <c r="A77" s="35"/>
      <c r="B77" s="20"/>
      <c r="C77" s="13">
        <f t="shared" si="14"/>
        <v>1</v>
      </c>
      <c r="D77" s="600"/>
      <c r="E77" s="13">
        <f t="shared" si="15"/>
        <v>0</v>
      </c>
      <c r="F77" s="600"/>
      <c r="G77" s="13">
        <f t="shared" si="16"/>
        <v>0</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60">
        <f t="shared" si="22"/>
        <v>0</v>
      </c>
      <c r="V77" s="2960">
        <f t="shared" si="23"/>
        <v>0</v>
      </c>
      <c r="W77" s="997"/>
      <c r="X77" s="2960">
        <f t="shared" si="24"/>
        <v>0</v>
      </c>
      <c r="Y77" s="2960">
        <f t="shared" si="25"/>
        <v>0</v>
      </c>
      <c r="Z77" s="997"/>
    </row>
    <row r="78" spans="1:26">
      <c r="A78" s="35"/>
      <c r="B78" s="20"/>
      <c r="C78" s="13">
        <f t="shared" si="14"/>
        <v>1</v>
      </c>
      <c r="D78" s="600"/>
      <c r="E78" s="13">
        <f t="shared" si="15"/>
        <v>0</v>
      </c>
      <c r="F78" s="600"/>
      <c r="G78" s="13">
        <f t="shared" si="16"/>
        <v>0</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60">
        <f t="shared" si="22"/>
        <v>0</v>
      </c>
      <c r="V78" s="2960">
        <f t="shared" si="23"/>
        <v>0</v>
      </c>
      <c r="W78" s="997"/>
      <c r="X78" s="2960">
        <f t="shared" si="24"/>
        <v>0</v>
      </c>
      <c r="Y78" s="2960">
        <f t="shared" si="25"/>
        <v>0</v>
      </c>
      <c r="Z78" s="997"/>
    </row>
    <row r="79" spans="1:26">
      <c r="A79" s="35"/>
      <c r="B79" s="20"/>
      <c r="C79" s="13">
        <f t="shared" si="14"/>
        <v>1</v>
      </c>
      <c r="D79" s="600"/>
      <c r="E79" s="13">
        <f t="shared" si="15"/>
        <v>0</v>
      </c>
      <c r="F79" s="600"/>
      <c r="G79" s="13">
        <f t="shared" si="16"/>
        <v>0</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60">
        <f t="shared" si="22"/>
        <v>0</v>
      </c>
      <c r="V79" s="2960">
        <f t="shared" si="23"/>
        <v>0</v>
      </c>
      <c r="W79" s="997"/>
      <c r="X79" s="2960">
        <f t="shared" si="24"/>
        <v>0</v>
      </c>
      <c r="Y79" s="2960">
        <f t="shared" si="25"/>
        <v>0</v>
      </c>
      <c r="Z79" s="997"/>
    </row>
    <row r="80" spans="1:26">
      <c r="A80" s="35"/>
      <c r="B80" s="20"/>
      <c r="C80" s="13">
        <f t="shared" si="14"/>
        <v>1</v>
      </c>
      <c r="D80" s="600"/>
      <c r="E80" s="13">
        <f t="shared" si="15"/>
        <v>0</v>
      </c>
      <c r="F80" s="600"/>
      <c r="G80" s="13">
        <f t="shared" si="16"/>
        <v>0</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60">
        <f t="shared" si="22"/>
        <v>0</v>
      </c>
      <c r="V80" s="2960">
        <f t="shared" si="23"/>
        <v>0</v>
      </c>
      <c r="W80" s="997"/>
      <c r="X80" s="2960">
        <f t="shared" si="24"/>
        <v>0</v>
      </c>
      <c r="Y80" s="2960">
        <f t="shared" si="25"/>
        <v>0</v>
      </c>
      <c r="Z80" s="997"/>
    </row>
    <row r="81" spans="1:26">
      <c r="A81" s="35"/>
      <c r="B81" s="20"/>
      <c r="C81" s="13">
        <f t="shared" si="14"/>
        <v>1</v>
      </c>
      <c r="D81" s="600"/>
      <c r="E81" s="13">
        <f t="shared" si="15"/>
        <v>0</v>
      </c>
      <c r="F81" s="600"/>
      <c r="G81" s="13">
        <f t="shared" si="16"/>
        <v>0</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60">
        <f t="shared" si="22"/>
        <v>0</v>
      </c>
      <c r="V81" s="2960">
        <f t="shared" si="23"/>
        <v>0</v>
      </c>
      <c r="W81" s="997"/>
      <c r="X81" s="2960">
        <f t="shared" si="24"/>
        <v>0</v>
      </c>
      <c r="Y81" s="2960">
        <f t="shared" si="25"/>
        <v>0</v>
      </c>
      <c r="Z81" s="997"/>
    </row>
    <row r="82" spans="1:26">
      <c r="A82" s="35"/>
      <c r="B82" s="20"/>
      <c r="C82" s="13">
        <f t="shared" si="14"/>
        <v>1</v>
      </c>
      <c r="D82" s="600"/>
      <c r="E82" s="13">
        <f t="shared" si="15"/>
        <v>0</v>
      </c>
      <c r="F82" s="600"/>
      <c r="G82" s="13">
        <f t="shared" si="16"/>
        <v>0</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60">
        <f t="shared" si="22"/>
        <v>0</v>
      </c>
      <c r="V82" s="2960">
        <f t="shared" si="23"/>
        <v>0</v>
      </c>
      <c r="W82" s="997"/>
      <c r="X82" s="2960">
        <f t="shared" si="24"/>
        <v>0</v>
      </c>
      <c r="Y82" s="2960">
        <f t="shared" si="25"/>
        <v>0</v>
      </c>
      <c r="Z82" s="997"/>
    </row>
    <row r="83" spans="1:26">
      <c r="A83" s="35"/>
      <c r="B83" s="20"/>
      <c r="C83" s="13">
        <f t="shared" si="14"/>
        <v>1</v>
      </c>
      <c r="D83" s="600"/>
      <c r="E83" s="13">
        <f t="shared" si="15"/>
        <v>0</v>
      </c>
      <c r="F83" s="600"/>
      <c r="G83" s="13">
        <f t="shared" si="16"/>
        <v>0</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60">
        <f t="shared" si="22"/>
        <v>0</v>
      </c>
      <c r="V83" s="2960">
        <f t="shared" si="23"/>
        <v>0</v>
      </c>
      <c r="W83" s="997"/>
      <c r="X83" s="2960">
        <f t="shared" si="24"/>
        <v>0</v>
      </c>
      <c r="Y83" s="2960">
        <f t="shared" si="25"/>
        <v>0</v>
      </c>
      <c r="Z83" s="997"/>
    </row>
    <row r="84" spans="1:26">
      <c r="A84" s="35"/>
      <c r="B84" s="20"/>
      <c r="C84" s="13">
        <f t="shared" si="14"/>
        <v>1</v>
      </c>
      <c r="D84" s="600"/>
      <c r="E84" s="13">
        <f t="shared" si="15"/>
        <v>0</v>
      </c>
      <c r="F84" s="600"/>
      <c r="G84" s="13">
        <f t="shared" si="16"/>
        <v>0</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60">
        <f t="shared" si="22"/>
        <v>0</v>
      </c>
      <c r="V84" s="2960">
        <f t="shared" si="23"/>
        <v>0</v>
      </c>
      <c r="W84" s="997"/>
      <c r="X84" s="2960">
        <f t="shared" si="24"/>
        <v>0</v>
      </c>
      <c r="Y84" s="2960">
        <f t="shared" si="25"/>
        <v>0</v>
      </c>
      <c r="Z84" s="997"/>
    </row>
    <row r="85" spans="1:26">
      <c r="A85" s="35"/>
      <c r="B85" s="20"/>
      <c r="C85" s="13">
        <f t="shared" si="14"/>
        <v>1</v>
      </c>
      <c r="D85" s="600"/>
      <c r="E85" s="13">
        <f t="shared" si="15"/>
        <v>0</v>
      </c>
      <c r="F85" s="600"/>
      <c r="G85" s="13">
        <f t="shared" si="16"/>
        <v>0</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60">
        <f t="shared" si="22"/>
        <v>0</v>
      </c>
      <c r="V85" s="2960">
        <f t="shared" si="23"/>
        <v>0</v>
      </c>
      <c r="W85" s="997"/>
      <c r="X85" s="2960">
        <f t="shared" si="24"/>
        <v>0</v>
      </c>
      <c r="Y85" s="2960">
        <f t="shared" si="25"/>
        <v>0</v>
      </c>
      <c r="Z85" s="997"/>
    </row>
    <row r="86" spans="1:26">
      <c r="A86" s="35"/>
      <c r="B86" s="20"/>
      <c r="C86" s="13">
        <f t="shared" si="14"/>
        <v>1</v>
      </c>
      <c r="D86" s="600"/>
      <c r="E86" s="13">
        <f t="shared" si="15"/>
        <v>0</v>
      </c>
      <c r="F86" s="600"/>
      <c r="G86" s="13">
        <f t="shared" si="16"/>
        <v>0</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60">
        <f t="shared" si="22"/>
        <v>0</v>
      </c>
      <c r="V86" s="2960">
        <f t="shared" si="23"/>
        <v>0</v>
      </c>
      <c r="W86" s="997"/>
      <c r="X86" s="2960">
        <f t="shared" si="24"/>
        <v>0</v>
      </c>
      <c r="Y86" s="2960">
        <f t="shared" si="25"/>
        <v>0</v>
      </c>
      <c r="Z86" s="997"/>
    </row>
    <row r="87" spans="1:26">
      <c r="A87" s="35"/>
      <c r="B87" s="20"/>
      <c r="C87" s="13">
        <f t="shared" si="14"/>
        <v>1</v>
      </c>
      <c r="D87" s="600"/>
      <c r="E87" s="13">
        <f t="shared" si="15"/>
        <v>0</v>
      </c>
      <c r="F87" s="600"/>
      <c r="G87" s="13">
        <f t="shared" si="16"/>
        <v>0</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60">
        <f t="shared" si="22"/>
        <v>0</v>
      </c>
      <c r="V87" s="2960">
        <f t="shared" si="23"/>
        <v>0</v>
      </c>
      <c r="W87" s="997"/>
      <c r="X87" s="2960">
        <f t="shared" si="24"/>
        <v>0</v>
      </c>
      <c r="Y87" s="2960">
        <f t="shared" si="25"/>
        <v>0</v>
      </c>
      <c r="Z87" s="997"/>
    </row>
    <row r="88" spans="1:26">
      <c r="A88" s="35"/>
      <c r="B88" s="20"/>
      <c r="C88" s="13">
        <f t="shared" si="14"/>
        <v>1</v>
      </c>
      <c r="D88" s="600"/>
      <c r="E88" s="13">
        <f t="shared" si="15"/>
        <v>0</v>
      </c>
      <c r="F88" s="600"/>
      <c r="G88" s="13">
        <f t="shared" si="16"/>
        <v>0</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60">
        <f t="shared" si="22"/>
        <v>0</v>
      </c>
      <c r="V88" s="2960">
        <f t="shared" si="23"/>
        <v>0</v>
      </c>
      <c r="W88" s="997"/>
      <c r="X88" s="2960">
        <f t="shared" si="24"/>
        <v>0</v>
      </c>
      <c r="Y88" s="2960">
        <f t="shared" si="25"/>
        <v>0</v>
      </c>
      <c r="Z88" s="997"/>
    </row>
    <row r="89" spans="1:26">
      <c r="A89" s="35"/>
      <c r="B89" s="20"/>
      <c r="C89" s="13">
        <f t="shared" si="14"/>
        <v>1</v>
      </c>
      <c r="D89" s="600"/>
      <c r="E89" s="13">
        <f t="shared" si="15"/>
        <v>0</v>
      </c>
      <c r="F89" s="600"/>
      <c r="G89" s="13">
        <f t="shared" si="16"/>
        <v>0</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60">
        <f t="shared" si="22"/>
        <v>0</v>
      </c>
      <c r="V89" s="2960">
        <f t="shared" si="23"/>
        <v>0</v>
      </c>
      <c r="W89" s="997"/>
      <c r="X89" s="2960">
        <f t="shared" si="24"/>
        <v>0</v>
      </c>
      <c r="Y89" s="2960">
        <f t="shared" si="25"/>
        <v>0</v>
      </c>
      <c r="Z89" s="997"/>
    </row>
    <row r="90" spans="1:26">
      <c r="A90" s="35"/>
      <c r="B90" s="20"/>
      <c r="C90" s="13">
        <f t="shared" si="14"/>
        <v>1</v>
      </c>
      <c r="D90" s="600"/>
      <c r="E90" s="13">
        <f t="shared" si="15"/>
        <v>0</v>
      </c>
      <c r="F90" s="600"/>
      <c r="G90" s="13">
        <f t="shared" si="16"/>
        <v>0</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60">
        <f t="shared" si="22"/>
        <v>0</v>
      </c>
      <c r="V90" s="2960">
        <f t="shared" si="23"/>
        <v>0</v>
      </c>
      <c r="W90" s="997"/>
      <c r="X90" s="2960">
        <f t="shared" si="24"/>
        <v>0</v>
      </c>
      <c r="Y90" s="2960">
        <f t="shared" si="25"/>
        <v>0</v>
      </c>
      <c r="Z90" s="997"/>
    </row>
    <row r="91" spans="1:26">
      <c r="A91" s="35"/>
      <c r="B91" s="20"/>
      <c r="C91" s="13">
        <f t="shared" si="14"/>
        <v>1</v>
      </c>
      <c r="D91" s="600"/>
      <c r="E91" s="13">
        <f t="shared" si="15"/>
        <v>0</v>
      </c>
      <c r="F91" s="600"/>
      <c r="G91" s="13">
        <f t="shared" si="16"/>
        <v>0</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60">
        <f t="shared" si="22"/>
        <v>0</v>
      </c>
      <c r="V91" s="2960">
        <f t="shared" si="23"/>
        <v>0</v>
      </c>
      <c r="W91" s="997"/>
      <c r="X91" s="2960">
        <f t="shared" si="24"/>
        <v>0</v>
      </c>
      <c r="Y91" s="2960">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60">
        <f t="shared" ref="U92:U155" si="37">ROUND(W92*B92,0)</f>
        <v>0</v>
      </c>
      <c r="V92" s="2960">
        <f t="shared" ref="V92:V155" si="38">ROUND(W92*B92/10000,0)</f>
        <v>0</v>
      </c>
      <c r="W92" s="997"/>
      <c r="X92" s="2960">
        <f t="shared" ref="X92:X155" si="39">ROUND(Z92*B92,0)</f>
        <v>0</v>
      </c>
      <c r="Y92" s="2960">
        <f t="shared" ref="Y92:Y155" si="40">ROUND(Z92*B92/10000,0)</f>
        <v>0</v>
      </c>
      <c r="Z92" s="997"/>
    </row>
    <row r="93" spans="1:26">
      <c r="A93" s="35"/>
      <c r="B93" s="20"/>
      <c r="C93" s="13">
        <f t="shared" si="29"/>
        <v>1</v>
      </c>
      <c r="D93" s="600"/>
      <c r="E93" s="13">
        <f t="shared" si="30"/>
        <v>0</v>
      </c>
      <c r="F93" s="600"/>
      <c r="G93" s="13">
        <f t="shared" si="31"/>
        <v>0</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60">
        <f t="shared" si="37"/>
        <v>0</v>
      </c>
      <c r="V93" s="2960">
        <f t="shared" si="38"/>
        <v>0</v>
      </c>
      <c r="W93" s="997"/>
      <c r="X93" s="2960">
        <f t="shared" si="39"/>
        <v>0</v>
      </c>
      <c r="Y93" s="2960">
        <f t="shared" si="40"/>
        <v>0</v>
      </c>
      <c r="Z93" s="997"/>
    </row>
    <row r="94" spans="1:26">
      <c r="A94" s="35"/>
      <c r="B94" s="20"/>
      <c r="C94" s="13">
        <f t="shared" si="29"/>
        <v>1</v>
      </c>
      <c r="D94" s="600"/>
      <c r="E94" s="13">
        <f t="shared" si="30"/>
        <v>0</v>
      </c>
      <c r="F94" s="600"/>
      <c r="G94" s="13">
        <f t="shared" si="31"/>
        <v>0</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60">
        <f t="shared" si="37"/>
        <v>0</v>
      </c>
      <c r="V94" s="2960">
        <f t="shared" si="38"/>
        <v>0</v>
      </c>
      <c r="W94" s="997"/>
      <c r="X94" s="2960">
        <f t="shared" si="39"/>
        <v>0</v>
      </c>
      <c r="Y94" s="2960">
        <f t="shared" si="40"/>
        <v>0</v>
      </c>
      <c r="Z94" s="997"/>
    </row>
    <row r="95" spans="1:26">
      <c r="A95" s="35"/>
      <c r="B95" s="20"/>
      <c r="C95" s="13">
        <f t="shared" si="29"/>
        <v>1</v>
      </c>
      <c r="D95" s="600"/>
      <c r="E95" s="13">
        <f t="shared" si="30"/>
        <v>0</v>
      </c>
      <c r="F95" s="600"/>
      <c r="G95" s="13">
        <f t="shared" si="31"/>
        <v>0</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60">
        <f t="shared" si="37"/>
        <v>0</v>
      </c>
      <c r="V95" s="2960">
        <f t="shared" si="38"/>
        <v>0</v>
      </c>
      <c r="W95" s="997"/>
      <c r="X95" s="2960">
        <f t="shared" si="39"/>
        <v>0</v>
      </c>
      <c r="Y95" s="2960">
        <f t="shared" si="40"/>
        <v>0</v>
      </c>
      <c r="Z95" s="997"/>
    </row>
    <row r="96" spans="1:26">
      <c r="A96" s="35"/>
      <c r="B96" s="20"/>
      <c r="C96" s="13">
        <f t="shared" si="29"/>
        <v>1</v>
      </c>
      <c r="D96" s="600"/>
      <c r="E96" s="13">
        <f t="shared" si="30"/>
        <v>0</v>
      </c>
      <c r="F96" s="600"/>
      <c r="G96" s="13">
        <f t="shared" si="31"/>
        <v>0</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60">
        <f t="shared" si="37"/>
        <v>0</v>
      </c>
      <c r="V96" s="2960">
        <f t="shared" si="38"/>
        <v>0</v>
      </c>
      <c r="W96" s="997"/>
      <c r="X96" s="2960">
        <f t="shared" si="39"/>
        <v>0</v>
      </c>
      <c r="Y96" s="2960">
        <f t="shared" si="40"/>
        <v>0</v>
      </c>
      <c r="Z96" s="997"/>
    </row>
    <row r="97" spans="1:26">
      <c r="A97" s="35"/>
      <c r="B97" s="20"/>
      <c r="C97" s="13">
        <f t="shared" si="29"/>
        <v>1</v>
      </c>
      <c r="D97" s="600"/>
      <c r="E97" s="13">
        <f t="shared" si="30"/>
        <v>0</v>
      </c>
      <c r="F97" s="600"/>
      <c r="G97" s="13">
        <f t="shared" si="31"/>
        <v>0</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60">
        <f t="shared" si="37"/>
        <v>0</v>
      </c>
      <c r="V97" s="2960">
        <f t="shared" si="38"/>
        <v>0</v>
      </c>
      <c r="W97" s="997"/>
      <c r="X97" s="2960">
        <f t="shared" si="39"/>
        <v>0</v>
      </c>
      <c r="Y97" s="2960">
        <f t="shared" si="40"/>
        <v>0</v>
      </c>
      <c r="Z97" s="997"/>
    </row>
    <row r="98" spans="1:26">
      <c r="A98" s="35"/>
      <c r="B98" s="20"/>
      <c r="C98" s="13">
        <f t="shared" si="29"/>
        <v>1</v>
      </c>
      <c r="D98" s="600"/>
      <c r="E98" s="13">
        <f t="shared" si="30"/>
        <v>0</v>
      </c>
      <c r="F98" s="600"/>
      <c r="G98" s="13">
        <f t="shared" si="31"/>
        <v>0</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60">
        <f t="shared" si="37"/>
        <v>0</v>
      </c>
      <c r="V98" s="2960">
        <f t="shared" si="38"/>
        <v>0</v>
      </c>
      <c r="W98" s="997"/>
      <c r="X98" s="2960">
        <f t="shared" si="39"/>
        <v>0</v>
      </c>
      <c r="Y98" s="2960">
        <f t="shared" si="40"/>
        <v>0</v>
      </c>
      <c r="Z98" s="997"/>
    </row>
    <row r="99" spans="1:26">
      <c r="A99" s="35"/>
      <c r="B99" s="20"/>
      <c r="C99" s="13">
        <f t="shared" si="29"/>
        <v>1</v>
      </c>
      <c r="D99" s="600"/>
      <c r="E99" s="13">
        <f t="shared" si="30"/>
        <v>0</v>
      </c>
      <c r="F99" s="600"/>
      <c r="G99" s="13">
        <f t="shared" si="31"/>
        <v>0</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60">
        <f t="shared" si="37"/>
        <v>0</v>
      </c>
      <c r="V99" s="2960">
        <f t="shared" si="38"/>
        <v>0</v>
      </c>
      <c r="W99" s="997"/>
      <c r="X99" s="2960">
        <f t="shared" si="39"/>
        <v>0</v>
      </c>
      <c r="Y99" s="2960">
        <f t="shared" si="40"/>
        <v>0</v>
      </c>
      <c r="Z99" s="997"/>
    </row>
    <row r="100" spans="1:26">
      <c r="A100" s="35"/>
      <c r="B100" s="20"/>
      <c r="C100" s="13">
        <f t="shared" si="29"/>
        <v>1</v>
      </c>
      <c r="D100" s="600"/>
      <c r="E100" s="13">
        <f t="shared" si="30"/>
        <v>0</v>
      </c>
      <c r="F100" s="600"/>
      <c r="G100" s="13">
        <f t="shared" si="31"/>
        <v>0</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60">
        <f t="shared" si="37"/>
        <v>0</v>
      </c>
      <c r="V100" s="2960">
        <f t="shared" si="38"/>
        <v>0</v>
      </c>
      <c r="W100" s="997"/>
      <c r="X100" s="2960">
        <f t="shared" si="39"/>
        <v>0</v>
      </c>
      <c r="Y100" s="2960">
        <f t="shared" si="40"/>
        <v>0</v>
      </c>
      <c r="Z100" s="997"/>
    </row>
    <row r="101" spans="1:26">
      <c r="A101" s="35"/>
      <c r="B101" s="20"/>
      <c r="C101" s="13">
        <f t="shared" si="29"/>
        <v>1</v>
      </c>
      <c r="D101" s="600"/>
      <c r="E101" s="13">
        <f t="shared" si="30"/>
        <v>0</v>
      </c>
      <c r="F101" s="600"/>
      <c r="G101" s="13">
        <f t="shared" si="31"/>
        <v>0</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60">
        <f t="shared" si="37"/>
        <v>0</v>
      </c>
      <c r="V101" s="2960">
        <f t="shared" si="38"/>
        <v>0</v>
      </c>
      <c r="W101" s="997"/>
      <c r="X101" s="2960">
        <f t="shared" si="39"/>
        <v>0</v>
      </c>
      <c r="Y101" s="2960">
        <f t="shared" si="40"/>
        <v>0</v>
      </c>
      <c r="Z101" s="997"/>
    </row>
    <row r="102" spans="1:26">
      <c r="A102" s="35"/>
      <c r="B102" s="20"/>
      <c r="C102" s="13">
        <f t="shared" si="29"/>
        <v>1</v>
      </c>
      <c r="D102" s="600"/>
      <c r="E102" s="13">
        <f t="shared" si="30"/>
        <v>0</v>
      </c>
      <c r="F102" s="600"/>
      <c r="G102" s="13">
        <f t="shared" si="31"/>
        <v>0</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60">
        <f t="shared" si="37"/>
        <v>0</v>
      </c>
      <c r="V102" s="2960">
        <f t="shared" si="38"/>
        <v>0</v>
      </c>
      <c r="W102" s="997"/>
      <c r="X102" s="2960">
        <f t="shared" si="39"/>
        <v>0</v>
      </c>
      <c r="Y102" s="2960">
        <f t="shared" si="40"/>
        <v>0</v>
      </c>
      <c r="Z102" s="997"/>
    </row>
    <row r="103" spans="1:26">
      <c r="A103" s="35"/>
      <c r="B103" s="20"/>
      <c r="C103" s="13">
        <f t="shared" si="29"/>
        <v>1</v>
      </c>
      <c r="D103" s="600"/>
      <c r="E103" s="13">
        <f t="shared" si="30"/>
        <v>0</v>
      </c>
      <c r="F103" s="600"/>
      <c r="G103" s="13">
        <f t="shared" si="31"/>
        <v>0</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60">
        <f t="shared" si="37"/>
        <v>0</v>
      </c>
      <c r="V103" s="2960">
        <f t="shared" si="38"/>
        <v>0</v>
      </c>
      <c r="W103" s="997"/>
      <c r="X103" s="2960">
        <f t="shared" si="39"/>
        <v>0</v>
      </c>
      <c r="Y103" s="2960">
        <f t="shared" si="40"/>
        <v>0</v>
      </c>
      <c r="Z103" s="997"/>
    </row>
    <row r="104" spans="1:26">
      <c r="A104" s="35"/>
      <c r="B104" s="20"/>
      <c r="C104" s="13">
        <f t="shared" si="29"/>
        <v>1</v>
      </c>
      <c r="D104" s="600"/>
      <c r="E104" s="13">
        <f t="shared" si="30"/>
        <v>0</v>
      </c>
      <c r="F104" s="600"/>
      <c r="G104" s="13">
        <f t="shared" si="31"/>
        <v>0</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60">
        <f t="shared" si="37"/>
        <v>0</v>
      </c>
      <c r="V104" s="2960">
        <f t="shared" si="38"/>
        <v>0</v>
      </c>
      <c r="W104" s="997"/>
      <c r="X104" s="2960">
        <f t="shared" si="39"/>
        <v>0</v>
      </c>
      <c r="Y104" s="2960">
        <f t="shared" si="40"/>
        <v>0</v>
      </c>
      <c r="Z104" s="997"/>
    </row>
    <row r="105" spans="1:26">
      <c r="A105" s="35"/>
      <c r="B105" s="20"/>
      <c r="C105" s="13">
        <f t="shared" si="29"/>
        <v>1</v>
      </c>
      <c r="D105" s="600"/>
      <c r="E105" s="13">
        <f t="shared" si="30"/>
        <v>0</v>
      </c>
      <c r="F105" s="600"/>
      <c r="G105" s="13">
        <f t="shared" si="31"/>
        <v>0</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60">
        <f t="shared" si="37"/>
        <v>0</v>
      </c>
      <c r="V105" s="2960">
        <f t="shared" si="38"/>
        <v>0</v>
      </c>
      <c r="W105" s="997"/>
      <c r="X105" s="2960">
        <f t="shared" si="39"/>
        <v>0</v>
      </c>
      <c r="Y105" s="2960">
        <f t="shared" si="40"/>
        <v>0</v>
      </c>
      <c r="Z105" s="997"/>
    </row>
    <row r="106" spans="1:26">
      <c r="A106" s="35"/>
      <c r="B106" s="20"/>
      <c r="C106" s="13">
        <f t="shared" si="29"/>
        <v>1</v>
      </c>
      <c r="D106" s="600"/>
      <c r="E106" s="13">
        <f t="shared" si="30"/>
        <v>0</v>
      </c>
      <c r="F106" s="600"/>
      <c r="G106" s="13">
        <f t="shared" si="31"/>
        <v>0</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60">
        <f t="shared" si="37"/>
        <v>0</v>
      </c>
      <c r="V106" s="2960">
        <f t="shared" si="38"/>
        <v>0</v>
      </c>
      <c r="W106" s="997"/>
      <c r="X106" s="2960">
        <f t="shared" si="39"/>
        <v>0</v>
      </c>
      <c r="Y106" s="2960">
        <f t="shared" si="40"/>
        <v>0</v>
      </c>
      <c r="Z106" s="997"/>
    </row>
    <row r="107" spans="1:26">
      <c r="A107" s="35"/>
      <c r="B107" s="20"/>
      <c r="C107" s="13">
        <f t="shared" si="29"/>
        <v>1</v>
      </c>
      <c r="D107" s="600"/>
      <c r="E107" s="13">
        <f t="shared" si="30"/>
        <v>0</v>
      </c>
      <c r="F107" s="600"/>
      <c r="G107" s="13">
        <f t="shared" si="31"/>
        <v>0</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60">
        <f t="shared" si="37"/>
        <v>0</v>
      </c>
      <c r="V107" s="2960">
        <f t="shared" si="38"/>
        <v>0</v>
      </c>
      <c r="W107" s="997"/>
      <c r="X107" s="2960">
        <f t="shared" si="39"/>
        <v>0</v>
      </c>
      <c r="Y107" s="2960">
        <f t="shared" si="40"/>
        <v>0</v>
      </c>
      <c r="Z107" s="997"/>
    </row>
    <row r="108" spans="1:26">
      <c r="A108" s="35"/>
      <c r="B108" s="20"/>
      <c r="C108" s="13">
        <f t="shared" si="29"/>
        <v>1</v>
      </c>
      <c r="D108" s="600"/>
      <c r="E108" s="13">
        <f t="shared" si="30"/>
        <v>0</v>
      </c>
      <c r="F108" s="600"/>
      <c r="G108" s="13">
        <f t="shared" si="31"/>
        <v>0</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60">
        <f t="shared" si="37"/>
        <v>0</v>
      </c>
      <c r="V108" s="2960">
        <f t="shared" si="38"/>
        <v>0</v>
      </c>
      <c r="W108" s="997"/>
      <c r="X108" s="2960">
        <f t="shared" si="39"/>
        <v>0</v>
      </c>
      <c r="Y108" s="2960">
        <f t="shared" si="40"/>
        <v>0</v>
      </c>
      <c r="Z108" s="997"/>
    </row>
    <row r="109" spans="1:26">
      <c r="A109" s="35"/>
      <c r="B109" s="20"/>
      <c r="C109" s="13">
        <f t="shared" si="29"/>
        <v>1</v>
      </c>
      <c r="D109" s="600"/>
      <c r="E109" s="13">
        <f t="shared" si="30"/>
        <v>0</v>
      </c>
      <c r="F109" s="600"/>
      <c r="G109" s="13">
        <f t="shared" si="31"/>
        <v>0</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60">
        <f t="shared" si="37"/>
        <v>0</v>
      </c>
      <c r="V109" s="2960">
        <f t="shared" si="38"/>
        <v>0</v>
      </c>
      <c r="W109" s="997"/>
      <c r="X109" s="2960">
        <f t="shared" si="39"/>
        <v>0</v>
      </c>
      <c r="Y109" s="2960">
        <f t="shared" si="40"/>
        <v>0</v>
      </c>
      <c r="Z109" s="997"/>
    </row>
    <row r="110" spans="1:26">
      <c r="A110" s="35"/>
      <c r="B110" s="20"/>
      <c r="C110" s="13">
        <f t="shared" si="29"/>
        <v>1</v>
      </c>
      <c r="D110" s="600"/>
      <c r="E110" s="13">
        <f t="shared" si="30"/>
        <v>0</v>
      </c>
      <c r="F110" s="600"/>
      <c r="G110" s="13">
        <f t="shared" si="31"/>
        <v>0</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60">
        <f t="shared" si="37"/>
        <v>0</v>
      </c>
      <c r="V110" s="2960">
        <f t="shared" si="38"/>
        <v>0</v>
      </c>
      <c r="W110" s="997"/>
      <c r="X110" s="2960">
        <f t="shared" si="39"/>
        <v>0</v>
      </c>
      <c r="Y110" s="2960">
        <f t="shared" si="40"/>
        <v>0</v>
      </c>
      <c r="Z110" s="997"/>
    </row>
    <row r="111" spans="1:26">
      <c r="A111" s="35"/>
      <c r="B111" s="20"/>
      <c r="C111" s="13">
        <f t="shared" si="29"/>
        <v>1</v>
      </c>
      <c r="D111" s="600"/>
      <c r="E111" s="13">
        <f t="shared" si="30"/>
        <v>0</v>
      </c>
      <c r="F111" s="600"/>
      <c r="G111" s="13">
        <f t="shared" si="31"/>
        <v>0</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60">
        <f t="shared" si="37"/>
        <v>0</v>
      </c>
      <c r="V111" s="2960">
        <f t="shared" si="38"/>
        <v>0</v>
      </c>
      <c r="W111" s="997"/>
      <c r="X111" s="2960">
        <f t="shared" si="39"/>
        <v>0</v>
      </c>
      <c r="Y111" s="2960">
        <f t="shared" si="40"/>
        <v>0</v>
      </c>
      <c r="Z111" s="997"/>
    </row>
    <row r="112" spans="1:26">
      <c r="A112" s="35"/>
      <c r="B112" s="20"/>
      <c r="C112" s="13">
        <f t="shared" si="29"/>
        <v>1</v>
      </c>
      <c r="D112" s="600"/>
      <c r="E112" s="13">
        <f t="shared" si="30"/>
        <v>0</v>
      </c>
      <c r="F112" s="600"/>
      <c r="G112" s="13">
        <f t="shared" si="31"/>
        <v>0</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60">
        <f t="shared" si="37"/>
        <v>0</v>
      </c>
      <c r="V112" s="2960">
        <f t="shared" si="38"/>
        <v>0</v>
      </c>
      <c r="W112" s="997"/>
      <c r="X112" s="2960">
        <f t="shared" si="39"/>
        <v>0</v>
      </c>
      <c r="Y112" s="2960">
        <f t="shared" si="40"/>
        <v>0</v>
      </c>
      <c r="Z112" s="997"/>
    </row>
    <row r="113" spans="1:26">
      <c r="A113" s="35"/>
      <c r="B113" s="20"/>
      <c r="C113" s="13">
        <f t="shared" si="29"/>
        <v>1</v>
      </c>
      <c r="D113" s="600"/>
      <c r="E113" s="13">
        <f t="shared" si="30"/>
        <v>0</v>
      </c>
      <c r="F113" s="600"/>
      <c r="G113" s="13">
        <f t="shared" si="31"/>
        <v>0</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60">
        <f t="shared" si="37"/>
        <v>0</v>
      </c>
      <c r="V113" s="2960">
        <f t="shared" si="38"/>
        <v>0</v>
      </c>
      <c r="W113" s="997"/>
      <c r="X113" s="2960">
        <f t="shared" si="39"/>
        <v>0</v>
      </c>
      <c r="Y113" s="2960">
        <f t="shared" si="40"/>
        <v>0</v>
      </c>
      <c r="Z113" s="997"/>
    </row>
    <row r="114" spans="1:26">
      <c r="A114" s="35"/>
      <c r="B114" s="20"/>
      <c r="C114" s="13">
        <f t="shared" si="29"/>
        <v>1</v>
      </c>
      <c r="D114" s="600"/>
      <c r="E114" s="13">
        <f t="shared" si="30"/>
        <v>0</v>
      </c>
      <c r="F114" s="600"/>
      <c r="G114" s="13">
        <f t="shared" si="31"/>
        <v>0</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60">
        <f t="shared" si="37"/>
        <v>0</v>
      </c>
      <c r="V114" s="2960">
        <f t="shared" si="38"/>
        <v>0</v>
      </c>
      <c r="W114" s="997"/>
      <c r="X114" s="2960">
        <f t="shared" si="39"/>
        <v>0</v>
      </c>
      <c r="Y114" s="2960">
        <f t="shared" si="40"/>
        <v>0</v>
      </c>
      <c r="Z114" s="997"/>
    </row>
    <row r="115" spans="1:26">
      <c r="A115" s="35"/>
      <c r="B115" s="20"/>
      <c r="C115" s="13">
        <f t="shared" si="29"/>
        <v>1</v>
      </c>
      <c r="D115" s="600"/>
      <c r="E115" s="13">
        <f t="shared" si="30"/>
        <v>0</v>
      </c>
      <c r="F115" s="600"/>
      <c r="G115" s="13">
        <f t="shared" si="31"/>
        <v>0</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60">
        <f t="shared" si="37"/>
        <v>0</v>
      </c>
      <c r="V115" s="2960">
        <f t="shared" si="38"/>
        <v>0</v>
      </c>
      <c r="W115" s="997"/>
      <c r="X115" s="2960">
        <f t="shared" si="39"/>
        <v>0</v>
      </c>
      <c r="Y115" s="2960">
        <f t="shared" si="40"/>
        <v>0</v>
      </c>
      <c r="Z115" s="997"/>
    </row>
    <row r="116" spans="1:26">
      <c r="A116" s="35"/>
      <c r="B116" s="20"/>
      <c r="C116" s="13">
        <f t="shared" si="29"/>
        <v>1</v>
      </c>
      <c r="D116" s="600"/>
      <c r="E116" s="13">
        <f t="shared" si="30"/>
        <v>0</v>
      </c>
      <c r="F116" s="600"/>
      <c r="G116" s="13">
        <f t="shared" si="31"/>
        <v>0</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60">
        <f t="shared" si="37"/>
        <v>0</v>
      </c>
      <c r="V116" s="2960">
        <f t="shared" si="38"/>
        <v>0</v>
      </c>
      <c r="W116" s="997"/>
      <c r="X116" s="2960">
        <f t="shared" si="39"/>
        <v>0</v>
      </c>
      <c r="Y116" s="2960">
        <f t="shared" si="40"/>
        <v>0</v>
      </c>
      <c r="Z116" s="997"/>
    </row>
    <row r="117" spans="1:26">
      <c r="A117" s="35"/>
      <c r="B117" s="20"/>
      <c r="C117" s="13">
        <f t="shared" si="29"/>
        <v>1</v>
      </c>
      <c r="D117" s="600"/>
      <c r="E117" s="13">
        <f t="shared" si="30"/>
        <v>0</v>
      </c>
      <c r="F117" s="600"/>
      <c r="G117" s="13">
        <f t="shared" si="31"/>
        <v>0</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60">
        <f t="shared" si="37"/>
        <v>0</v>
      </c>
      <c r="V117" s="2960">
        <f t="shared" si="38"/>
        <v>0</v>
      </c>
      <c r="W117" s="997"/>
      <c r="X117" s="2960">
        <f t="shared" si="39"/>
        <v>0</v>
      </c>
      <c r="Y117" s="2960">
        <f t="shared" si="40"/>
        <v>0</v>
      </c>
      <c r="Z117" s="997"/>
    </row>
    <row r="118" spans="1:26">
      <c r="A118" s="35"/>
      <c r="B118" s="20"/>
      <c r="C118" s="13">
        <f t="shared" si="29"/>
        <v>1</v>
      </c>
      <c r="D118" s="600"/>
      <c r="E118" s="13">
        <f t="shared" si="30"/>
        <v>0</v>
      </c>
      <c r="F118" s="600"/>
      <c r="G118" s="13">
        <f t="shared" si="31"/>
        <v>0</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60">
        <f t="shared" si="37"/>
        <v>0</v>
      </c>
      <c r="V118" s="2960">
        <f t="shared" si="38"/>
        <v>0</v>
      </c>
      <c r="W118" s="997"/>
      <c r="X118" s="2960">
        <f t="shared" si="39"/>
        <v>0</v>
      </c>
      <c r="Y118" s="2960">
        <f t="shared" si="40"/>
        <v>0</v>
      </c>
      <c r="Z118" s="997"/>
    </row>
    <row r="119" spans="1:26">
      <c r="A119" s="35"/>
      <c r="B119" s="20"/>
      <c r="C119" s="13">
        <f t="shared" si="29"/>
        <v>1</v>
      </c>
      <c r="D119" s="600"/>
      <c r="E119" s="13">
        <f t="shared" si="30"/>
        <v>0</v>
      </c>
      <c r="F119" s="600"/>
      <c r="G119" s="13">
        <f t="shared" si="31"/>
        <v>0</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60">
        <f t="shared" si="37"/>
        <v>0</v>
      </c>
      <c r="V119" s="2960">
        <f t="shared" si="38"/>
        <v>0</v>
      </c>
      <c r="W119" s="997"/>
      <c r="X119" s="2960">
        <f t="shared" si="39"/>
        <v>0</v>
      </c>
      <c r="Y119" s="2960">
        <f t="shared" si="40"/>
        <v>0</v>
      </c>
      <c r="Z119" s="997"/>
    </row>
    <row r="120" spans="1:26">
      <c r="A120" s="35"/>
      <c r="B120" s="20"/>
      <c r="C120" s="13">
        <f t="shared" si="29"/>
        <v>1</v>
      </c>
      <c r="D120" s="600"/>
      <c r="E120" s="13">
        <f t="shared" si="30"/>
        <v>0</v>
      </c>
      <c r="F120" s="600"/>
      <c r="G120" s="13">
        <f t="shared" si="31"/>
        <v>0</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60">
        <f t="shared" si="37"/>
        <v>0</v>
      </c>
      <c r="V120" s="2960">
        <f t="shared" si="38"/>
        <v>0</v>
      </c>
      <c r="W120" s="997"/>
      <c r="X120" s="2960">
        <f t="shared" si="39"/>
        <v>0</v>
      </c>
      <c r="Y120" s="2960">
        <f t="shared" si="40"/>
        <v>0</v>
      </c>
      <c r="Z120" s="997"/>
    </row>
    <row r="121" spans="1:26">
      <c r="A121" s="35"/>
      <c r="B121" s="20"/>
      <c r="C121" s="13">
        <f t="shared" si="29"/>
        <v>1</v>
      </c>
      <c r="D121" s="600"/>
      <c r="E121" s="13">
        <f t="shared" si="30"/>
        <v>0</v>
      </c>
      <c r="F121" s="600"/>
      <c r="G121" s="13">
        <f t="shared" si="31"/>
        <v>0</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60">
        <f t="shared" si="37"/>
        <v>0</v>
      </c>
      <c r="V121" s="2960">
        <f t="shared" si="38"/>
        <v>0</v>
      </c>
      <c r="W121" s="997"/>
      <c r="X121" s="2960">
        <f t="shared" si="39"/>
        <v>0</v>
      </c>
      <c r="Y121" s="2960">
        <f t="shared" si="40"/>
        <v>0</v>
      </c>
      <c r="Z121" s="997"/>
    </row>
    <row r="122" spans="1:26">
      <c r="A122" s="35"/>
      <c r="B122" s="20"/>
      <c r="C122" s="13">
        <f t="shared" si="29"/>
        <v>1</v>
      </c>
      <c r="D122" s="600"/>
      <c r="E122" s="13">
        <f t="shared" si="30"/>
        <v>0</v>
      </c>
      <c r="F122" s="600"/>
      <c r="G122" s="13">
        <f t="shared" si="31"/>
        <v>0</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60">
        <f t="shared" si="37"/>
        <v>0</v>
      </c>
      <c r="V122" s="2960">
        <f t="shared" si="38"/>
        <v>0</v>
      </c>
      <c r="W122" s="997"/>
      <c r="X122" s="2960">
        <f t="shared" si="39"/>
        <v>0</v>
      </c>
      <c r="Y122" s="2960">
        <f t="shared" si="40"/>
        <v>0</v>
      </c>
      <c r="Z122" s="997"/>
    </row>
    <row r="123" spans="1:26">
      <c r="A123" s="35"/>
      <c r="B123" s="20"/>
      <c r="C123" s="13">
        <f t="shared" si="29"/>
        <v>1</v>
      </c>
      <c r="D123" s="600"/>
      <c r="E123" s="13">
        <f t="shared" si="30"/>
        <v>0</v>
      </c>
      <c r="F123" s="600"/>
      <c r="G123" s="13">
        <f t="shared" si="31"/>
        <v>0</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60">
        <f t="shared" si="37"/>
        <v>0</v>
      </c>
      <c r="V123" s="2960">
        <f t="shared" si="38"/>
        <v>0</v>
      </c>
      <c r="W123" s="997"/>
      <c r="X123" s="2960">
        <f t="shared" si="39"/>
        <v>0</v>
      </c>
      <c r="Y123" s="2960">
        <f t="shared" si="40"/>
        <v>0</v>
      </c>
      <c r="Z123" s="997"/>
    </row>
    <row r="124" spans="1:26">
      <c r="A124" s="35"/>
      <c r="B124" s="20"/>
      <c r="C124" s="13">
        <f t="shared" si="29"/>
        <v>1</v>
      </c>
      <c r="D124" s="600"/>
      <c r="E124" s="13">
        <f t="shared" si="30"/>
        <v>0</v>
      </c>
      <c r="F124" s="600"/>
      <c r="G124" s="13">
        <f t="shared" si="31"/>
        <v>0</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60">
        <f t="shared" si="37"/>
        <v>0</v>
      </c>
      <c r="V124" s="2960">
        <f t="shared" si="38"/>
        <v>0</v>
      </c>
      <c r="W124" s="997"/>
      <c r="X124" s="2960">
        <f t="shared" si="39"/>
        <v>0</v>
      </c>
      <c r="Y124" s="2960">
        <f t="shared" si="40"/>
        <v>0</v>
      </c>
      <c r="Z124" s="997"/>
    </row>
    <row r="125" spans="1:26">
      <c r="A125" s="35"/>
      <c r="B125" s="20"/>
      <c r="C125" s="13">
        <f t="shared" si="29"/>
        <v>1</v>
      </c>
      <c r="D125" s="600"/>
      <c r="E125" s="13">
        <f t="shared" si="30"/>
        <v>0</v>
      </c>
      <c r="F125" s="600"/>
      <c r="G125" s="13">
        <f t="shared" si="31"/>
        <v>0</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60">
        <f t="shared" si="37"/>
        <v>0</v>
      </c>
      <c r="V125" s="2960">
        <f t="shared" si="38"/>
        <v>0</v>
      </c>
      <c r="W125" s="997"/>
      <c r="X125" s="2960">
        <f t="shared" si="39"/>
        <v>0</v>
      </c>
      <c r="Y125" s="2960">
        <f t="shared" si="40"/>
        <v>0</v>
      </c>
      <c r="Z125" s="997"/>
    </row>
    <row r="126" spans="1:26">
      <c r="A126" s="35"/>
      <c r="B126" s="20"/>
      <c r="C126" s="13">
        <f t="shared" si="29"/>
        <v>1</v>
      </c>
      <c r="D126" s="600"/>
      <c r="E126" s="13">
        <f t="shared" si="30"/>
        <v>0</v>
      </c>
      <c r="F126" s="600"/>
      <c r="G126" s="13">
        <f t="shared" si="31"/>
        <v>0</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60">
        <f t="shared" si="37"/>
        <v>0</v>
      </c>
      <c r="V126" s="2960">
        <f t="shared" si="38"/>
        <v>0</v>
      </c>
      <c r="W126" s="997"/>
      <c r="X126" s="2960">
        <f t="shared" si="39"/>
        <v>0</v>
      </c>
      <c r="Y126" s="2960">
        <f t="shared" si="40"/>
        <v>0</v>
      </c>
      <c r="Z126" s="997"/>
    </row>
    <row r="127" spans="1:26">
      <c r="A127" s="35"/>
      <c r="B127" s="20"/>
      <c r="C127" s="13">
        <f t="shared" si="29"/>
        <v>1</v>
      </c>
      <c r="D127" s="600"/>
      <c r="E127" s="13">
        <f t="shared" si="30"/>
        <v>0</v>
      </c>
      <c r="F127" s="600"/>
      <c r="G127" s="13">
        <f t="shared" si="31"/>
        <v>0</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60">
        <f t="shared" si="37"/>
        <v>0</v>
      </c>
      <c r="V127" s="2960">
        <f t="shared" si="38"/>
        <v>0</v>
      </c>
      <c r="W127" s="997"/>
      <c r="X127" s="2960">
        <f t="shared" si="39"/>
        <v>0</v>
      </c>
      <c r="Y127" s="2960">
        <f t="shared" si="40"/>
        <v>0</v>
      </c>
      <c r="Z127" s="997"/>
    </row>
    <row r="128" spans="1:26">
      <c r="A128" s="35"/>
      <c r="B128" s="20"/>
      <c r="C128" s="13">
        <f t="shared" si="29"/>
        <v>1</v>
      </c>
      <c r="D128" s="600"/>
      <c r="E128" s="13">
        <f t="shared" si="30"/>
        <v>0</v>
      </c>
      <c r="F128" s="600"/>
      <c r="G128" s="13">
        <f t="shared" si="31"/>
        <v>0</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60">
        <f t="shared" si="37"/>
        <v>0</v>
      </c>
      <c r="V128" s="2960">
        <f t="shared" si="38"/>
        <v>0</v>
      </c>
      <c r="W128" s="997"/>
      <c r="X128" s="2960">
        <f t="shared" si="39"/>
        <v>0</v>
      </c>
      <c r="Y128" s="2960">
        <f t="shared" si="40"/>
        <v>0</v>
      </c>
      <c r="Z128" s="997"/>
    </row>
    <row r="129" spans="1:26">
      <c r="A129" s="35"/>
      <c r="B129" s="20"/>
      <c r="C129" s="13">
        <f t="shared" si="29"/>
        <v>1</v>
      </c>
      <c r="D129" s="600"/>
      <c r="E129" s="13">
        <f t="shared" si="30"/>
        <v>0</v>
      </c>
      <c r="F129" s="600"/>
      <c r="G129" s="13">
        <f t="shared" si="31"/>
        <v>0</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60">
        <f t="shared" si="37"/>
        <v>0</v>
      </c>
      <c r="V129" s="2960">
        <f t="shared" si="38"/>
        <v>0</v>
      </c>
      <c r="W129" s="997"/>
      <c r="X129" s="2960">
        <f t="shared" si="39"/>
        <v>0</v>
      </c>
      <c r="Y129" s="2960">
        <f t="shared" si="40"/>
        <v>0</v>
      </c>
      <c r="Z129" s="997"/>
    </row>
    <row r="130" spans="1:26">
      <c r="A130" s="35"/>
      <c r="B130" s="20"/>
      <c r="C130" s="13">
        <f t="shared" si="29"/>
        <v>1</v>
      </c>
      <c r="D130" s="600"/>
      <c r="E130" s="13">
        <f t="shared" si="30"/>
        <v>0</v>
      </c>
      <c r="F130" s="600"/>
      <c r="G130" s="13">
        <f t="shared" si="31"/>
        <v>0</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60">
        <f t="shared" si="37"/>
        <v>0</v>
      </c>
      <c r="V130" s="2960">
        <f t="shared" si="38"/>
        <v>0</v>
      </c>
      <c r="W130" s="997"/>
      <c r="X130" s="2960">
        <f t="shared" si="39"/>
        <v>0</v>
      </c>
      <c r="Y130" s="2960">
        <f t="shared" si="40"/>
        <v>0</v>
      </c>
      <c r="Z130" s="997"/>
    </row>
    <row r="131" spans="1:26">
      <c r="A131" s="35"/>
      <c r="B131" s="20"/>
      <c r="C131" s="13">
        <f t="shared" si="29"/>
        <v>1</v>
      </c>
      <c r="D131" s="600"/>
      <c r="E131" s="13">
        <f t="shared" si="30"/>
        <v>0</v>
      </c>
      <c r="F131" s="600"/>
      <c r="G131" s="13">
        <f t="shared" si="31"/>
        <v>0</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60">
        <f t="shared" si="37"/>
        <v>0</v>
      </c>
      <c r="V131" s="2960">
        <f t="shared" si="38"/>
        <v>0</v>
      </c>
      <c r="W131" s="997"/>
      <c r="X131" s="2960">
        <f t="shared" si="39"/>
        <v>0</v>
      </c>
      <c r="Y131" s="2960">
        <f t="shared" si="40"/>
        <v>0</v>
      </c>
      <c r="Z131" s="997"/>
    </row>
    <row r="132" spans="1:26">
      <c r="A132" s="35"/>
      <c r="B132" s="20"/>
      <c r="C132" s="13">
        <f t="shared" si="29"/>
        <v>1</v>
      </c>
      <c r="D132" s="600"/>
      <c r="E132" s="13">
        <f t="shared" si="30"/>
        <v>0</v>
      </c>
      <c r="F132" s="600"/>
      <c r="G132" s="13">
        <f t="shared" si="31"/>
        <v>0</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60">
        <f t="shared" si="37"/>
        <v>0</v>
      </c>
      <c r="V132" s="2960">
        <f t="shared" si="38"/>
        <v>0</v>
      </c>
      <c r="W132" s="997"/>
      <c r="X132" s="2960">
        <f t="shared" si="39"/>
        <v>0</v>
      </c>
      <c r="Y132" s="2960">
        <f t="shared" si="40"/>
        <v>0</v>
      </c>
      <c r="Z132" s="997"/>
    </row>
    <row r="133" spans="1:26">
      <c r="A133" s="35"/>
      <c r="B133" s="20"/>
      <c r="C133" s="13">
        <f t="shared" si="29"/>
        <v>1</v>
      </c>
      <c r="D133" s="600"/>
      <c r="E133" s="13">
        <f t="shared" si="30"/>
        <v>0</v>
      </c>
      <c r="F133" s="600"/>
      <c r="G133" s="13">
        <f t="shared" si="31"/>
        <v>0</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60">
        <f t="shared" si="37"/>
        <v>0</v>
      </c>
      <c r="V133" s="2960">
        <f t="shared" si="38"/>
        <v>0</v>
      </c>
      <c r="W133" s="997"/>
      <c r="X133" s="2960">
        <f t="shared" si="39"/>
        <v>0</v>
      </c>
      <c r="Y133" s="2960">
        <f t="shared" si="40"/>
        <v>0</v>
      </c>
      <c r="Z133" s="997"/>
    </row>
    <row r="134" spans="1:26">
      <c r="A134" s="35"/>
      <c r="B134" s="20"/>
      <c r="C134" s="13">
        <f t="shared" si="29"/>
        <v>1</v>
      </c>
      <c r="D134" s="600"/>
      <c r="E134" s="13">
        <f t="shared" si="30"/>
        <v>0</v>
      </c>
      <c r="F134" s="600"/>
      <c r="G134" s="13">
        <f t="shared" si="31"/>
        <v>0</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60">
        <f t="shared" si="37"/>
        <v>0</v>
      </c>
      <c r="V134" s="2960">
        <f t="shared" si="38"/>
        <v>0</v>
      </c>
      <c r="W134" s="997"/>
      <c r="X134" s="2960">
        <f t="shared" si="39"/>
        <v>0</v>
      </c>
      <c r="Y134" s="2960">
        <f t="shared" si="40"/>
        <v>0</v>
      </c>
      <c r="Z134" s="997"/>
    </row>
    <row r="135" spans="1:26">
      <c r="A135" s="35"/>
      <c r="B135" s="20"/>
      <c r="C135" s="13">
        <f t="shared" si="29"/>
        <v>1</v>
      </c>
      <c r="D135" s="600"/>
      <c r="E135" s="13">
        <f t="shared" si="30"/>
        <v>0</v>
      </c>
      <c r="F135" s="600"/>
      <c r="G135" s="13">
        <f t="shared" si="31"/>
        <v>0</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60">
        <f t="shared" si="37"/>
        <v>0</v>
      </c>
      <c r="V135" s="2960">
        <f t="shared" si="38"/>
        <v>0</v>
      </c>
      <c r="W135" s="997"/>
      <c r="X135" s="2960">
        <f t="shared" si="39"/>
        <v>0</v>
      </c>
      <c r="Y135" s="2960">
        <f t="shared" si="40"/>
        <v>0</v>
      </c>
      <c r="Z135" s="997"/>
    </row>
    <row r="136" spans="1:26">
      <c r="A136" s="35"/>
      <c r="B136" s="20"/>
      <c r="C136" s="13">
        <f t="shared" si="29"/>
        <v>1</v>
      </c>
      <c r="D136" s="600"/>
      <c r="E136" s="13">
        <f t="shared" si="30"/>
        <v>0</v>
      </c>
      <c r="F136" s="600"/>
      <c r="G136" s="13">
        <f t="shared" si="31"/>
        <v>0</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60">
        <f t="shared" si="37"/>
        <v>0</v>
      </c>
      <c r="V136" s="2960">
        <f t="shared" si="38"/>
        <v>0</v>
      </c>
      <c r="W136" s="997"/>
      <c r="X136" s="2960">
        <f t="shared" si="39"/>
        <v>0</v>
      </c>
      <c r="Y136" s="2960">
        <f t="shared" si="40"/>
        <v>0</v>
      </c>
      <c r="Z136" s="997"/>
    </row>
    <row r="137" spans="1:26">
      <c r="A137" s="35"/>
      <c r="B137" s="20"/>
      <c r="C137" s="13">
        <f t="shared" si="29"/>
        <v>1</v>
      </c>
      <c r="D137" s="600"/>
      <c r="E137" s="13">
        <f t="shared" si="30"/>
        <v>0</v>
      </c>
      <c r="F137" s="600"/>
      <c r="G137" s="13">
        <f t="shared" si="31"/>
        <v>0</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60">
        <f t="shared" si="37"/>
        <v>0</v>
      </c>
      <c r="V137" s="2960">
        <f t="shared" si="38"/>
        <v>0</v>
      </c>
      <c r="W137" s="997"/>
      <c r="X137" s="2960">
        <f t="shared" si="39"/>
        <v>0</v>
      </c>
      <c r="Y137" s="2960">
        <f t="shared" si="40"/>
        <v>0</v>
      </c>
      <c r="Z137" s="997"/>
    </row>
    <row r="138" spans="1:26">
      <c r="A138" s="35"/>
      <c r="B138" s="20"/>
      <c r="C138" s="13">
        <f t="shared" si="29"/>
        <v>1</v>
      </c>
      <c r="D138" s="600"/>
      <c r="E138" s="13">
        <f t="shared" si="30"/>
        <v>0</v>
      </c>
      <c r="F138" s="600"/>
      <c r="G138" s="13">
        <f t="shared" si="31"/>
        <v>0</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60">
        <f t="shared" si="37"/>
        <v>0</v>
      </c>
      <c r="V138" s="2960">
        <f t="shared" si="38"/>
        <v>0</v>
      </c>
      <c r="W138" s="997"/>
      <c r="X138" s="2960">
        <f t="shared" si="39"/>
        <v>0</v>
      </c>
      <c r="Y138" s="2960">
        <f t="shared" si="40"/>
        <v>0</v>
      </c>
      <c r="Z138" s="997"/>
    </row>
    <row r="139" spans="1:26">
      <c r="A139" s="35"/>
      <c r="B139" s="20"/>
      <c r="C139" s="13">
        <f t="shared" si="29"/>
        <v>1</v>
      </c>
      <c r="D139" s="600"/>
      <c r="E139" s="13">
        <f t="shared" si="30"/>
        <v>0</v>
      </c>
      <c r="F139" s="600"/>
      <c r="G139" s="13">
        <f t="shared" si="31"/>
        <v>0</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60">
        <f t="shared" si="37"/>
        <v>0</v>
      </c>
      <c r="V139" s="2960">
        <f t="shared" si="38"/>
        <v>0</v>
      </c>
      <c r="W139" s="997"/>
      <c r="X139" s="2960">
        <f t="shared" si="39"/>
        <v>0</v>
      </c>
      <c r="Y139" s="2960">
        <f t="shared" si="40"/>
        <v>0</v>
      </c>
      <c r="Z139" s="997"/>
    </row>
    <row r="140" spans="1:26">
      <c r="A140" s="35"/>
      <c r="B140" s="20"/>
      <c r="C140" s="13">
        <f t="shared" si="29"/>
        <v>1</v>
      </c>
      <c r="D140" s="600"/>
      <c r="E140" s="13">
        <f t="shared" si="30"/>
        <v>0</v>
      </c>
      <c r="F140" s="600"/>
      <c r="G140" s="13">
        <f t="shared" si="31"/>
        <v>0</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60">
        <f t="shared" si="37"/>
        <v>0</v>
      </c>
      <c r="V140" s="2960">
        <f t="shared" si="38"/>
        <v>0</v>
      </c>
      <c r="W140" s="997"/>
      <c r="X140" s="2960">
        <f t="shared" si="39"/>
        <v>0</v>
      </c>
      <c r="Y140" s="2960">
        <f t="shared" si="40"/>
        <v>0</v>
      </c>
      <c r="Z140" s="997"/>
    </row>
    <row r="141" spans="1:26">
      <c r="A141" s="35"/>
      <c r="B141" s="20"/>
      <c r="C141" s="13">
        <f t="shared" si="29"/>
        <v>1</v>
      </c>
      <c r="D141" s="600"/>
      <c r="E141" s="13">
        <f t="shared" si="30"/>
        <v>0</v>
      </c>
      <c r="F141" s="600"/>
      <c r="G141" s="13">
        <f t="shared" si="31"/>
        <v>0</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60">
        <f t="shared" si="37"/>
        <v>0</v>
      </c>
      <c r="V141" s="2960">
        <f t="shared" si="38"/>
        <v>0</v>
      </c>
      <c r="W141" s="997"/>
      <c r="X141" s="2960">
        <f t="shared" si="39"/>
        <v>0</v>
      </c>
      <c r="Y141" s="2960">
        <f t="shared" si="40"/>
        <v>0</v>
      </c>
      <c r="Z141" s="997"/>
    </row>
    <row r="142" spans="1:26">
      <c r="A142" s="35"/>
      <c r="B142" s="20"/>
      <c r="C142" s="13">
        <f t="shared" si="29"/>
        <v>1</v>
      </c>
      <c r="D142" s="600"/>
      <c r="E142" s="13">
        <f t="shared" si="30"/>
        <v>0</v>
      </c>
      <c r="F142" s="600"/>
      <c r="G142" s="13">
        <f t="shared" si="31"/>
        <v>0</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60">
        <f t="shared" si="37"/>
        <v>0</v>
      </c>
      <c r="V142" s="2960">
        <f t="shared" si="38"/>
        <v>0</v>
      </c>
      <c r="W142" s="997"/>
      <c r="X142" s="2960">
        <f t="shared" si="39"/>
        <v>0</v>
      </c>
      <c r="Y142" s="2960">
        <f t="shared" si="40"/>
        <v>0</v>
      </c>
      <c r="Z142" s="997"/>
    </row>
    <row r="143" spans="1:26">
      <c r="A143" s="35"/>
      <c r="B143" s="20"/>
      <c r="C143" s="13">
        <f t="shared" si="29"/>
        <v>1</v>
      </c>
      <c r="D143" s="600"/>
      <c r="E143" s="13">
        <f t="shared" si="30"/>
        <v>0</v>
      </c>
      <c r="F143" s="600"/>
      <c r="G143" s="13">
        <f t="shared" si="31"/>
        <v>0</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60">
        <f t="shared" si="37"/>
        <v>0</v>
      </c>
      <c r="V143" s="2960">
        <f t="shared" si="38"/>
        <v>0</v>
      </c>
      <c r="W143" s="997"/>
      <c r="X143" s="2960">
        <f t="shared" si="39"/>
        <v>0</v>
      </c>
      <c r="Y143" s="2960">
        <f t="shared" si="40"/>
        <v>0</v>
      </c>
      <c r="Z143" s="997"/>
    </row>
    <row r="144" spans="1:26">
      <c r="A144" s="35"/>
      <c r="B144" s="20"/>
      <c r="C144" s="13">
        <f t="shared" si="29"/>
        <v>1</v>
      </c>
      <c r="D144" s="600"/>
      <c r="E144" s="13">
        <f t="shared" si="30"/>
        <v>0</v>
      </c>
      <c r="F144" s="600"/>
      <c r="G144" s="13">
        <f t="shared" si="31"/>
        <v>0</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60">
        <f t="shared" si="37"/>
        <v>0</v>
      </c>
      <c r="V144" s="2960">
        <f t="shared" si="38"/>
        <v>0</v>
      </c>
      <c r="W144" s="997"/>
      <c r="X144" s="2960">
        <f t="shared" si="39"/>
        <v>0</v>
      </c>
      <c r="Y144" s="2960">
        <f t="shared" si="40"/>
        <v>0</v>
      </c>
      <c r="Z144" s="997"/>
    </row>
    <row r="145" spans="1:26">
      <c r="A145" s="35"/>
      <c r="B145" s="20"/>
      <c r="C145" s="13">
        <f t="shared" si="29"/>
        <v>1</v>
      </c>
      <c r="D145" s="600"/>
      <c r="E145" s="13">
        <f t="shared" si="30"/>
        <v>0</v>
      </c>
      <c r="F145" s="600"/>
      <c r="G145" s="13">
        <f t="shared" si="31"/>
        <v>0</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60">
        <f t="shared" si="37"/>
        <v>0</v>
      </c>
      <c r="V145" s="2960">
        <f t="shared" si="38"/>
        <v>0</v>
      </c>
      <c r="W145" s="997"/>
      <c r="X145" s="2960">
        <f t="shared" si="39"/>
        <v>0</v>
      </c>
      <c r="Y145" s="2960">
        <f t="shared" si="40"/>
        <v>0</v>
      </c>
      <c r="Z145" s="997"/>
    </row>
    <row r="146" spans="1:26">
      <c r="A146" s="35"/>
      <c r="B146" s="20"/>
      <c r="C146" s="13">
        <f t="shared" si="29"/>
        <v>1</v>
      </c>
      <c r="D146" s="600"/>
      <c r="E146" s="13">
        <f t="shared" si="30"/>
        <v>0</v>
      </c>
      <c r="F146" s="600"/>
      <c r="G146" s="13">
        <f t="shared" si="31"/>
        <v>0</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60">
        <f t="shared" si="37"/>
        <v>0</v>
      </c>
      <c r="V146" s="2960">
        <f t="shared" si="38"/>
        <v>0</v>
      </c>
      <c r="W146" s="997"/>
      <c r="X146" s="2960">
        <f t="shared" si="39"/>
        <v>0</v>
      </c>
      <c r="Y146" s="2960">
        <f t="shared" si="40"/>
        <v>0</v>
      </c>
      <c r="Z146" s="997"/>
    </row>
    <row r="147" spans="1:26">
      <c r="A147" s="35"/>
      <c r="B147" s="20"/>
      <c r="C147" s="13">
        <f t="shared" si="29"/>
        <v>1</v>
      </c>
      <c r="D147" s="600"/>
      <c r="E147" s="13">
        <f t="shared" si="30"/>
        <v>0</v>
      </c>
      <c r="F147" s="600"/>
      <c r="G147" s="13">
        <f t="shared" si="31"/>
        <v>0</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60">
        <f t="shared" si="37"/>
        <v>0</v>
      </c>
      <c r="V147" s="2960">
        <f t="shared" si="38"/>
        <v>0</v>
      </c>
      <c r="W147" s="997"/>
      <c r="X147" s="2960">
        <f t="shared" si="39"/>
        <v>0</v>
      </c>
      <c r="Y147" s="2960">
        <f t="shared" si="40"/>
        <v>0</v>
      </c>
      <c r="Z147" s="997"/>
    </row>
    <row r="148" spans="1:26">
      <c r="A148" s="35"/>
      <c r="B148" s="20"/>
      <c r="C148" s="13">
        <f t="shared" si="29"/>
        <v>1</v>
      </c>
      <c r="D148" s="600"/>
      <c r="E148" s="13">
        <f t="shared" si="30"/>
        <v>0</v>
      </c>
      <c r="F148" s="600"/>
      <c r="G148" s="13">
        <f t="shared" si="31"/>
        <v>0</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60">
        <f t="shared" si="37"/>
        <v>0</v>
      </c>
      <c r="V148" s="2960">
        <f t="shared" si="38"/>
        <v>0</v>
      </c>
      <c r="W148" s="997"/>
      <c r="X148" s="2960">
        <f t="shared" si="39"/>
        <v>0</v>
      </c>
      <c r="Y148" s="2960">
        <f t="shared" si="40"/>
        <v>0</v>
      </c>
      <c r="Z148" s="997"/>
    </row>
    <row r="149" spans="1:26">
      <c r="A149" s="35"/>
      <c r="B149" s="20"/>
      <c r="C149" s="13">
        <f t="shared" si="29"/>
        <v>1</v>
      </c>
      <c r="D149" s="600"/>
      <c r="E149" s="13">
        <f t="shared" si="30"/>
        <v>0</v>
      </c>
      <c r="F149" s="600"/>
      <c r="G149" s="13">
        <f t="shared" si="31"/>
        <v>0</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60">
        <f t="shared" si="37"/>
        <v>0</v>
      </c>
      <c r="V149" s="2960">
        <f t="shared" si="38"/>
        <v>0</v>
      </c>
      <c r="W149" s="997"/>
      <c r="X149" s="2960">
        <f t="shared" si="39"/>
        <v>0</v>
      </c>
      <c r="Y149" s="2960">
        <f t="shared" si="40"/>
        <v>0</v>
      </c>
      <c r="Z149" s="997"/>
    </row>
    <row r="150" spans="1:26">
      <c r="A150" s="35"/>
      <c r="B150" s="20"/>
      <c r="C150" s="13">
        <f t="shared" si="29"/>
        <v>1</v>
      </c>
      <c r="D150" s="600"/>
      <c r="E150" s="13">
        <f t="shared" si="30"/>
        <v>0</v>
      </c>
      <c r="F150" s="600"/>
      <c r="G150" s="13">
        <f t="shared" si="31"/>
        <v>0</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60">
        <f t="shared" si="37"/>
        <v>0</v>
      </c>
      <c r="V150" s="2960">
        <f t="shared" si="38"/>
        <v>0</v>
      </c>
      <c r="W150" s="997"/>
      <c r="X150" s="2960">
        <f t="shared" si="39"/>
        <v>0</v>
      </c>
      <c r="Y150" s="2960">
        <f t="shared" si="40"/>
        <v>0</v>
      </c>
      <c r="Z150" s="997"/>
    </row>
    <row r="151" spans="1:26">
      <c r="A151" s="35"/>
      <c r="B151" s="20"/>
      <c r="C151" s="13">
        <f t="shared" si="29"/>
        <v>1</v>
      </c>
      <c r="D151" s="600"/>
      <c r="E151" s="13">
        <f t="shared" si="30"/>
        <v>0</v>
      </c>
      <c r="F151" s="600"/>
      <c r="G151" s="13">
        <f t="shared" si="31"/>
        <v>0</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60">
        <f t="shared" si="37"/>
        <v>0</v>
      </c>
      <c r="V151" s="2960">
        <f t="shared" si="38"/>
        <v>0</v>
      </c>
      <c r="W151" s="997"/>
      <c r="X151" s="2960">
        <f t="shared" si="39"/>
        <v>0</v>
      </c>
      <c r="Y151" s="2960">
        <f t="shared" si="40"/>
        <v>0</v>
      </c>
      <c r="Z151" s="997"/>
    </row>
    <row r="152" spans="1:26">
      <c r="A152" s="35"/>
      <c r="B152" s="20"/>
      <c r="C152" s="13">
        <f t="shared" si="29"/>
        <v>1</v>
      </c>
      <c r="D152" s="600"/>
      <c r="E152" s="13">
        <f t="shared" si="30"/>
        <v>0</v>
      </c>
      <c r="F152" s="600"/>
      <c r="G152" s="13">
        <f t="shared" si="31"/>
        <v>0</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60">
        <f t="shared" si="37"/>
        <v>0</v>
      </c>
      <c r="V152" s="2960">
        <f t="shared" si="38"/>
        <v>0</v>
      </c>
      <c r="W152" s="997"/>
      <c r="X152" s="2960">
        <f t="shared" si="39"/>
        <v>0</v>
      </c>
      <c r="Y152" s="2960">
        <f t="shared" si="40"/>
        <v>0</v>
      </c>
      <c r="Z152" s="997"/>
    </row>
    <row r="153" spans="1:26">
      <c r="A153" s="35"/>
      <c r="B153" s="20"/>
      <c r="C153" s="13">
        <f t="shared" si="29"/>
        <v>1</v>
      </c>
      <c r="D153" s="600"/>
      <c r="E153" s="13">
        <f t="shared" si="30"/>
        <v>0</v>
      </c>
      <c r="F153" s="600"/>
      <c r="G153" s="13">
        <f t="shared" si="31"/>
        <v>0</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60">
        <f t="shared" si="37"/>
        <v>0</v>
      </c>
      <c r="V153" s="2960">
        <f t="shared" si="38"/>
        <v>0</v>
      </c>
      <c r="W153" s="997"/>
      <c r="X153" s="2960">
        <f t="shared" si="39"/>
        <v>0</v>
      </c>
      <c r="Y153" s="2960">
        <f t="shared" si="40"/>
        <v>0</v>
      </c>
      <c r="Z153" s="997"/>
    </row>
    <row r="154" spans="1:26">
      <c r="A154" s="35"/>
      <c r="B154" s="20"/>
      <c r="C154" s="13">
        <f t="shared" si="29"/>
        <v>1</v>
      </c>
      <c r="D154" s="600"/>
      <c r="E154" s="13">
        <f t="shared" si="30"/>
        <v>0</v>
      </c>
      <c r="F154" s="600"/>
      <c r="G154" s="13">
        <f t="shared" si="31"/>
        <v>0</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60">
        <f t="shared" si="37"/>
        <v>0</v>
      </c>
      <c r="V154" s="2960">
        <f t="shared" si="38"/>
        <v>0</v>
      </c>
      <c r="W154" s="997"/>
      <c r="X154" s="2960">
        <f t="shared" si="39"/>
        <v>0</v>
      </c>
      <c r="Y154" s="2960">
        <f t="shared" si="40"/>
        <v>0</v>
      </c>
      <c r="Z154" s="997"/>
    </row>
    <row r="155" spans="1:26">
      <c r="A155" s="35"/>
      <c r="B155" s="20"/>
      <c r="C155" s="13">
        <f t="shared" si="29"/>
        <v>1</v>
      </c>
      <c r="D155" s="600"/>
      <c r="E155" s="13">
        <f t="shared" si="30"/>
        <v>0</v>
      </c>
      <c r="F155" s="600"/>
      <c r="G155" s="13">
        <f t="shared" si="31"/>
        <v>0</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60">
        <f t="shared" si="37"/>
        <v>0</v>
      </c>
      <c r="V155" s="2960">
        <f t="shared" si="38"/>
        <v>0</v>
      </c>
      <c r="W155" s="997"/>
      <c r="X155" s="2960">
        <f t="shared" si="39"/>
        <v>0</v>
      </c>
      <c r="Y155" s="2960">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60">
        <f t="shared" ref="U156:U219" si="52">ROUND(W156*B156,0)</f>
        <v>0</v>
      </c>
      <c r="V156" s="2960">
        <f t="shared" ref="V156:V219" si="53">ROUND(W156*B156/10000,0)</f>
        <v>0</v>
      </c>
      <c r="W156" s="997"/>
      <c r="X156" s="2960">
        <f t="shared" ref="X156:X219" si="54">ROUND(Z156*B156,0)</f>
        <v>0</v>
      </c>
      <c r="Y156" s="2960">
        <f t="shared" ref="Y156:Y219" si="55">ROUND(Z156*B156/10000,0)</f>
        <v>0</v>
      </c>
      <c r="Z156" s="997"/>
    </row>
    <row r="157" spans="1:26">
      <c r="A157" s="35"/>
      <c r="B157" s="20"/>
      <c r="C157" s="13">
        <f t="shared" si="44"/>
        <v>1</v>
      </c>
      <c r="D157" s="600"/>
      <c r="E157" s="13">
        <f t="shared" si="45"/>
        <v>0</v>
      </c>
      <c r="F157" s="600"/>
      <c r="G157" s="13">
        <f t="shared" si="46"/>
        <v>0</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60">
        <f t="shared" si="52"/>
        <v>0</v>
      </c>
      <c r="V157" s="2960">
        <f t="shared" si="53"/>
        <v>0</v>
      </c>
      <c r="W157" s="997"/>
      <c r="X157" s="2960">
        <f t="shared" si="54"/>
        <v>0</v>
      </c>
      <c r="Y157" s="2960">
        <f t="shared" si="55"/>
        <v>0</v>
      </c>
      <c r="Z157" s="997"/>
    </row>
    <row r="158" spans="1:26">
      <c r="A158" s="35"/>
      <c r="B158" s="20"/>
      <c r="C158" s="13">
        <f t="shared" si="44"/>
        <v>1</v>
      </c>
      <c r="D158" s="600"/>
      <c r="E158" s="13">
        <f t="shared" si="45"/>
        <v>0</v>
      </c>
      <c r="F158" s="600"/>
      <c r="G158" s="13">
        <f t="shared" si="46"/>
        <v>0</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60">
        <f t="shared" si="52"/>
        <v>0</v>
      </c>
      <c r="V158" s="2960">
        <f t="shared" si="53"/>
        <v>0</v>
      </c>
      <c r="W158" s="997"/>
      <c r="X158" s="2960">
        <f t="shared" si="54"/>
        <v>0</v>
      </c>
      <c r="Y158" s="2960">
        <f t="shared" si="55"/>
        <v>0</v>
      </c>
      <c r="Z158" s="997"/>
    </row>
    <row r="159" spans="1:26">
      <c r="A159" s="35"/>
      <c r="B159" s="20"/>
      <c r="C159" s="13">
        <f t="shared" si="44"/>
        <v>1</v>
      </c>
      <c r="D159" s="600"/>
      <c r="E159" s="13">
        <f t="shared" si="45"/>
        <v>0</v>
      </c>
      <c r="F159" s="600"/>
      <c r="G159" s="13">
        <f t="shared" si="46"/>
        <v>0</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60">
        <f t="shared" si="52"/>
        <v>0</v>
      </c>
      <c r="V159" s="2960">
        <f t="shared" si="53"/>
        <v>0</v>
      </c>
      <c r="W159" s="997"/>
      <c r="X159" s="2960">
        <f t="shared" si="54"/>
        <v>0</v>
      </c>
      <c r="Y159" s="2960">
        <f t="shared" si="55"/>
        <v>0</v>
      </c>
      <c r="Z159" s="997"/>
    </row>
    <row r="160" spans="1:26">
      <c r="A160" s="35"/>
      <c r="B160" s="20"/>
      <c r="C160" s="13">
        <f t="shared" si="44"/>
        <v>1</v>
      </c>
      <c r="D160" s="600"/>
      <c r="E160" s="13">
        <f t="shared" si="45"/>
        <v>0</v>
      </c>
      <c r="F160" s="600"/>
      <c r="G160" s="13">
        <f t="shared" si="46"/>
        <v>0</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60">
        <f t="shared" si="52"/>
        <v>0</v>
      </c>
      <c r="V160" s="2960">
        <f t="shared" si="53"/>
        <v>0</v>
      </c>
      <c r="W160" s="997"/>
      <c r="X160" s="2960">
        <f t="shared" si="54"/>
        <v>0</v>
      </c>
      <c r="Y160" s="2960">
        <f t="shared" si="55"/>
        <v>0</v>
      </c>
      <c r="Z160" s="997"/>
    </row>
    <row r="161" spans="1:26">
      <c r="A161" s="35"/>
      <c r="B161" s="20"/>
      <c r="C161" s="13">
        <f t="shared" si="44"/>
        <v>1</v>
      </c>
      <c r="D161" s="600"/>
      <c r="E161" s="13">
        <f t="shared" si="45"/>
        <v>0</v>
      </c>
      <c r="F161" s="600"/>
      <c r="G161" s="13">
        <f t="shared" si="46"/>
        <v>0</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60">
        <f t="shared" si="52"/>
        <v>0</v>
      </c>
      <c r="V161" s="2960">
        <f t="shared" si="53"/>
        <v>0</v>
      </c>
      <c r="W161" s="997"/>
      <c r="X161" s="2960">
        <f t="shared" si="54"/>
        <v>0</v>
      </c>
      <c r="Y161" s="2960">
        <f t="shared" si="55"/>
        <v>0</v>
      </c>
      <c r="Z161" s="997"/>
    </row>
    <row r="162" spans="1:26">
      <c r="A162" s="35"/>
      <c r="B162" s="20"/>
      <c r="C162" s="13">
        <f t="shared" si="44"/>
        <v>1</v>
      </c>
      <c r="D162" s="600"/>
      <c r="E162" s="13">
        <f t="shared" si="45"/>
        <v>0</v>
      </c>
      <c r="F162" s="600"/>
      <c r="G162" s="13">
        <f t="shared" si="46"/>
        <v>0</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60">
        <f t="shared" si="52"/>
        <v>0</v>
      </c>
      <c r="V162" s="2960">
        <f t="shared" si="53"/>
        <v>0</v>
      </c>
      <c r="W162" s="997"/>
      <c r="X162" s="2960">
        <f t="shared" si="54"/>
        <v>0</v>
      </c>
      <c r="Y162" s="2960">
        <f t="shared" si="55"/>
        <v>0</v>
      </c>
      <c r="Z162" s="997"/>
    </row>
    <row r="163" spans="1:26">
      <c r="A163" s="35"/>
      <c r="B163" s="20"/>
      <c r="C163" s="13">
        <f t="shared" si="44"/>
        <v>1</v>
      </c>
      <c r="D163" s="600"/>
      <c r="E163" s="13">
        <f t="shared" si="45"/>
        <v>0</v>
      </c>
      <c r="F163" s="600"/>
      <c r="G163" s="13">
        <f t="shared" si="46"/>
        <v>0</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60">
        <f t="shared" si="52"/>
        <v>0</v>
      </c>
      <c r="V163" s="2960">
        <f t="shared" si="53"/>
        <v>0</v>
      </c>
      <c r="W163" s="997"/>
      <c r="X163" s="2960">
        <f t="shared" si="54"/>
        <v>0</v>
      </c>
      <c r="Y163" s="2960">
        <f t="shared" si="55"/>
        <v>0</v>
      </c>
      <c r="Z163" s="997"/>
    </row>
    <row r="164" spans="1:26">
      <c r="A164" s="35"/>
      <c r="B164" s="20"/>
      <c r="C164" s="13">
        <f t="shared" si="44"/>
        <v>1</v>
      </c>
      <c r="D164" s="600"/>
      <c r="E164" s="13">
        <f t="shared" si="45"/>
        <v>0</v>
      </c>
      <c r="F164" s="600"/>
      <c r="G164" s="13">
        <f t="shared" si="46"/>
        <v>0</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60">
        <f t="shared" si="52"/>
        <v>0</v>
      </c>
      <c r="V164" s="2960">
        <f t="shared" si="53"/>
        <v>0</v>
      </c>
      <c r="W164" s="997"/>
      <c r="X164" s="2960">
        <f t="shared" si="54"/>
        <v>0</v>
      </c>
      <c r="Y164" s="2960">
        <f t="shared" si="55"/>
        <v>0</v>
      </c>
      <c r="Z164" s="997"/>
    </row>
    <row r="165" spans="1:26">
      <c r="A165" s="35"/>
      <c r="B165" s="20"/>
      <c r="C165" s="13">
        <f t="shared" si="44"/>
        <v>1</v>
      </c>
      <c r="D165" s="600"/>
      <c r="E165" s="13">
        <f t="shared" si="45"/>
        <v>0</v>
      </c>
      <c r="F165" s="600"/>
      <c r="G165" s="13">
        <f t="shared" si="46"/>
        <v>0</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60">
        <f t="shared" si="52"/>
        <v>0</v>
      </c>
      <c r="V165" s="2960">
        <f t="shared" si="53"/>
        <v>0</v>
      </c>
      <c r="W165" s="997"/>
      <c r="X165" s="2960">
        <f t="shared" si="54"/>
        <v>0</v>
      </c>
      <c r="Y165" s="2960">
        <f t="shared" si="55"/>
        <v>0</v>
      </c>
      <c r="Z165" s="997"/>
    </row>
    <row r="166" spans="1:26">
      <c r="A166" s="35"/>
      <c r="B166" s="20"/>
      <c r="C166" s="13">
        <f t="shared" si="44"/>
        <v>1</v>
      </c>
      <c r="D166" s="600"/>
      <c r="E166" s="13">
        <f t="shared" si="45"/>
        <v>0</v>
      </c>
      <c r="F166" s="600"/>
      <c r="G166" s="13">
        <f t="shared" si="46"/>
        <v>0</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60">
        <f t="shared" si="52"/>
        <v>0</v>
      </c>
      <c r="V166" s="2960">
        <f t="shared" si="53"/>
        <v>0</v>
      </c>
      <c r="W166" s="997"/>
      <c r="X166" s="2960">
        <f t="shared" si="54"/>
        <v>0</v>
      </c>
      <c r="Y166" s="2960">
        <f t="shared" si="55"/>
        <v>0</v>
      </c>
      <c r="Z166" s="997"/>
    </row>
    <row r="167" spans="1:26">
      <c r="A167" s="35"/>
      <c r="B167" s="20"/>
      <c r="C167" s="13">
        <f t="shared" si="44"/>
        <v>1</v>
      </c>
      <c r="D167" s="600"/>
      <c r="E167" s="13">
        <f t="shared" si="45"/>
        <v>0</v>
      </c>
      <c r="F167" s="600"/>
      <c r="G167" s="13">
        <f t="shared" si="46"/>
        <v>0</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60">
        <f t="shared" si="52"/>
        <v>0</v>
      </c>
      <c r="V167" s="2960">
        <f t="shared" si="53"/>
        <v>0</v>
      </c>
      <c r="W167" s="997"/>
      <c r="X167" s="2960">
        <f t="shared" si="54"/>
        <v>0</v>
      </c>
      <c r="Y167" s="2960">
        <f t="shared" si="55"/>
        <v>0</v>
      </c>
      <c r="Z167" s="997"/>
    </row>
    <row r="168" spans="1:26">
      <c r="A168" s="35"/>
      <c r="B168" s="20"/>
      <c r="C168" s="13">
        <f t="shared" si="44"/>
        <v>1</v>
      </c>
      <c r="D168" s="600"/>
      <c r="E168" s="13">
        <f t="shared" si="45"/>
        <v>0</v>
      </c>
      <c r="F168" s="600"/>
      <c r="G168" s="13">
        <f t="shared" si="46"/>
        <v>0</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60">
        <f t="shared" si="52"/>
        <v>0</v>
      </c>
      <c r="V168" s="2960">
        <f t="shared" si="53"/>
        <v>0</v>
      </c>
      <c r="W168" s="997"/>
      <c r="X168" s="2960">
        <f t="shared" si="54"/>
        <v>0</v>
      </c>
      <c r="Y168" s="2960">
        <f t="shared" si="55"/>
        <v>0</v>
      </c>
      <c r="Z168" s="997"/>
    </row>
    <row r="169" spans="1:26">
      <c r="A169" s="35"/>
      <c r="B169" s="20"/>
      <c r="C169" s="13">
        <f t="shared" si="44"/>
        <v>1</v>
      </c>
      <c r="D169" s="600"/>
      <c r="E169" s="13">
        <f t="shared" si="45"/>
        <v>0</v>
      </c>
      <c r="F169" s="600"/>
      <c r="G169" s="13">
        <f t="shared" si="46"/>
        <v>0</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60">
        <f t="shared" si="52"/>
        <v>0</v>
      </c>
      <c r="V169" s="2960">
        <f t="shared" si="53"/>
        <v>0</v>
      </c>
      <c r="W169" s="997"/>
      <c r="X169" s="2960">
        <f t="shared" si="54"/>
        <v>0</v>
      </c>
      <c r="Y169" s="2960">
        <f t="shared" si="55"/>
        <v>0</v>
      </c>
      <c r="Z169" s="997"/>
    </row>
    <row r="170" spans="1:26">
      <c r="A170" s="35"/>
      <c r="B170" s="20"/>
      <c r="C170" s="13">
        <f t="shared" si="44"/>
        <v>1</v>
      </c>
      <c r="D170" s="600"/>
      <c r="E170" s="13">
        <f t="shared" si="45"/>
        <v>0</v>
      </c>
      <c r="F170" s="600"/>
      <c r="G170" s="13">
        <f t="shared" si="46"/>
        <v>0</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60">
        <f t="shared" si="52"/>
        <v>0</v>
      </c>
      <c r="V170" s="2960">
        <f t="shared" si="53"/>
        <v>0</v>
      </c>
      <c r="W170" s="997"/>
      <c r="X170" s="2960">
        <f t="shared" si="54"/>
        <v>0</v>
      </c>
      <c r="Y170" s="2960">
        <f t="shared" si="55"/>
        <v>0</v>
      </c>
      <c r="Z170" s="997"/>
    </row>
    <row r="171" spans="1:26">
      <c r="A171" s="35"/>
      <c r="B171" s="20"/>
      <c r="C171" s="13">
        <f t="shared" si="44"/>
        <v>1</v>
      </c>
      <c r="D171" s="600"/>
      <c r="E171" s="13">
        <f t="shared" si="45"/>
        <v>0</v>
      </c>
      <c r="F171" s="600"/>
      <c r="G171" s="13">
        <f t="shared" si="46"/>
        <v>0</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60">
        <f t="shared" si="52"/>
        <v>0</v>
      </c>
      <c r="V171" s="2960">
        <f t="shared" si="53"/>
        <v>0</v>
      </c>
      <c r="W171" s="997"/>
      <c r="X171" s="2960">
        <f t="shared" si="54"/>
        <v>0</v>
      </c>
      <c r="Y171" s="2960">
        <f t="shared" si="55"/>
        <v>0</v>
      </c>
      <c r="Z171" s="997"/>
    </row>
    <row r="172" spans="1:26">
      <c r="A172" s="35"/>
      <c r="B172" s="20"/>
      <c r="C172" s="13">
        <f t="shared" si="44"/>
        <v>1</v>
      </c>
      <c r="D172" s="600"/>
      <c r="E172" s="13">
        <f t="shared" si="45"/>
        <v>0</v>
      </c>
      <c r="F172" s="600"/>
      <c r="G172" s="13">
        <f t="shared" si="46"/>
        <v>0</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60">
        <f t="shared" si="52"/>
        <v>0</v>
      </c>
      <c r="V172" s="2960">
        <f t="shared" si="53"/>
        <v>0</v>
      </c>
      <c r="W172" s="997"/>
      <c r="X172" s="2960">
        <f t="shared" si="54"/>
        <v>0</v>
      </c>
      <c r="Y172" s="2960">
        <f t="shared" si="55"/>
        <v>0</v>
      </c>
      <c r="Z172" s="997"/>
    </row>
    <row r="173" spans="1:26">
      <c r="A173" s="35"/>
      <c r="B173" s="20"/>
      <c r="C173" s="13">
        <f t="shared" si="44"/>
        <v>1</v>
      </c>
      <c r="D173" s="600"/>
      <c r="E173" s="13">
        <f t="shared" si="45"/>
        <v>0</v>
      </c>
      <c r="F173" s="600"/>
      <c r="G173" s="13">
        <f t="shared" si="46"/>
        <v>0</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60">
        <f t="shared" si="52"/>
        <v>0</v>
      </c>
      <c r="V173" s="2960">
        <f t="shared" si="53"/>
        <v>0</v>
      </c>
      <c r="W173" s="997"/>
      <c r="X173" s="2960">
        <f t="shared" si="54"/>
        <v>0</v>
      </c>
      <c r="Y173" s="2960">
        <f t="shared" si="55"/>
        <v>0</v>
      </c>
      <c r="Z173" s="997"/>
    </row>
    <row r="174" spans="1:26">
      <c r="A174" s="35"/>
      <c r="B174" s="20"/>
      <c r="C174" s="13">
        <f t="shared" si="44"/>
        <v>1</v>
      </c>
      <c r="D174" s="600"/>
      <c r="E174" s="13">
        <f t="shared" si="45"/>
        <v>0</v>
      </c>
      <c r="F174" s="600"/>
      <c r="G174" s="13">
        <f t="shared" si="46"/>
        <v>0</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60">
        <f t="shared" si="52"/>
        <v>0</v>
      </c>
      <c r="V174" s="2960">
        <f t="shared" si="53"/>
        <v>0</v>
      </c>
      <c r="W174" s="997"/>
      <c r="X174" s="2960">
        <f t="shared" si="54"/>
        <v>0</v>
      </c>
      <c r="Y174" s="2960">
        <f t="shared" si="55"/>
        <v>0</v>
      </c>
      <c r="Z174" s="997"/>
    </row>
    <row r="175" spans="1:26">
      <c r="A175" s="35"/>
      <c r="B175" s="20"/>
      <c r="C175" s="13">
        <f t="shared" si="44"/>
        <v>1</v>
      </c>
      <c r="D175" s="600"/>
      <c r="E175" s="13">
        <f t="shared" si="45"/>
        <v>0</v>
      </c>
      <c r="F175" s="600"/>
      <c r="G175" s="13">
        <f t="shared" si="46"/>
        <v>0</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60">
        <f t="shared" si="52"/>
        <v>0</v>
      </c>
      <c r="V175" s="2960">
        <f t="shared" si="53"/>
        <v>0</v>
      </c>
      <c r="W175" s="997"/>
      <c r="X175" s="2960">
        <f t="shared" si="54"/>
        <v>0</v>
      </c>
      <c r="Y175" s="2960">
        <f t="shared" si="55"/>
        <v>0</v>
      </c>
      <c r="Z175" s="997"/>
    </row>
    <row r="176" spans="1:26">
      <c r="A176" s="35"/>
      <c r="B176" s="20"/>
      <c r="C176" s="13">
        <f t="shared" si="44"/>
        <v>1</v>
      </c>
      <c r="D176" s="600"/>
      <c r="E176" s="13">
        <f t="shared" si="45"/>
        <v>0</v>
      </c>
      <c r="F176" s="600"/>
      <c r="G176" s="13">
        <f t="shared" si="46"/>
        <v>0</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60">
        <f t="shared" si="52"/>
        <v>0</v>
      </c>
      <c r="V176" s="2960">
        <f t="shared" si="53"/>
        <v>0</v>
      </c>
      <c r="W176" s="997"/>
      <c r="X176" s="2960">
        <f t="shared" si="54"/>
        <v>0</v>
      </c>
      <c r="Y176" s="2960">
        <f t="shared" si="55"/>
        <v>0</v>
      </c>
      <c r="Z176" s="997"/>
    </row>
    <row r="177" spans="1:26">
      <c r="A177" s="35"/>
      <c r="B177" s="20"/>
      <c r="C177" s="13">
        <f t="shared" si="44"/>
        <v>1</v>
      </c>
      <c r="D177" s="600"/>
      <c r="E177" s="13">
        <f t="shared" si="45"/>
        <v>0</v>
      </c>
      <c r="F177" s="600"/>
      <c r="G177" s="13">
        <f t="shared" si="46"/>
        <v>0</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60">
        <f t="shared" si="52"/>
        <v>0</v>
      </c>
      <c r="V177" s="2960">
        <f t="shared" si="53"/>
        <v>0</v>
      </c>
      <c r="W177" s="997"/>
      <c r="X177" s="2960">
        <f t="shared" si="54"/>
        <v>0</v>
      </c>
      <c r="Y177" s="2960">
        <f t="shared" si="55"/>
        <v>0</v>
      </c>
      <c r="Z177" s="997"/>
    </row>
    <row r="178" spans="1:26">
      <c r="A178" s="35"/>
      <c r="B178" s="20"/>
      <c r="C178" s="13">
        <f t="shared" si="44"/>
        <v>1</v>
      </c>
      <c r="D178" s="600"/>
      <c r="E178" s="13">
        <f t="shared" si="45"/>
        <v>0</v>
      </c>
      <c r="F178" s="600"/>
      <c r="G178" s="13">
        <f t="shared" si="46"/>
        <v>0</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60">
        <f t="shared" si="52"/>
        <v>0</v>
      </c>
      <c r="V178" s="2960">
        <f t="shared" si="53"/>
        <v>0</v>
      </c>
      <c r="W178" s="997"/>
      <c r="X178" s="2960">
        <f t="shared" si="54"/>
        <v>0</v>
      </c>
      <c r="Y178" s="2960">
        <f t="shared" si="55"/>
        <v>0</v>
      </c>
      <c r="Z178" s="997"/>
    </row>
    <row r="179" spans="1:26">
      <c r="A179" s="35"/>
      <c r="B179" s="20"/>
      <c r="C179" s="13">
        <f t="shared" si="44"/>
        <v>1</v>
      </c>
      <c r="D179" s="600"/>
      <c r="E179" s="13">
        <f t="shared" si="45"/>
        <v>0</v>
      </c>
      <c r="F179" s="600"/>
      <c r="G179" s="13">
        <f t="shared" si="46"/>
        <v>0</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60">
        <f t="shared" si="52"/>
        <v>0</v>
      </c>
      <c r="V179" s="2960">
        <f t="shared" si="53"/>
        <v>0</v>
      </c>
      <c r="W179" s="997"/>
      <c r="X179" s="2960">
        <f t="shared" si="54"/>
        <v>0</v>
      </c>
      <c r="Y179" s="2960">
        <f t="shared" si="55"/>
        <v>0</v>
      </c>
      <c r="Z179" s="997"/>
    </row>
    <row r="180" spans="1:26">
      <c r="A180" s="35"/>
      <c r="B180" s="20"/>
      <c r="C180" s="13">
        <f t="shared" si="44"/>
        <v>1</v>
      </c>
      <c r="D180" s="600"/>
      <c r="E180" s="13">
        <f t="shared" si="45"/>
        <v>0</v>
      </c>
      <c r="F180" s="600"/>
      <c r="G180" s="13">
        <f t="shared" si="46"/>
        <v>0</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60">
        <f t="shared" si="52"/>
        <v>0</v>
      </c>
      <c r="V180" s="2960">
        <f t="shared" si="53"/>
        <v>0</v>
      </c>
      <c r="W180" s="997"/>
      <c r="X180" s="2960">
        <f t="shared" si="54"/>
        <v>0</v>
      </c>
      <c r="Y180" s="2960">
        <f t="shared" si="55"/>
        <v>0</v>
      </c>
      <c r="Z180" s="997"/>
    </row>
    <row r="181" spans="1:26">
      <c r="A181" s="35"/>
      <c r="B181" s="20"/>
      <c r="C181" s="13">
        <f t="shared" si="44"/>
        <v>1</v>
      </c>
      <c r="D181" s="600"/>
      <c r="E181" s="13">
        <f t="shared" si="45"/>
        <v>0</v>
      </c>
      <c r="F181" s="600"/>
      <c r="G181" s="13">
        <f t="shared" si="46"/>
        <v>0</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60">
        <f t="shared" si="52"/>
        <v>0</v>
      </c>
      <c r="V181" s="2960">
        <f t="shared" si="53"/>
        <v>0</v>
      </c>
      <c r="W181" s="997"/>
      <c r="X181" s="2960">
        <f t="shared" si="54"/>
        <v>0</v>
      </c>
      <c r="Y181" s="2960">
        <f t="shared" si="55"/>
        <v>0</v>
      </c>
      <c r="Z181" s="997"/>
    </row>
    <row r="182" spans="1:26">
      <c r="A182" s="35"/>
      <c r="B182" s="20"/>
      <c r="C182" s="13">
        <f t="shared" si="44"/>
        <v>1</v>
      </c>
      <c r="D182" s="600"/>
      <c r="E182" s="13">
        <f t="shared" si="45"/>
        <v>0</v>
      </c>
      <c r="F182" s="600"/>
      <c r="G182" s="13">
        <f t="shared" si="46"/>
        <v>0</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60">
        <f t="shared" si="52"/>
        <v>0</v>
      </c>
      <c r="V182" s="2960">
        <f t="shared" si="53"/>
        <v>0</v>
      </c>
      <c r="W182" s="997"/>
      <c r="X182" s="2960">
        <f t="shared" si="54"/>
        <v>0</v>
      </c>
      <c r="Y182" s="2960">
        <f t="shared" si="55"/>
        <v>0</v>
      </c>
      <c r="Z182" s="997"/>
    </row>
    <row r="183" spans="1:26">
      <c r="A183" s="35"/>
      <c r="B183" s="20"/>
      <c r="C183" s="13">
        <f t="shared" si="44"/>
        <v>1</v>
      </c>
      <c r="D183" s="600"/>
      <c r="E183" s="13">
        <f t="shared" si="45"/>
        <v>0</v>
      </c>
      <c r="F183" s="600"/>
      <c r="G183" s="13">
        <f t="shared" si="46"/>
        <v>0</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60">
        <f t="shared" si="52"/>
        <v>0</v>
      </c>
      <c r="V183" s="2960">
        <f t="shared" si="53"/>
        <v>0</v>
      </c>
      <c r="W183" s="997"/>
      <c r="X183" s="2960">
        <f t="shared" si="54"/>
        <v>0</v>
      </c>
      <c r="Y183" s="2960">
        <f t="shared" si="55"/>
        <v>0</v>
      </c>
      <c r="Z183" s="997"/>
    </row>
    <row r="184" spans="1:26">
      <c r="A184" s="35"/>
      <c r="B184" s="20"/>
      <c r="C184" s="13">
        <f t="shared" si="44"/>
        <v>1</v>
      </c>
      <c r="D184" s="600"/>
      <c r="E184" s="13">
        <f t="shared" si="45"/>
        <v>0</v>
      </c>
      <c r="F184" s="600"/>
      <c r="G184" s="13">
        <f t="shared" si="46"/>
        <v>0</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60">
        <f t="shared" si="52"/>
        <v>0</v>
      </c>
      <c r="V184" s="2960">
        <f t="shared" si="53"/>
        <v>0</v>
      </c>
      <c r="W184" s="997"/>
      <c r="X184" s="2960">
        <f t="shared" si="54"/>
        <v>0</v>
      </c>
      <c r="Y184" s="2960">
        <f t="shared" si="55"/>
        <v>0</v>
      </c>
      <c r="Z184" s="997"/>
    </row>
    <row r="185" spans="1:26">
      <c r="A185" s="35"/>
      <c r="B185" s="20"/>
      <c r="C185" s="13">
        <f t="shared" si="44"/>
        <v>1</v>
      </c>
      <c r="D185" s="600"/>
      <c r="E185" s="13">
        <f t="shared" si="45"/>
        <v>0</v>
      </c>
      <c r="F185" s="600"/>
      <c r="G185" s="13">
        <f t="shared" si="46"/>
        <v>0</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60">
        <f t="shared" si="52"/>
        <v>0</v>
      </c>
      <c r="V185" s="2960">
        <f t="shared" si="53"/>
        <v>0</v>
      </c>
      <c r="W185" s="997"/>
      <c r="X185" s="2960">
        <f t="shared" si="54"/>
        <v>0</v>
      </c>
      <c r="Y185" s="2960">
        <f t="shared" si="55"/>
        <v>0</v>
      </c>
      <c r="Z185" s="997"/>
    </row>
    <row r="186" spans="1:26">
      <c r="A186" s="35"/>
      <c r="B186" s="20"/>
      <c r="C186" s="13">
        <f t="shared" si="44"/>
        <v>1</v>
      </c>
      <c r="D186" s="600"/>
      <c r="E186" s="13">
        <f t="shared" si="45"/>
        <v>0</v>
      </c>
      <c r="F186" s="600"/>
      <c r="G186" s="13">
        <f t="shared" si="46"/>
        <v>0</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60">
        <f t="shared" si="52"/>
        <v>0</v>
      </c>
      <c r="V186" s="2960">
        <f t="shared" si="53"/>
        <v>0</v>
      </c>
      <c r="W186" s="997"/>
      <c r="X186" s="2960">
        <f t="shared" si="54"/>
        <v>0</v>
      </c>
      <c r="Y186" s="2960">
        <f t="shared" si="55"/>
        <v>0</v>
      </c>
      <c r="Z186" s="997"/>
    </row>
    <row r="187" spans="1:26">
      <c r="A187" s="35"/>
      <c r="B187" s="20"/>
      <c r="C187" s="13">
        <f t="shared" si="44"/>
        <v>1</v>
      </c>
      <c r="D187" s="600"/>
      <c r="E187" s="13">
        <f t="shared" si="45"/>
        <v>0</v>
      </c>
      <c r="F187" s="600"/>
      <c r="G187" s="13">
        <f t="shared" si="46"/>
        <v>0</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60">
        <f t="shared" si="52"/>
        <v>0</v>
      </c>
      <c r="V187" s="2960">
        <f t="shared" si="53"/>
        <v>0</v>
      </c>
      <c r="W187" s="997"/>
      <c r="X187" s="2960">
        <f t="shared" si="54"/>
        <v>0</v>
      </c>
      <c r="Y187" s="2960">
        <f t="shared" si="55"/>
        <v>0</v>
      </c>
      <c r="Z187" s="997"/>
    </row>
    <row r="188" spans="1:26">
      <c r="A188" s="35"/>
      <c r="B188" s="20"/>
      <c r="C188" s="13">
        <f t="shared" si="44"/>
        <v>1</v>
      </c>
      <c r="D188" s="600"/>
      <c r="E188" s="13">
        <f t="shared" si="45"/>
        <v>0</v>
      </c>
      <c r="F188" s="600"/>
      <c r="G188" s="13">
        <f t="shared" si="46"/>
        <v>0</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60">
        <f t="shared" si="52"/>
        <v>0</v>
      </c>
      <c r="V188" s="2960">
        <f t="shared" si="53"/>
        <v>0</v>
      </c>
      <c r="W188" s="997"/>
      <c r="X188" s="2960">
        <f t="shared" si="54"/>
        <v>0</v>
      </c>
      <c r="Y188" s="2960">
        <f t="shared" si="55"/>
        <v>0</v>
      </c>
      <c r="Z188" s="997"/>
    </row>
    <row r="189" spans="1:26">
      <c r="A189" s="35"/>
      <c r="B189" s="20"/>
      <c r="C189" s="13">
        <f t="shared" si="44"/>
        <v>1</v>
      </c>
      <c r="D189" s="600"/>
      <c r="E189" s="13">
        <f t="shared" si="45"/>
        <v>0</v>
      </c>
      <c r="F189" s="600"/>
      <c r="G189" s="13">
        <f t="shared" si="46"/>
        <v>0</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60">
        <f t="shared" si="52"/>
        <v>0</v>
      </c>
      <c r="V189" s="2960">
        <f t="shared" si="53"/>
        <v>0</v>
      </c>
      <c r="W189" s="997"/>
      <c r="X189" s="2960">
        <f t="shared" si="54"/>
        <v>0</v>
      </c>
      <c r="Y189" s="2960">
        <f t="shared" si="55"/>
        <v>0</v>
      </c>
      <c r="Z189" s="997"/>
    </row>
    <row r="190" spans="1:26">
      <c r="A190" s="35"/>
      <c r="B190" s="20"/>
      <c r="C190" s="13">
        <f t="shared" si="44"/>
        <v>1</v>
      </c>
      <c r="D190" s="600"/>
      <c r="E190" s="13">
        <f t="shared" si="45"/>
        <v>0</v>
      </c>
      <c r="F190" s="600"/>
      <c r="G190" s="13">
        <f t="shared" si="46"/>
        <v>0</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60">
        <f t="shared" si="52"/>
        <v>0</v>
      </c>
      <c r="V190" s="2960">
        <f t="shared" si="53"/>
        <v>0</v>
      </c>
      <c r="W190" s="997"/>
      <c r="X190" s="2960">
        <f t="shared" si="54"/>
        <v>0</v>
      </c>
      <c r="Y190" s="2960">
        <f t="shared" si="55"/>
        <v>0</v>
      </c>
      <c r="Z190" s="997"/>
    </row>
    <row r="191" spans="1:26">
      <c r="A191" s="35"/>
      <c r="B191" s="20"/>
      <c r="C191" s="13">
        <f t="shared" si="44"/>
        <v>1</v>
      </c>
      <c r="D191" s="600"/>
      <c r="E191" s="13">
        <f t="shared" si="45"/>
        <v>0</v>
      </c>
      <c r="F191" s="600"/>
      <c r="G191" s="13">
        <f t="shared" si="46"/>
        <v>0</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60">
        <f t="shared" si="52"/>
        <v>0</v>
      </c>
      <c r="V191" s="2960">
        <f t="shared" si="53"/>
        <v>0</v>
      </c>
      <c r="W191" s="997"/>
      <c r="X191" s="2960">
        <f t="shared" si="54"/>
        <v>0</v>
      </c>
      <c r="Y191" s="2960">
        <f t="shared" si="55"/>
        <v>0</v>
      </c>
      <c r="Z191" s="997"/>
    </row>
    <row r="192" spans="1:26">
      <c r="A192" s="35"/>
      <c r="B192" s="20"/>
      <c r="C192" s="13">
        <f t="shared" si="44"/>
        <v>1</v>
      </c>
      <c r="D192" s="600"/>
      <c r="E192" s="13">
        <f t="shared" si="45"/>
        <v>0</v>
      </c>
      <c r="F192" s="600"/>
      <c r="G192" s="13">
        <f t="shared" si="46"/>
        <v>0</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60">
        <f t="shared" si="52"/>
        <v>0</v>
      </c>
      <c r="V192" s="2960">
        <f t="shared" si="53"/>
        <v>0</v>
      </c>
      <c r="W192" s="997"/>
      <c r="X192" s="2960">
        <f t="shared" si="54"/>
        <v>0</v>
      </c>
      <c r="Y192" s="2960">
        <f t="shared" si="55"/>
        <v>0</v>
      </c>
      <c r="Z192" s="997"/>
    </row>
    <row r="193" spans="1:26">
      <c r="A193" s="35"/>
      <c r="B193" s="20"/>
      <c r="C193" s="13">
        <f t="shared" si="44"/>
        <v>1</v>
      </c>
      <c r="D193" s="600"/>
      <c r="E193" s="13">
        <f t="shared" si="45"/>
        <v>0</v>
      </c>
      <c r="F193" s="600"/>
      <c r="G193" s="13">
        <f t="shared" si="46"/>
        <v>0</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60">
        <f t="shared" si="52"/>
        <v>0</v>
      </c>
      <c r="V193" s="2960">
        <f t="shared" si="53"/>
        <v>0</v>
      </c>
      <c r="W193" s="997"/>
      <c r="X193" s="2960">
        <f t="shared" si="54"/>
        <v>0</v>
      </c>
      <c r="Y193" s="2960">
        <f t="shared" si="55"/>
        <v>0</v>
      </c>
      <c r="Z193" s="997"/>
    </row>
    <row r="194" spans="1:26">
      <c r="A194" s="35"/>
      <c r="B194" s="20"/>
      <c r="C194" s="13">
        <f t="shared" si="44"/>
        <v>1</v>
      </c>
      <c r="D194" s="600"/>
      <c r="E194" s="13">
        <f t="shared" si="45"/>
        <v>0</v>
      </c>
      <c r="F194" s="600"/>
      <c r="G194" s="13">
        <f t="shared" si="46"/>
        <v>0</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60">
        <f t="shared" si="52"/>
        <v>0</v>
      </c>
      <c r="V194" s="2960">
        <f t="shared" si="53"/>
        <v>0</v>
      </c>
      <c r="W194" s="997"/>
      <c r="X194" s="2960">
        <f t="shared" si="54"/>
        <v>0</v>
      </c>
      <c r="Y194" s="2960">
        <f t="shared" si="55"/>
        <v>0</v>
      </c>
      <c r="Z194" s="997"/>
    </row>
    <row r="195" spans="1:26">
      <c r="A195" s="35"/>
      <c r="B195" s="20"/>
      <c r="C195" s="13">
        <f t="shared" si="44"/>
        <v>1</v>
      </c>
      <c r="D195" s="600"/>
      <c r="E195" s="13">
        <f t="shared" si="45"/>
        <v>0</v>
      </c>
      <c r="F195" s="600"/>
      <c r="G195" s="13">
        <f t="shared" si="46"/>
        <v>0</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60">
        <f t="shared" si="52"/>
        <v>0</v>
      </c>
      <c r="V195" s="2960">
        <f t="shared" si="53"/>
        <v>0</v>
      </c>
      <c r="W195" s="997"/>
      <c r="X195" s="2960">
        <f t="shared" si="54"/>
        <v>0</v>
      </c>
      <c r="Y195" s="2960">
        <f t="shared" si="55"/>
        <v>0</v>
      </c>
      <c r="Z195" s="997"/>
    </row>
    <row r="196" spans="1:26">
      <c r="A196" s="35"/>
      <c r="B196" s="20"/>
      <c r="C196" s="13">
        <f t="shared" si="44"/>
        <v>1</v>
      </c>
      <c r="D196" s="600"/>
      <c r="E196" s="13">
        <f t="shared" si="45"/>
        <v>0</v>
      </c>
      <c r="F196" s="600"/>
      <c r="G196" s="13">
        <f t="shared" si="46"/>
        <v>0</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60">
        <f t="shared" si="52"/>
        <v>0</v>
      </c>
      <c r="V196" s="2960">
        <f t="shared" si="53"/>
        <v>0</v>
      </c>
      <c r="W196" s="997"/>
      <c r="X196" s="2960">
        <f t="shared" si="54"/>
        <v>0</v>
      </c>
      <c r="Y196" s="2960">
        <f t="shared" si="55"/>
        <v>0</v>
      </c>
      <c r="Z196" s="997"/>
    </row>
    <row r="197" spans="1:26">
      <c r="A197" s="35"/>
      <c r="B197" s="20"/>
      <c r="C197" s="13">
        <f t="shared" si="44"/>
        <v>1</v>
      </c>
      <c r="D197" s="600"/>
      <c r="E197" s="13">
        <f t="shared" si="45"/>
        <v>0</v>
      </c>
      <c r="F197" s="600"/>
      <c r="G197" s="13">
        <f t="shared" si="46"/>
        <v>0</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60">
        <f t="shared" si="52"/>
        <v>0</v>
      </c>
      <c r="V197" s="2960">
        <f t="shared" si="53"/>
        <v>0</v>
      </c>
      <c r="W197" s="997"/>
      <c r="X197" s="2960">
        <f t="shared" si="54"/>
        <v>0</v>
      </c>
      <c r="Y197" s="2960">
        <f t="shared" si="55"/>
        <v>0</v>
      </c>
      <c r="Z197" s="997"/>
    </row>
    <row r="198" spans="1:26">
      <c r="A198" s="35"/>
      <c r="B198" s="20"/>
      <c r="C198" s="13">
        <f t="shared" si="44"/>
        <v>1</v>
      </c>
      <c r="D198" s="600"/>
      <c r="E198" s="13">
        <f t="shared" si="45"/>
        <v>0</v>
      </c>
      <c r="F198" s="600"/>
      <c r="G198" s="13">
        <f t="shared" si="46"/>
        <v>0</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60">
        <f t="shared" si="52"/>
        <v>0</v>
      </c>
      <c r="V198" s="2960">
        <f t="shared" si="53"/>
        <v>0</v>
      </c>
      <c r="W198" s="997"/>
      <c r="X198" s="2960">
        <f t="shared" si="54"/>
        <v>0</v>
      </c>
      <c r="Y198" s="2960">
        <f t="shared" si="55"/>
        <v>0</v>
      </c>
      <c r="Z198" s="997"/>
    </row>
    <row r="199" spans="1:26">
      <c r="A199" s="35"/>
      <c r="B199" s="20"/>
      <c r="C199" s="13">
        <f t="shared" si="44"/>
        <v>1</v>
      </c>
      <c r="D199" s="600"/>
      <c r="E199" s="13">
        <f t="shared" si="45"/>
        <v>0</v>
      </c>
      <c r="F199" s="600"/>
      <c r="G199" s="13">
        <f t="shared" si="46"/>
        <v>0</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60">
        <f t="shared" si="52"/>
        <v>0</v>
      </c>
      <c r="V199" s="2960">
        <f t="shared" si="53"/>
        <v>0</v>
      </c>
      <c r="W199" s="997"/>
      <c r="X199" s="2960">
        <f t="shared" si="54"/>
        <v>0</v>
      </c>
      <c r="Y199" s="2960">
        <f t="shared" si="55"/>
        <v>0</v>
      </c>
      <c r="Z199" s="997"/>
    </row>
    <row r="200" spans="1:26">
      <c r="A200" s="35"/>
      <c r="B200" s="20"/>
      <c r="C200" s="13">
        <f t="shared" si="44"/>
        <v>1</v>
      </c>
      <c r="D200" s="600"/>
      <c r="E200" s="13">
        <f t="shared" si="45"/>
        <v>0</v>
      </c>
      <c r="F200" s="600"/>
      <c r="G200" s="13">
        <f t="shared" si="46"/>
        <v>0</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60">
        <f t="shared" si="52"/>
        <v>0</v>
      </c>
      <c r="V200" s="2960">
        <f t="shared" si="53"/>
        <v>0</v>
      </c>
      <c r="W200" s="997"/>
      <c r="X200" s="2960">
        <f t="shared" si="54"/>
        <v>0</v>
      </c>
      <c r="Y200" s="2960">
        <f t="shared" si="55"/>
        <v>0</v>
      </c>
      <c r="Z200" s="997"/>
    </row>
    <row r="201" spans="1:26">
      <c r="A201" s="35"/>
      <c r="B201" s="20"/>
      <c r="C201" s="13">
        <f t="shared" si="44"/>
        <v>1</v>
      </c>
      <c r="D201" s="600"/>
      <c r="E201" s="13">
        <f t="shared" si="45"/>
        <v>0</v>
      </c>
      <c r="F201" s="600"/>
      <c r="G201" s="13">
        <f t="shared" si="46"/>
        <v>0</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60">
        <f t="shared" si="52"/>
        <v>0</v>
      </c>
      <c r="V201" s="2960">
        <f t="shared" si="53"/>
        <v>0</v>
      </c>
      <c r="W201" s="997"/>
      <c r="X201" s="2960">
        <f t="shared" si="54"/>
        <v>0</v>
      </c>
      <c r="Y201" s="2960">
        <f t="shared" si="55"/>
        <v>0</v>
      </c>
      <c r="Z201" s="997"/>
    </row>
    <row r="202" spans="1:26">
      <c r="A202" s="35"/>
      <c r="B202" s="20"/>
      <c r="C202" s="13">
        <f t="shared" si="44"/>
        <v>1</v>
      </c>
      <c r="D202" s="600"/>
      <c r="E202" s="13">
        <f t="shared" si="45"/>
        <v>0</v>
      </c>
      <c r="F202" s="600"/>
      <c r="G202" s="13">
        <f t="shared" si="46"/>
        <v>0</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60">
        <f t="shared" si="52"/>
        <v>0</v>
      </c>
      <c r="V202" s="2960">
        <f t="shared" si="53"/>
        <v>0</v>
      </c>
      <c r="W202" s="997"/>
      <c r="X202" s="2960">
        <f t="shared" si="54"/>
        <v>0</v>
      </c>
      <c r="Y202" s="2960">
        <f t="shared" si="55"/>
        <v>0</v>
      </c>
      <c r="Z202" s="997"/>
    </row>
    <row r="203" spans="1:26">
      <c r="A203" s="35"/>
      <c r="B203" s="20"/>
      <c r="C203" s="13">
        <f t="shared" si="44"/>
        <v>1</v>
      </c>
      <c r="D203" s="600"/>
      <c r="E203" s="13">
        <f t="shared" si="45"/>
        <v>0</v>
      </c>
      <c r="F203" s="600"/>
      <c r="G203" s="13">
        <f t="shared" si="46"/>
        <v>0</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60">
        <f t="shared" si="52"/>
        <v>0</v>
      </c>
      <c r="V203" s="2960">
        <f t="shared" si="53"/>
        <v>0</v>
      </c>
      <c r="W203" s="997"/>
      <c r="X203" s="2960">
        <f t="shared" si="54"/>
        <v>0</v>
      </c>
      <c r="Y203" s="2960">
        <f t="shared" si="55"/>
        <v>0</v>
      </c>
      <c r="Z203" s="997"/>
    </row>
    <row r="204" spans="1:26">
      <c r="A204" s="35"/>
      <c r="B204" s="20"/>
      <c r="C204" s="13">
        <f t="shared" si="44"/>
        <v>1</v>
      </c>
      <c r="D204" s="600"/>
      <c r="E204" s="13">
        <f t="shared" si="45"/>
        <v>0</v>
      </c>
      <c r="F204" s="600"/>
      <c r="G204" s="13">
        <f t="shared" si="46"/>
        <v>0</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60">
        <f t="shared" si="52"/>
        <v>0</v>
      </c>
      <c r="V204" s="2960">
        <f t="shared" si="53"/>
        <v>0</v>
      </c>
      <c r="W204" s="997"/>
      <c r="X204" s="2960">
        <f t="shared" si="54"/>
        <v>0</v>
      </c>
      <c r="Y204" s="2960">
        <f t="shared" si="55"/>
        <v>0</v>
      </c>
      <c r="Z204" s="997"/>
    </row>
    <row r="205" spans="1:26">
      <c r="A205" s="35"/>
      <c r="B205" s="20"/>
      <c r="C205" s="13">
        <f t="shared" si="44"/>
        <v>1</v>
      </c>
      <c r="D205" s="600"/>
      <c r="E205" s="13">
        <f t="shared" si="45"/>
        <v>0</v>
      </c>
      <c r="F205" s="600"/>
      <c r="G205" s="13">
        <f t="shared" si="46"/>
        <v>0</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60">
        <f t="shared" si="52"/>
        <v>0</v>
      </c>
      <c r="V205" s="2960">
        <f t="shared" si="53"/>
        <v>0</v>
      </c>
      <c r="W205" s="997"/>
      <c r="X205" s="2960">
        <f t="shared" si="54"/>
        <v>0</v>
      </c>
      <c r="Y205" s="2960">
        <f t="shared" si="55"/>
        <v>0</v>
      </c>
      <c r="Z205" s="997"/>
    </row>
    <row r="206" spans="1:26">
      <c r="A206" s="35"/>
      <c r="B206" s="20"/>
      <c r="C206" s="13">
        <f t="shared" si="44"/>
        <v>1</v>
      </c>
      <c r="D206" s="600"/>
      <c r="E206" s="13">
        <f t="shared" si="45"/>
        <v>0</v>
      </c>
      <c r="F206" s="600"/>
      <c r="G206" s="13">
        <f t="shared" si="46"/>
        <v>0</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60">
        <f t="shared" si="52"/>
        <v>0</v>
      </c>
      <c r="V206" s="2960">
        <f t="shared" si="53"/>
        <v>0</v>
      </c>
      <c r="W206" s="997"/>
      <c r="X206" s="2960">
        <f t="shared" si="54"/>
        <v>0</v>
      </c>
      <c r="Y206" s="2960">
        <f t="shared" si="55"/>
        <v>0</v>
      </c>
      <c r="Z206" s="997"/>
    </row>
    <row r="207" spans="1:26">
      <c r="A207" s="35"/>
      <c r="B207" s="20"/>
      <c r="C207" s="13">
        <f t="shared" si="44"/>
        <v>1</v>
      </c>
      <c r="D207" s="600"/>
      <c r="E207" s="13">
        <f t="shared" si="45"/>
        <v>0</v>
      </c>
      <c r="F207" s="600"/>
      <c r="G207" s="13">
        <f t="shared" si="46"/>
        <v>0</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60">
        <f t="shared" si="52"/>
        <v>0</v>
      </c>
      <c r="V207" s="2960">
        <f t="shared" si="53"/>
        <v>0</v>
      </c>
      <c r="W207" s="997"/>
      <c r="X207" s="2960">
        <f t="shared" si="54"/>
        <v>0</v>
      </c>
      <c r="Y207" s="2960">
        <f t="shared" si="55"/>
        <v>0</v>
      </c>
      <c r="Z207" s="997"/>
    </row>
    <row r="208" spans="1:26">
      <c r="A208" s="35"/>
      <c r="B208" s="20"/>
      <c r="C208" s="13">
        <f t="shared" si="44"/>
        <v>1</v>
      </c>
      <c r="D208" s="600"/>
      <c r="E208" s="13">
        <f t="shared" si="45"/>
        <v>0</v>
      </c>
      <c r="F208" s="600"/>
      <c r="G208" s="13">
        <f t="shared" si="46"/>
        <v>0</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60">
        <f t="shared" si="52"/>
        <v>0</v>
      </c>
      <c r="V208" s="2960">
        <f t="shared" si="53"/>
        <v>0</v>
      </c>
      <c r="W208" s="997"/>
      <c r="X208" s="2960">
        <f t="shared" si="54"/>
        <v>0</v>
      </c>
      <c r="Y208" s="2960">
        <f t="shared" si="55"/>
        <v>0</v>
      </c>
      <c r="Z208" s="997"/>
    </row>
    <row r="209" spans="1:26">
      <c r="A209" s="35"/>
      <c r="B209" s="20"/>
      <c r="C209" s="13">
        <f t="shared" si="44"/>
        <v>1</v>
      </c>
      <c r="D209" s="600"/>
      <c r="E209" s="13">
        <f t="shared" si="45"/>
        <v>0</v>
      </c>
      <c r="F209" s="600"/>
      <c r="G209" s="13">
        <f t="shared" si="46"/>
        <v>0</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60">
        <f t="shared" si="52"/>
        <v>0</v>
      </c>
      <c r="V209" s="2960">
        <f t="shared" si="53"/>
        <v>0</v>
      </c>
      <c r="W209" s="997"/>
      <c r="X209" s="2960">
        <f t="shared" si="54"/>
        <v>0</v>
      </c>
      <c r="Y209" s="2960">
        <f t="shared" si="55"/>
        <v>0</v>
      </c>
      <c r="Z209" s="997"/>
    </row>
    <row r="210" spans="1:26">
      <c r="A210" s="35"/>
      <c r="B210" s="20"/>
      <c r="C210" s="13">
        <f t="shared" si="44"/>
        <v>1</v>
      </c>
      <c r="D210" s="600"/>
      <c r="E210" s="13">
        <f t="shared" si="45"/>
        <v>0</v>
      </c>
      <c r="F210" s="600"/>
      <c r="G210" s="13">
        <f t="shared" si="46"/>
        <v>0</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60">
        <f t="shared" si="52"/>
        <v>0</v>
      </c>
      <c r="V210" s="2960">
        <f t="shared" si="53"/>
        <v>0</v>
      </c>
      <c r="W210" s="997"/>
      <c r="X210" s="2960">
        <f t="shared" si="54"/>
        <v>0</v>
      </c>
      <c r="Y210" s="2960">
        <f t="shared" si="55"/>
        <v>0</v>
      </c>
      <c r="Z210" s="997"/>
    </row>
    <row r="211" spans="1:26">
      <c r="A211" s="35"/>
      <c r="B211" s="20"/>
      <c r="C211" s="13">
        <f t="shared" si="44"/>
        <v>1</v>
      </c>
      <c r="D211" s="600"/>
      <c r="E211" s="13">
        <f t="shared" si="45"/>
        <v>0</v>
      </c>
      <c r="F211" s="600"/>
      <c r="G211" s="13">
        <f t="shared" si="46"/>
        <v>0</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60">
        <f t="shared" si="52"/>
        <v>0</v>
      </c>
      <c r="V211" s="2960">
        <f t="shared" si="53"/>
        <v>0</v>
      </c>
      <c r="W211" s="997"/>
      <c r="X211" s="2960">
        <f t="shared" si="54"/>
        <v>0</v>
      </c>
      <c r="Y211" s="2960">
        <f t="shared" si="55"/>
        <v>0</v>
      </c>
      <c r="Z211" s="997"/>
    </row>
    <row r="212" spans="1:26">
      <c r="A212" s="35"/>
      <c r="B212" s="20"/>
      <c r="C212" s="13">
        <f t="shared" si="44"/>
        <v>1</v>
      </c>
      <c r="D212" s="600"/>
      <c r="E212" s="13">
        <f t="shared" si="45"/>
        <v>0</v>
      </c>
      <c r="F212" s="600"/>
      <c r="G212" s="13">
        <f t="shared" si="46"/>
        <v>0</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60">
        <f t="shared" si="52"/>
        <v>0</v>
      </c>
      <c r="V212" s="2960">
        <f t="shared" si="53"/>
        <v>0</v>
      </c>
      <c r="W212" s="997"/>
      <c r="X212" s="2960">
        <f t="shared" si="54"/>
        <v>0</v>
      </c>
      <c r="Y212" s="2960">
        <f t="shared" si="55"/>
        <v>0</v>
      </c>
      <c r="Z212" s="997"/>
    </row>
    <row r="213" spans="1:26">
      <c r="A213" s="35"/>
      <c r="B213" s="20"/>
      <c r="C213" s="13">
        <f t="shared" si="44"/>
        <v>1</v>
      </c>
      <c r="D213" s="600"/>
      <c r="E213" s="13">
        <f t="shared" si="45"/>
        <v>0</v>
      </c>
      <c r="F213" s="600"/>
      <c r="G213" s="13">
        <f t="shared" si="46"/>
        <v>0</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60">
        <f t="shared" si="52"/>
        <v>0</v>
      </c>
      <c r="V213" s="2960">
        <f t="shared" si="53"/>
        <v>0</v>
      </c>
      <c r="W213" s="997"/>
      <c r="X213" s="2960">
        <f t="shared" si="54"/>
        <v>0</v>
      </c>
      <c r="Y213" s="2960">
        <f t="shared" si="55"/>
        <v>0</v>
      </c>
      <c r="Z213" s="997"/>
    </row>
    <row r="214" spans="1:26">
      <c r="A214" s="35"/>
      <c r="B214" s="20"/>
      <c r="C214" s="13">
        <f t="shared" si="44"/>
        <v>1</v>
      </c>
      <c r="D214" s="600"/>
      <c r="E214" s="13">
        <f t="shared" si="45"/>
        <v>0</v>
      </c>
      <c r="F214" s="600"/>
      <c r="G214" s="13">
        <f t="shared" si="46"/>
        <v>0</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60">
        <f t="shared" si="52"/>
        <v>0</v>
      </c>
      <c r="V214" s="2960">
        <f t="shared" si="53"/>
        <v>0</v>
      </c>
      <c r="W214" s="997"/>
      <c r="X214" s="2960">
        <f t="shared" si="54"/>
        <v>0</v>
      </c>
      <c r="Y214" s="2960">
        <f t="shared" si="55"/>
        <v>0</v>
      </c>
      <c r="Z214" s="997"/>
    </row>
    <row r="215" spans="1:26">
      <c r="A215" s="35"/>
      <c r="B215" s="20"/>
      <c r="C215" s="13">
        <f t="shared" si="44"/>
        <v>1</v>
      </c>
      <c r="D215" s="600"/>
      <c r="E215" s="13">
        <f t="shared" si="45"/>
        <v>0</v>
      </c>
      <c r="F215" s="600"/>
      <c r="G215" s="13">
        <f t="shared" si="46"/>
        <v>0</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60">
        <f t="shared" si="52"/>
        <v>0</v>
      </c>
      <c r="V215" s="2960">
        <f t="shared" si="53"/>
        <v>0</v>
      </c>
      <c r="W215" s="997"/>
      <c r="X215" s="2960">
        <f t="shared" si="54"/>
        <v>0</v>
      </c>
      <c r="Y215" s="2960">
        <f t="shared" si="55"/>
        <v>0</v>
      </c>
      <c r="Z215" s="997"/>
    </row>
    <row r="216" spans="1:26">
      <c r="A216" s="35"/>
      <c r="B216" s="20"/>
      <c r="C216" s="13">
        <f t="shared" si="44"/>
        <v>1</v>
      </c>
      <c r="D216" s="600"/>
      <c r="E216" s="13">
        <f t="shared" si="45"/>
        <v>0</v>
      </c>
      <c r="F216" s="600"/>
      <c r="G216" s="13">
        <f t="shared" si="46"/>
        <v>0</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60">
        <f t="shared" si="52"/>
        <v>0</v>
      </c>
      <c r="V216" s="2960">
        <f t="shared" si="53"/>
        <v>0</v>
      </c>
      <c r="W216" s="997"/>
      <c r="X216" s="2960">
        <f t="shared" si="54"/>
        <v>0</v>
      </c>
      <c r="Y216" s="2960">
        <f t="shared" si="55"/>
        <v>0</v>
      </c>
      <c r="Z216" s="997"/>
    </row>
    <row r="217" spans="1:26">
      <c r="A217" s="35"/>
      <c r="B217" s="20"/>
      <c r="C217" s="13">
        <f t="shared" si="44"/>
        <v>1</v>
      </c>
      <c r="D217" s="600"/>
      <c r="E217" s="13">
        <f t="shared" si="45"/>
        <v>0</v>
      </c>
      <c r="F217" s="600"/>
      <c r="G217" s="13">
        <f t="shared" si="46"/>
        <v>0</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60">
        <f t="shared" si="52"/>
        <v>0</v>
      </c>
      <c r="V217" s="2960">
        <f t="shared" si="53"/>
        <v>0</v>
      </c>
      <c r="W217" s="997"/>
      <c r="X217" s="2960">
        <f t="shared" si="54"/>
        <v>0</v>
      </c>
      <c r="Y217" s="2960">
        <f t="shared" si="55"/>
        <v>0</v>
      </c>
      <c r="Z217" s="997"/>
    </row>
    <row r="218" spans="1:26">
      <c r="A218" s="35"/>
      <c r="B218" s="20"/>
      <c r="C218" s="13">
        <f t="shared" si="44"/>
        <v>1</v>
      </c>
      <c r="D218" s="600"/>
      <c r="E218" s="13">
        <f t="shared" si="45"/>
        <v>0</v>
      </c>
      <c r="F218" s="600"/>
      <c r="G218" s="13">
        <f t="shared" si="46"/>
        <v>0</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60">
        <f t="shared" si="52"/>
        <v>0</v>
      </c>
      <c r="V218" s="2960">
        <f t="shared" si="53"/>
        <v>0</v>
      </c>
      <c r="W218" s="997"/>
      <c r="X218" s="2960">
        <f t="shared" si="54"/>
        <v>0</v>
      </c>
      <c r="Y218" s="2960">
        <f t="shared" si="55"/>
        <v>0</v>
      </c>
      <c r="Z218" s="997"/>
    </row>
    <row r="219" spans="1:26">
      <c r="A219" s="35"/>
      <c r="B219" s="20"/>
      <c r="C219" s="13">
        <f t="shared" si="44"/>
        <v>1</v>
      </c>
      <c r="D219" s="600"/>
      <c r="E219" s="13">
        <f t="shared" si="45"/>
        <v>0</v>
      </c>
      <c r="F219" s="600"/>
      <c r="G219" s="13">
        <f t="shared" si="46"/>
        <v>0</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60">
        <f t="shared" si="52"/>
        <v>0</v>
      </c>
      <c r="V219" s="2960">
        <f t="shared" si="53"/>
        <v>0</v>
      </c>
      <c r="W219" s="997"/>
      <c r="X219" s="2960">
        <f t="shared" si="54"/>
        <v>0</v>
      </c>
      <c r="Y219" s="2960">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60">
        <f t="shared" ref="U220:U283" si="67">ROUND(W220*B220,0)</f>
        <v>0</v>
      </c>
      <c r="V220" s="2960">
        <f t="shared" ref="V220:V283" si="68">ROUND(W220*B220/10000,0)</f>
        <v>0</v>
      </c>
      <c r="W220" s="997"/>
      <c r="X220" s="2960">
        <f t="shared" ref="X220:X283" si="69">ROUND(Z220*B220,0)</f>
        <v>0</v>
      </c>
      <c r="Y220" s="2960">
        <f t="shared" ref="Y220:Y283" si="70">ROUND(Z220*B220/10000,0)</f>
        <v>0</v>
      </c>
      <c r="Z220" s="997"/>
    </row>
    <row r="221" spans="1:26">
      <c r="A221" s="35"/>
      <c r="B221" s="20"/>
      <c r="C221" s="13">
        <f t="shared" si="59"/>
        <v>1</v>
      </c>
      <c r="D221" s="600"/>
      <c r="E221" s="13">
        <f t="shared" si="60"/>
        <v>0</v>
      </c>
      <c r="F221" s="600"/>
      <c r="G221" s="13">
        <f t="shared" si="61"/>
        <v>0</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60">
        <f t="shared" si="67"/>
        <v>0</v>
      </c>
      <c r="V221" s="2960">
        <f t="shared" si="68"/>
        <v>0</v>
      </c>
      <c r="W221" s="997"/>
      <c r="X221" s="2960">
        <f t="shared" si="69"/>
        <v>0</v>
      </c>
      <c r="Y221" s="2960">
        <f t="shared" si="70"/>
        <v>0</v>
      </c>
      <c r="Z221" s="997"/>
    </row>
    <row r="222" spans="1:26">
      <c r="A222" s="35"/>
      <c r="B222" s="20"/>
      <c r="C222" s="13">
        <f t="shared" si="59"/>
        <v>1</v>
      </c>
      <c r="D222" s="600"/>
      <c r="E222" s="13">
        <f t="shared" si="60"/>
        <v>0</v>
      </c>
      <c r="F222" s="600"/>
      <c r="G222" s="13">
        <f t="shared" si="61"/>
        <v>0</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60">
        <f t="shared" si="67"/>
        <v>0</v>
      </c>
      <c r="V222" s="2960">
        <f t="shared" si="68"/>
        <v>0</v>
      </c>
      <c r="W222" s="997"/>
      <c r="X222" s="2960">
        <f t="shared" si="69"/>
        <v>0</v>
      </c>
      <c r="Y222" s="2960">
        <f t="shared" si="70"/>
        <v>0</v>
      </c>
      <c r="Z222" s="997"/>
    </row>
    <row r="223" spans="1:26">
      <c r="A223" s="35"/>
      <c r="B223" s="20"/>
      <c r="C223" s="13">
        <f t="shared" si="59"/>
        <v>1</v>
      </c>
      <c r="D223" s="600"/>
      <c r="E223" s="13">
        <f t="shared" si="60"/>
        <v>0</v>
      </c>
      <c r="F223" s="600"/>
      <c r="G223" s="13">
        <f t="shared" si="61"/>
        <v>0</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60">
        <f t="shared" si="67"/>
        <v>0</v>
      </c>
      <c r="V223" s="2960">
        <f t="shared" si="68"/>
        <v>0</v>
      </c>
      <c r="W223" s="997"/>
      <c r="X223" s="2960">
        <f t="shared" si="69"/>
        <v>0</v>
      </c>
      <c r="Y223" s="2960">
        <f t="shared" si="70"/>
        <v>0</v>
      </c>
      <c r="Z223" s="997"/>
    </row>
    <row r="224" spans="1:26">
      <c r="A224" s="35"/>
      <c r="B224" s="20"/>
      <c r="C224" s="13">
        <f t="shared" si="59"/>
        <v>1</v>
      </c>
      <c r="D224" s="600"/>
      <c r="E224" s="13">
        <f t="shared" si="60"/>
        <v>0</v>
      </c>
      <c r="F224" s="600"/>
      <c r="G224" s="13">
        <f t="shared" si="61"/>
        <v>0</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60">
        <f t="shared" si="67"/>
        <v>0</v>
      </c>
      <c r="V224" s="2960">
        <f t="shared" si="68"/>
        <v>0</v>
      </c>
      <c r="W224" s="997"/>
      <c r="X224" s="2960">
        <f t="shared" si="69"/>
        <v>0</v>
      </c>
      <c r="Y224" s="2960">
        <f t="shared" si="70"/>
        <v>0</v>
      </c>
      <c r="Z224" s="997"/>
    </row>
    <row r="225" spans="1:26">
      <c r="A225" s="35"/>
      <c r="B225" s="20"/>
      <c r="C225" s="13">
        <f t="shared" si="59"/>
        <v>1</v>
      </c>
      <c r="D225" s="600"/>
      <c r="E225" s="13">
        <f t="shared" si="60"/>
        <v>0</v>
      </c>
      <c r="F225" s="600"/>
      <c r="G225" s="13">
        <f t="shared" si="61"/>
        <v>0</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60">
        <f t="shared" si="67"/>
        <v>0</v>
      </c>
      <c r="V225" s="2960">
        <f t="shared" si="68"/>
        <v>0</v>
      </c>
      <c r="W225" s="997"/>
      <c r="X225" s="2960">
        <f t="shared" si="69"/>
        <v>0</v>
      </c>
      <c r="Y225" s="2960">
        <f t="shared" si="70"/>
        <v>0</v>
      </c>
      <c r="Z225" s="997"/>
    </row>
    <row r="226" spans="1:26">
      <c r="A226" s="35"/>
      <c r="B226" s="20"/>
      <c r="C226" s="13">
        <f t="shared" si="59"/>
        <v>1</v>
      </c>
      <c r="D226" s="600"/>
      <c r="E226" s="13">
        <f t="shared" si="60"/>
        <v>0</v>
      </c>
      <c r="F226" s="600"/>
      <c r="G226" s="13">
        <f t="shared" si="61"/>
        <v>0</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60">
        <f t="shared" si="67"/>
        <v>0</v>
      </c>
      <c r="V226" s="2960">
        <f t="shared" si="68"/>
        <v>0</v>
      </c>
      <c r="W226" s="997"/>
      <c r="X226" s="2960">
        <f t="shared" si="69"/>
        <v>0</v>
      </c>
      <c r="Y226" s="2960">
        <f t="shared" si="70"/>
        <v>0</v>
      </c>
      <c r="Z226" s="997"/>
    </row>
    <row r="227" spans="1:26">
      <c r="A227" s="35"/>
      <c r="B227" s="20"/>
      <c r="C227" s="13">
        <f t="shared" si="59"/>
        <v>1</v>
      </c>
      <c r="D227" s="600"/>
      <c r="E227" s="13">
        <f t="shared" si="60"/>
        <v>0</v>
      </c>
      <c r="F227" s="600"/>
      <c r="G227" s="13">
        <f t="shared" si="61"/>
        <v>0</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60">
        <f t="shared" si="67"/>
        <v>0</v>
      </c>
      <c r="V227" s="2960">
        <f t="shared" si="68"/>
        <v>0</v>
      </c>
      <c r="W227" s="997"/>
      <c r="X227" s="2960">
        <f t="shared" si="69"/>
        <v>0</v>
      </c>
      <c r="Y227" s="2960">
        <f t="shared" si="70"/>
        <v>0</v>
      </c>
      <c r="Z227" s="997"/>
    </row>
    <row r="228" spans="1:26">
      <c r="A228" s="35"/>
      <c r="B228" s="20"/>
      <c r="C228" s="13">
        <f t="shared" si="59"/>
        <v>1</v>
      </c>
      <c r="D228" s="600"/>
      <c r="E228" s="13">
        <f t="shared" si="60"/>
        <v>0</v>
      </c>
      <c r="F228" s="600"/>
      <c r="G228" s="13">
        <f t="shared" si="61"/>
        <v>0</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60">
        <f t="shared" si="67"/>
        <v>0</v>
      </c>
      <c r="V228" s="2960">
        <f t="shared" si="68"/>
        <v>0</v>
      </c>
      <c r="W228" s="997"/>
      <c r="X228" s="2960">
        <f t="shared" si="69"/>
        <v>0</v>
      </c>
      <c r="Y228" s="2960">
        <f t="shared" si="70"/>
        <v>0</v>
      </c>
      <c r="Z228" s="997"/>
    </row>
    <row r="229" spans="1:26">
      <c r="A229" s="35"/>
      <c r="B229" s="20"/>
      <c r="C229" s="13">
        <f t="shared" si="59"/>
        <v>1</v>
      </c>
      <c r="D229" s="600"/>
      <c r="E229" s="13">
        <f t="shared" si="60"/>
        <v>0</v>
      </c>
      <c r="F229" s="600"/>
      <c r="G229" s="13">
        <f t="shared" si="61"/>
        <v>0</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60">
        <f t="shared" si="67"/>
        <v>0</v>
      </c>
      <c r="V229" s="2960">
        <f t="shared" si="68"/>
        <v>0</v>
      </c>
      <c r="W229" s="997"/>
      <c r="X229" s="2960">
        <f t="shared" si="69"/>
        <v>0</v>
      </c>
      <c r="Y229" s="2960">
        <f t="shared" si="70"/>
        <v>0</v>
      </c>
      <c r="Z229" s="997"/>
    </row>
    <row r="230" spans="1:26">
      <c r="A230" s="35"/>
      <c r="B230" s="20"/>
      <c r="C230" s="13">
        <f t="shared" si="59"/>
        <v>1</v>
      </c>
      <c r="D230" s="600"/>
      <c r="E230" s="13">
        <f t="shared" si="60"/>
        <v>0</v>
      </c>
      <c r="F230" s="600"/>
      <c r="G230" s="13">
        <f t="shared" si="61"/>
        <v>0</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60">
        <f t="shared" si="67"/>
        <v>0</v>
      </c>
      <c r="V230" s="2960">
        <f t="shared" si="68"/>
        <v>0</v>
      </c>
      <c r="W230" s="997"/>
      <c r="X230" s="2960">
        <f t="shared" si="69"/>
        <v>0</v>
      </c>
      <c r="Y230" s="2960">
        <f t="shared" si="70"/>
        <v>0</v>
      </c>
      <c r="Z230" s="997"/>
    </row>
    <row r="231" spans="1:26">
      <c r="A231" s="35"/>
      <c r="B231" s="20"/>
      <c r="C231" s="13">
        <f t="shared" si="59"/>
        <v>1</v>
      </c>
      <c r="D231" s="600"/>
      <c r="E231" s="13">
        <f t="shared" si="60"/>
        <v>0</v>
      </c>
      <c r="F231" s="600"/>
      <c r="G231" s="13">
        <f t="shared" si="61"/>
        <v>0</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60">
        <f t="shared" si="67"/>
        <v>0</v>
      </c>
      <c r="V231" s="2960">
        <f t="shared" si="68"/>
        <v>0</v>
      </c>
      <c r="W231" s="997"/>
      <c r="X231" s="2960">
        <f t="shared" si="69"/>
        <v>0</v>
      </c>
      <c r="Y231" s="2960">
        <f t="shared" si="70"/>
        <v>0</v>
      </c>
      <c r="Z231" s="997"/>
    </row>
    <row r="232" spans="1:26">
      <c r="A232" s="35"/>
      <c r="B232" s="20"/>
      <c r="C232" s="13">
        <f t="shared" si="59"/>
        <v>1</v>
      </c>
      <c r="D232" s="600"/>
      <c r="E232" s="13">
        <f t="shared" si="60"/>
        <v>0</v>
      </c>
      <c r="F232" s="600"/>
      <c r="G232" s="13">
        <f t="shared" si="61"/>
        <v>0</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60">
        <f t="shared" si="67"/>
        <v>0</v>
      </c>
      <c r="V232" s="2960">
        <f t="shared" si="68"/>
        <v>0</v>
      </c>
      <c r="W232" s="997"/>
      <c r="X232" s="2960">
        <f t="shared" si="69"/>
        <v>0</v>
      </c>
      <c r="Y232" s="2960">
        <f t="shared" si="70"/>
        <v>0</v>
      </c>
      <c r="Z232" s="997"/>
    </row>
    <row r="233" spans="1:26">
      <c r="A233" s="35"/>
      <c r="B233" s="20"/>
      <c r="C233" s="13">
        <f t="shared" si="59"/>
        <v>1</v>
      </c>
      <c r="D233" s="600"/>
      <c r="E233" s="13">
        <f t="shared" si="60"/>
        <v>0</v>
      </c>
      <c r="F233" s="600"/>
      <c r="G233" s="13">
        <f t="shared" si="61"/>
        <v>0</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60">
        <f t="shared" si="67"/>
        <v>0</v>
      </c>
      <c r="V233" s="2960">
        <f t="shared" si="68"/>
        <v>0</v>
      </c>
      <c r="W233" s="997"/>
      <c r="X233" s="2960">
        <f t="shared" si="69"/>
        <v>0</v>
      </c>
      <c r="Y233" s="2960">
        <f t="shared" si="70"/>
        <v>0</v>
      </c>
      <c r="Z233" s="997"/>
    </row>
    <row r="234" spans="1:26">
      <c r="A234" s="35"/>
      <c r="B234" s="20"/>
      <c r="C234" s="13">
        <f t="shared" si="59"/>
        <v>1</v>
      </c>
      <c r="D234" s="600"/>
      <c r="E234" s="13">
        <f t="shared" si="60"/>
        <v>0</v>
      </c>
      <c r="F234" s="600"/>
      <c r="G234" s="13">
        <f t="shared" si="61"/>
        <v>0</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60">
        <f t="shared" si="67"/>
        <v>0</v>
      </c>
      <c r="V234" s="2960">
        <f t="shared" si="68"/>
        <v>0</v>
      </c>
      <c r="W234" s="997"/>
      <c r="X234" s="2960">
        <f t="shared" si="69"/>
        <v>0</v>
      </c>
      <c r="Y234" s="2960">
        <f t="shared" si="70"/>
        <v>0</v>
      </c>
      <c r="Z234" s="997"/>
    </row>
    <row r="235" spans="1:26">
      <c r="A235" s="35"/>
      <c r="B235" s="20"/>
      <c r="C235" s="13">
        <f t="shared" si="59"/>
        <v>1</v>
      </c>
      <c r="D235" s="600"/>
      <c r="E235" s="13">
        <f t="shared" si="60"/>
        <v>0</v>
      </c>
      <c r="F235" s="600"/>
      <c r="G235" s="13">
        <f t="shared" si="61"/>
        <v>0</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60">
        <f t="shared" si="67"/>
        <v>0</v>
      </c>
      <c r="V235" s="2960">
        <f t="shared" si="68"/>
        <v>0</v>
      </c>
      <c r="W235" s="997"/>
      <c r="X235" s="2960">
        <f t="shared" si="69"/>
        <v>0</v>
      </c>
      <c r="Y235" s="2960">
        <f t="shared" si="70"/>
        <v>0</v>
      </c>
      <c r="Z235" s="997"/>
    </row>
    <row r="236" spans="1:26">
      <c r="A236" s="35"/>
      <c r="B236" s="20"/>
      <c r="C236" s="13">
        <f t="shared" si="59"/>
        <v>1</v>
      </c>
      <c r="D236" s="600"/>
      <c r="E236" s="13">
        <f t="shared" si="60"/>
        <v>0</v>
      </c>
      <c r="F236" s="600"/>
      <c r="G236" s="13">
        <f t="shared" si="61"/>
        <v>0</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60">
        <f t="shared" si="67"/>
        <v>0</v>
      </c>
      <c r="V236" s="2960">
        <f t="shared" si="68"/>
        <v>0</v>
      </c>
      <c r="W236" s="997"/>
      <c r="X236" s="2960">
        <f t="shared" si="69"/>
        <v>0</v>
      </c>
      <c r="Y236" s="2960">
        <f t="shared" si="70"/>
        <v>0</v>
      </c>
      <c r="Z236" s="997"/>
    </row>
    <row r="237" spans="1:26">
      <c r="A237" s="35"/>
      <c r="B237" s="20"/>
      <c r="C237" s="13">
        <f t="shared" si="59"/>
        <v>1</v>
      </c>
      <c r="D237" s="600"/>
      <c r="E237" s="13">
        <f t="shared" si="60"/>
        <v>0</v>
      </c>
      <c r="F237" s="600"/>
      <c r="G237" s="13">
        <f t="shared" si="61"/>
        <v>0</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60">
        <f t="shared" si="67"/>
        <v>0</v>
      </c>
      <c r="V237" s="2960">
        <f t="shared" si="68"/>
        <v>0</v>
      </c>
      <c r="W237" s="997"/>
      <c r="X237" s="2960">
        <f t="shared" si="69"/>
        <v>0</v>
      </c>
      <c r="Y237" s="2960">
        <f t="shared" si="70"/>
        <v>0</v>
      </c>
      <c r="Z237" s="997"/>
    </row>
    <row r="238" spans="1:26">
      <c r="A238" s="35"/>
      <c r="B238" s="20"/>
      <c r="C238" s="13">
        <f t="shared" si="59"/>
        <v>1</v>
      </c>
      <c r="D238" s="600"/>
      <c r="E238" s="13">
        <f t="shared" si="60"/>
        <v>0</v>
      </c>
      <c r="F238" s="600"/>
      <c r="G238" s="13">
        <f t="shared" si="61"/>
        <v>0</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60">
        <f t="shared" si="67"/>
        <v>0</v>
      </c>
      <c r="V238" s="2960">
        <f t="shared" si="68"/>
        <v>0</v>
      </c>
      <c r="W238" s="997"/>
      <c r="X238" s="2960">
        <f t="shared" si="69"/>
        <v>0</v>
      </c>
      <c r="Y238" s="2960">
        <f t="shared" si="70"/>
        <v>0</v>
      </c>
      <c r="Z238" s="997"/>
    </row>
    <row r="239" spans="1:26">
      <c r="A239" s="35"/>
      <c r="B239" s="20"/>
      <c r="C239" s="13">
        <f t="shared" si="59"/>
        <v>1</v>
      </c>
      <c r="D239" s="600"/>
      <c r="E239" s="13">
        <f t="shared" si="60"/>
        <v>0</v>
      </c>
      <c r="F239" s="600"/>
      <c r="G239" s="13">
        <f t="shared" si="61"/>
        <v>0</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60">
        <f t="shared" si="67"/>
        <v>0</v>
      </c>
      <c r="V239" s="2960">
        <f t="shared" si="68"/>
        <v>0</v>
      </c>
      <c r="W239" s="997"/>
      <c r="X239" s="2960">
        <f t="shared" si="69"/>
        <v>0</v>
      </c>
      <c r="Y239" s="2960">
        <f t="shared" si="70"/>
        <v>0</v>
      </c>
      <c r="Z239" s="997"/>
    </row>
    <row r="240" spans="1:26">
      <c r="A240" s="35"/>
      <c r="B240" s="20"/>
      <c r="C240" s="13">
        <f t="shared" si="59"/>
        <v>1</v>
      </c>
      <c r="D240" s="600"/>
      <c r="E240" s="13">
        <f t="shared" si="60"/>
        <v>0</v>
      </c>
      <c r="F240" s="600"/>
      <c r="G240" s="13">
        <f t="shared" si="61"/>
        <v>0</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60">
        <f t="shared" si="67"/>
        <v>0</v>
      </c>
      <c r="V240" s="2960">
        <f t="shared" si="68"/>
        <v>0</v>
      </c>
      <c r="W240" s="997"/>
      <c r="X240" s="2960">
        <f t="shared" si="69"/>
        <v>0</v>
      </c>
      <c r="Y240" s="2960">
        <f t="shared" si="70"/>
        <v>0</v>
      </c>
      <c r="Z240" s="997"/>
    </row>
    <row r="241" spans="1:26">
      <c r="A241" s="35"/>
      <c r="B241" s="20"/>
      <c r="C241" s="13">
        <f t="shared" si="59"/>
        <v>1</v>
      </c>
      <c r="D241" s="600"/>
      <c r="E241" s="13">
        <f t="shared" si="60"/>
        <v>0</v>
      </c>
      <c r="F241" s="600"/>
      <c r="G241" s="13">
        <f t="shared" si="61"/>
        <v>0</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60">
        <f t="shared" si="67"/>
        <v>0</v>
      </c>
      <c r="V241" s="2960">
        <f t="shared" si="68"/>
        <v>0</v>
      </c>
      <c r="W241" s="997"/>
      <c r="X241" s="2960">
        <f t="shared" si="69"/>
        <v>0</v>
      </c>
      <c r="Y241" s="2960">
        <f t="shared" si="70"/>
        <v>0</v>
      </c>
      <c r="Z241" s="997"/>
    </row>
    <row r="242" spans="1:26">
      <c r="A242" s="35"/>
      <c r="B242" s="20"/>
      <c r="C242" s="13">
        <f t="shared" si="59"/>
        <v>1</v>
      </c>
      <c r="D242" s="600"/>
      <c r="E242" s="13">
        <f t="shared" si="60"/>
        <v>0</v>
      </c>
      <c r="F242" s="600"/>
      <c r="G242" s="13">
        <f t="shared" si="61"/>
        <v>0</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60">
        <f t="shared" si="67"/>
        <v>0</v>
      </c>
      <c r="V242" s="2960">
        <f t="shared" si="68"/>
        <v>0</v>
      </c>
      <c r="W242" s="997"/>
      <c r="X242" s="2960">
        <f t="shared" si="69"/>
        <v>0</v>
      </c>
      <c r="Y242" s="2960">
        <f t="shared" si="70"/>
        <v>0</v>
      </c>
      <c r="Z242" s="997"/>
    </row>
    <row r="243" spans="1:26">
      <c r="A243" s="35"/>
      <c r="B243" s="20"/>
      <c r="C243" s="13">
        <f t="shared" si="59"/>
        <v>1</v>
      </c>
      <c r="D243" s="600"/>
      <c r="E243" s="13">
        <f t="shared" si="60"/>
        <v>0</v>
      </c>
      <c r="F243" s="600"/>
      <c r="G243" s="13">
        <f t="shared" si="61"/>
        <v>0</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60">
        <f t="shared" si="67"/>
        <v>0</v>
      </c>
      <c r="V243" s="2960">
        <f t="shared" si="68"/>
        <v>0</v>
      </c>
      <c r="W243" s="997"/>
      <c r="X243" s="2960">
        <f t="shared" si="69"/>
        <v>0</v>
      </c>
      <c r="Y243" s="2960">
        <f t="shared" si="70"/>
        <v>0</v>
      </c>
      <c r="Z243" s="997"/>
    </row>
    <row r="244" spans="1:26">
      <c r="A244" s="35"/>
      <c r="B244" s="20"/>
      <c r="C244" s="13">
        <f t="shared" si="59"/>
        <v>1</v>
      </c>
      <c r="D244" s="600"/>
      <c r="E244" s="13">
        <f t="shared" si="60"/>
        <v>0</v>
      </c>
      <c r="F244" s="600"/>
      <c r="G244" s="13">
        <f t="shared" si="61"/>
        <v>0</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60">
        <f t="shared" si="67"/>
        <v>0</v>
      </c>
      <c r="V244" s="2960">
        <f t="shared" si="68"/>
        <v>0</v>
      </c>
      <c r="W244" s="997"/>
      <c r="X244" s="2960">
        <f t="shared" si="69"/>
        <v>0</v>
      </c>
      <c r="Y244" s="2960">
        <f t="shared" si="70"/>
        <v>0</v>
      </c>
      <c r="Z244" s="997"/>
    </row>
    <row r="245" spans="1:26">
      <c r="A245" s="35"/>
      <c r="B245" s="20"/>
      <c r="C245" s="13">
        <f t="shared" si="59"/>
        <v>1</v>
      </c>
      <c r="D245" s="600"/>
      <c r="E245" s="13">
        <f t="shared" si="60"/>
        <v>0</v>
      </c>
      <c r="F245" s="600"/>
      <c r="G245" s="13">
        <f t="shared" si="61"/>
        <v>0</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60">
        <f t="shared" si="67"/>
        <v>0</v>
      </c>
      <c r="V245" s="2960">
        <f t="shared" si="68"/>
        <v>0</v>
      </c>
      <c r="W245" s="997"/>
      <c r="X245" s="2960">
        <f t="shared" si="69"/>
        <v>0</v>
      </c>
      <c r="Y245" s="2960">
        <f t="shared" si="70"/>
        <v>0</v>
      </c>
      <c r="Z245" s="997"/>
    </row>
    <row r="246" spans="1:26">
      <c r="A246" s="35"/>
      <c r="B246" s="20"/>
      <c r="C246" s="13">
        <f t="shared" si="59"/>
        <v>1</v>
      </c>
      <c r="D246" s="600"/>
      <c r="E246" s="13">
        <f t="shared" si="60"/>
        <v>0</v>
      </c>
      <c r="F246" s="600"/>
      <c r="G246" s="13">
        <f t="shared" si="61"/>
        <v>0</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60">
        <f t="shared" si="67"/>
        <v>0</v>
      </c>
      <c r="V246" s="2960">
        <f t="shared" si="68"/>
        <v>0</v>
      </c>
      <c r="W246" s="997"/>
      <c r="X246" s="2960">
        <f t="shared" si="69"/>
        <v>0</v>
      </c>
      <c r="Y246" s="2960">
        <f t="shared" si="70"/>
        <v>0</v>
      </c>
      <c r="Z246" s="997"/>
    </row>
    <row r="247" spans="1:26">
      <c r="A247" s="35"/>
      <c r="B247" s="20"/>
      <c r="C247" s="13">
        <f t="shared" si="59"/>
        <v>1</v>
      </c>
      <c r="D247" s="600"/>
      <c r="E247" s="13">
        <f t="shared" si="60"/>
        <v>0</v>
      </c>
      <c r="F247" s="600"/>
      <c r="G247" s="13">
        <f t="shared" si="61"/>
        <v>0</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60">
        <f t="shared" si="67"/>
        <v>0</v>
      </c>
      <c r="V247" s="2960">
        <f t="shared" si="68"/>
        <v>0</v>
      </c>
      <c r="W247" s="997"/>
      <c r="X247" s="2960">
        <f t="shared" si="69"/>
        <v>0</v>
      </c>
      <c r="Y247" s="2960">
        <f t="shared" si="70"/>
        <v>0</v>
      </c>
      <c r="Z247" s="997"/>
    </row>
    <row r="248" spans="1:26">
      <c r="A248" s="35"/>
      <c r="B248" s="20"/>
      <c r="C248" s="13">
        <f t="shared" si="59"/>
        <v>1</v>
      </c>
      <c r="D248" s="600"/>
      <c r="E248" s="13">
        <f t="shared" si="60"/>
        <v>0</v>
      </c>
      <c r="F248" s="600"/>
      <c r="G248" s="13">
        <f t="shared" si="61"/>
        <v>0</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60">
        <f t="shared" si="67"/>
        <v>0</v>
      </c>
      <c r="V248" s="2960">
        <f t="shared" si="68"/>
        <v>0</v>
      </c>
      <c r="W248" s="997"/>
      <c r="X248" s="2960">
        <f t="shared" si="69"/>
        <v>0</v>
      </c>
      <c r="Y248" s="2960">
        <f t="shared" si="70"/>
        <v>0</v>
      </c>
      <c r="Z248" s="997"/>
    </row>
    <row r="249" spans="1:26">
      <c r="A249" s="35"/>
      <c r="B249" s="20"/>
      <c r="C249" s="13">
        <f t="shared" si="59"/>
        <v>1</v>
      </c>
      <c r="D249" s="600"/>
      <c r="E249" s="13">
        <f t="shared" si="60"/>
        <v>0</v>
      </c>
      <c r="F249" s="600"/>
      <c r="G249" s="13">
        <f t="shared" si="61"/>
        <v>0</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60">
        <f t="shared" si="67"/>
        <v>0</v>
      </c>
      <c r="V249" s="2960">
        <f t="shared" si="68"/>
        <v>0</v>
      </c>
      <c r="W249" s="997"/>
      <c r="X249" s="2960">
        <f t="shared" si="69"/>
        <v>0</v>
      </c>
      <c r="Y249" s="2960">
        <f t="shared" si="70"/>
        <v>0</v>
      </c>
      <c r="Z249" s="997"/>
    </row>
    <row r="250" spans="1:26">
      <c r="A250" s="35"/>
      <c r="B250" s="20"/>
      <c r="C250" s="13">
        <f t="shared" si="59"/>
        <v>1</v>
      </c>
      <c r="D250" s="600"/>
      <c r="E250" s="13">
        <f t="shared" si="60"/>
        <v>0</v>
      </c>
      <c r="F250" s="600"/>
      <c r="G250" s="13">
        <f t="shared" si="61"/>
        <v>0</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60">
        <f t="shared" si="67"/>
        <v>0</v>
      </c>
      <c r="V250" s="2960">
        <f t="shared" si="68"/>
        <v>0</v>
      </c>
      <c r="W250" s="997"/>
      <c r="X250" s="2960">
        <f t="shared" si="69"/>
        <v>0</v>
      </c>
      <c r="Y250" s="2960">
        <f t="shared" si="70"/>
        <v>0</v>
      </c>
      <c r="Z250" s="997"/>
    </row>
    <row r="251" spans="1:26">
      <c r="A251" s="35"/>
      <c r="B251" s="20"/>
      <c r="C251" s="13">
        <f t="shared" si="59"/>
        <v>1</v>
      </c>
      <c r="D251" s="600"/>
      <c r="E251" s="13">
        <f t="shared" si="60"/>
        <v>0</v>
      </c>
      <c r="F251" s="600"/>
      <c r="G251" s="13">
        <f t="shared" si="61"/>
        <v>0</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60">
        <f t="shared" si="67"/>
        <v>0</v>
      </c>
      <c r="V251" s="2960">
        <f t="shared" si="68"/>
        <v>0</v>
      </c>
      <c r="W251" s="997"/>
      <c r="X251" s="2960">
        <f t="shared" si="69"/>
        <v>0</v>
      </c>
      <c r="Y251" s="2960">
        <f t="shared" si="70"/>
        <v>0</v>
      </c>
      <c r="Z251" s="997"/>
    </row>
    <row r="252" spans="1:26">
      <c r="A252" s="35"/>
      <c r="B252" s="20"/>
      <c r="C252" s="13">
        <f t="shared" si="59"/>
        <v>1</v>
      </c>
      <c r="D252" s="600"/>
      <c r="E252" s="13">
        <f t="shared" si="60"/>
        <v>0</v>
      </c>
      <c r="F252" s="600"/>
      <c r="G252" s="13">
        <f t="shared" si="61"/>
        <v>0</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60">
        <f t="shared" si="67"/>
        <v>0</v>
      </c>
      <c r="V252" s="2960">
        <f t="shared" si="68"/>
        <v>0</v>
      </c>
      <c r="W252" s="997"/>
      <c r="X252" s="2960">
        <f t="shared" si="69"/>
        <v>0</v>
      </c>
      <c r="Y252" s="2960">
        <f t="shared" si="70"/>
        <v>0</v>
      </c>
      <c r="Z252" s="997"/>
    </row>
    <row r="253" spans="1:26">
      <c r="A253" s="35"/>
      <c r="B253" s="20"/>
      <c r="C253" s="13">
        <f t="shared" si="59"/>
        <v>1</v>
      </c>
      <c r="D253" s="600"/>
      <c r="E253" s="13">
        <f t="shared" si="60"/>
        <v>0</v>
      </c>
      <c r="F253" s="600"/>
      <c r="G253" s="13">
        <f t="shared" si="61"/>
        <v>0</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60">
        <f t="shared" si="67"/>
        <v>0</v>
      </c>
      <c r="V253" s="2960">
        <f t="shared" si="68"/>
        <v>0</v>
      </c>
      <c r="W253" s="997"/>
      <c r="X253" s="2960">
        <f t="shared" si="69"/>
        <v>0</v>
      </c>
      <c r="Y253" s="2960">
        <f t="shared" si="70"/>
        <v>0</v>
      </c>
      <c r="Z253" s="997"/>
    </row>
    <row r="254" spans="1:26">
      <c r="A254" s="35"/>
      <c r="B254" s="20"/>
      <c r="C254" s="13">
        <f t="shared" si="59"/>
        <v>1</v>
      </c>
      <c r="D254" s="600"/>
      <c r="E254" s="13">
        <f t="shared" si="60"/>
        <v>0</v>
      </c>
      <c r="F254" s="600"/>
      <c r="G254" s="13">
        <f t="shared" si="61"/>
        <v>0</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60">
        <f t="shared" si="67"/>
        <v>0</v>
      </c>
      <c r="V254" s="2960">
        <f t="shared" si="68"/>
        <v>0</v>
      </c>
      <c r="W254" s="997"/>
      <c r="X254" s="2960">
        <f t="shared" si="69"/>
        <v>0</v>
      </c>
      <c r="Y254" s="2960">
        <f t="shared" si="70"/>
        <v>0</v>
      </c>
      <c r="Z254" s="997"/>
    </row>
    <row r="255" spans="1:26">
      <c r="A255" s="35"/>
      <c r="B255" s="20"/>
      <c r="C255" s="13">
        <f t="shared" si="59"/>
        <v>1</v>
      </c>
      <c r="D255" s="600"/>
      <c r="E255" s="13">
        <f t="shared" si="60"/>
        <v>0</v>
      </c>
      <c r="F255" s="600"/>
      <c r="G255" s="13">
        <f t="shared" si="61"/>
        <v>0</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60">
        <f t="shared" si="67"/>
        <v>0</v>
      </c>
      <c r="V255" s="2960">
        <f t="shared" si="68"/>
        <v>0</v>
      </c>
      <c r="W255" s="997"/>
      <c r="X255" s="2960">
        <f t="shared" si="69"/>
        <v>0</v>
      </c>
      <c r="Y255" s="2960">
        <f t="shared" si="70"/>
        <v>0</v>
      </c>
      <c r="Z255" s="997"/>
    </row>
    <row r="256" spans="1:26">
      <c r="A256" s="35"/>
      <c r="B256" s="20"/>
      <c r="C256" s="13">
        <f t="shared" si="59"/>
        <v>1</v>
      </c>
      <c r="D256" s="600"/>
      <c r="E256" s="13">
        <f t="shared" si="60"/>
        <v>0</v>
      </c>
      <c r="F256" s="600"/>
      <c r="G256" s="13">
        <f t="shared" si="61"/>
        <v>0</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60">
        <f t="shared" si="67"/>
        <v>0</v>
      </c>
      <c r="V256" s="2960">
        <f t="shared" si="68"/>
        <v>0</v>
      </c>
      <c r="W256" s="997"/>
      <c r="X256" s="2960">
        <f t="shared" si="69"/>
        <v>0</v>
      </c>
      <c r="Y256" s="2960">
        <f t="shared" si="70"/>
        <v>0</v>
      </c>
      <c r="Z256" s="997"/>
    </row>
    <row r="257" spans="1:26">
      <c r="A257" s="35"/>
      <c r="B257" s="20"/>
      <c r="C257" s="13">
        <f t="shared" si="59"/>
        <v>1</v>
      </c>
      <c r="D257" s="600"/>
      <c r="E257" s="13">
        <f t="shared" si="60"/>
        <v>0</v>
      </c>
      <c r="F257" s="600"/>
      <c r="G257" s="13">
        <f t="shared" si="61"/>
        <v>0</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60">
        <f t="shared" si="67"/>
        <v>0</v>
      </c>
      <c r="V257" s="2960">
        <f t="shared" si="68"/>
        <v>0</v>
      </c>
      <c r="W257" s="997"/>
      <c r="X257" s="2960">
        <f t="shared" si="69"/>
        <v>0</v>
      </c>
      <c r="Y257" s="2960">
        <f t="shared" si="70"/>
        <v>0</v>
      </c>
      <c r="Z257" s="997"/>
    </row>
    <row r="258" spans="1:26">
      <c r="A258" s="35"/>
      <c r="B258" s="20"/>
      <c r="C258" s="13">
        <f t="shared" si="59"/>
        <v>1</v>
      </c>
      <c r="D258" s="600"/>
      <c r="E258" s="13">
        <f t="shared" si="60"/>
        <v>0</v>
      </c>
      <c r="F258" s="600"/>
      <c r="G258" s="13">
        <f t="shared" si="61"/>
        <v>0</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60">
        <f t="shared" si="67"/>
        <v>0</v>
      </c>
      <c r="V258" s="2960">
        <f t="shared" si="68"/>
        <v>0</v>
      </c>
      <c r="W258" s="997"/>
      <c r="X258" s="2960">
        <f t="shared" si="69"/>
        <v>0</v>
      </c>
      <c r="Y258" s="2960">
        <f t="shared" si="70"/>
        <v>0</v>
      </c>
      <c r="Z258" s="997"/>
    </row>
    <row r="259" spans="1:26">
      <c r="A259" s="35"/>
      <c r="B259" s="20"/>
      <c r="C259" s="13">
        <f t="shared" si="59"/>
        <v>1</v>
      </c>
      <c r="D259" s="600"/>
      <c r="E259" s="13">
        <f t="shared" si="60"/>
        <v>0</v>
      </c>
      <c r="F259" s="600"/>
      <c r="G259" s="13">
        <f t="shared" si="61"/>
        <v>0</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60">
        <f t="shared" si="67"/>
        <v>0</v>
      </c>
      <c r="V259" s="2960">
        <f t="shared" si="68"/>
        <v>0</v>
      </c>
      <c r="W259" s="997"/>
      <c r="X259" s="2960">
        <f t="shared" si="69"/>
        <v>0</v>
      </c>
      <c r="Y259" s="2960">
        <f t="shared" si="70"/>
        <v>0</v>
      </c>
      <c r="Z259" s="997"/>
    </row>
    <row r="260" spans="1:26">
      <c r="A260" s="35"/>
      <c r="B260" s="20"/>
      <c r="C260" s="13">
        <f t="shared" si="59"/>
        <v>1</v>
      </c>
      <c r="D260" s="600"/>
      <c r="E260" s="13">
        <f t="shared" si="60"/>
        <v>0</v>
      </c>
      <c r="F260" s="600"/>
      <c r="G260" s="13">
        <f t="shared" si="61"/>
        <v>0</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60">
        <f t="shared" si="67"/>
        <v>0</v>
      </c>
      <c r="V260" s="2960">
        <f t="shared" si="68"/>
        <v>0</v>
      </c>
      <c r="W260" s="997"/>
      <c r="X260" s="2960">
        <f t="shared" si="69"/>
        <v>0</v>
      </c>
      <c r="Y260" s="2960">
        <f t="shared" si="70"/>
        <v>0</v>
      </c>
      <c r="Z260" s="997"/>
    </row>
    <row r="261" spans="1:26">
      <c r="A261" s="35"/>
      <c r="B261" s="20"/>
      <c r="C261" s="13">
        <f t="shared" si="59"/>
        <v>1</v>
      </c>
      <c r="D261" s="600"/>
      <c r="E261" s="13">
        <f t="shared" si="60"/>
        <v>0</v>
      </c>
      <c r="F261" s="600"/>
      <c r="G261" s="13">
        <f t="shared" si="61"/>
        <v>0</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60">
        <f t="shared" si="67"/>
        <v>0</v>
      </c>
      <c r="V261" s="2960">
        <f t="shared" si="68"/>
        <v>0</v>
      </c>
      <c r="W261" s="997"/>
      <c r="X261" s="2960">
        <f t="shared" si="69"/>
        <v>0</v>
      </c>
      <c r="Y261" s="2960">
        <f t="shared" si="70"/>
        <v>0</v>
      </c>
      <c r="Z261" s="997"/>
    </row>
    <row r="262" spans="1:26">
      <c r="A262" s="35"/>
      <c r="B262" s="20"/>
      <c r="C262" s="13">
        <f t="shared" si="59"/>
        <v>1</v>
      </c>
      <c r="D262" s="600"/>
      <c r="E262" s="13">
        <f t="shared" si="60"/>
        <v>0</v>
      </c>
      <c r="F262" s="600"/>
      <c r="G262" s="13">
        <f t="shared" si="61"/>
        <v>0</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60">
        <f t="shared" si="67"/>
        <v>0</v>
      </c>
      <c r="V262" s="2960">
        <f t="shared" si="68"/>
        <v>0</v>
      </c>
      <c r="W262" s="997"/>
      <c r="X262" s="2960">
        <f t="shared" si="69"/>
        <v>0</v>
      </c>
      <c r="Y262" s="2960">
        <f t="shared" si="70"/>
        <v>0</v>
      </c>
      <c r="Z262" s="997"/>
    </row>
    <row r="263" spans="1:26">
      <c r="A263" s="35"/>
      <c r="B263" s="20"/>
      <c r="C263" s="13">
        <f t="shared" si="59"/>
        <v>1</v>
      </c>
      <c r="D263" s="600"/>
      <c r="E263" s="13">
        <f t="shared" si="60"/>
        <v>0</v>
      </c>
      <c r="F263" s="600"/>
      <c r="G263" s="13">
        <f t="shared" si="61"/>
        <v>0</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60">
        <f t="shared" si="67"/>
        <v>0</v>
      </c>
      <c r="V263" s="2960">
        <f t="shared" si="68"/>
        <v>0</v>
      </c>
      <c r="W263" s="997"/>
      <c r="X263" s="2960">
        <f t="shared" si="69"/>
        <v>0</v>
      </c>
      <c r="Y263" s="2960">
        <f t="shared" si="70"/>
        <v>0</v>
      </c>
      <c r="Z263" s="997"/>
    </row>
    <row r="264" spans="1:26">
      <c r="A264" s="35"/>
      <c r="B264" s="20"/>
      <c r="C264" s="13">
        <f t="shared" si="59"/>
        <v>1</v>
      </c>
      <c r="D264" s="600"/>
      <c r="E264" s="13">
        <f t="shared" si="60"/>
        <v>0</v>
      </c>
      <c r="F264" s="600"/>
      <c r="G264" s="13">
        <f t="shared" si="61"/>
        <v>0</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60">
        <f t="shared" si="67"/>
        <v>0</v>
      </c>
      <c r="V264" s="2960">
        <f t="shared" si="68"/>
        <v>0</v>
      </c>
      <c r="W264" s="997"/>
      <c r="X264" s="2960">
        <f t="shared" si="69"/>
        <v>0</v>
      </c>
      <c r="Y264" s="2960">
        <f t="shared" si="70"/>
        <v>0</v>
      </c>
      <c r="Z264" s="997"/>
    </row>
    <row r="265" spans="1:26">
      <c r="A265" s="35"/>
      <c r="B265" s="20"/>
      <c r="C265" s="13">
        <f t="shared" si="59"/>
        <v>1</v>
      </c>
      <c r="D265" s="600"/>
      <c r="E265" s="13">
        <f t="shared" si="60"/>
        <v>0</v>
      </c>
      <c r="F265" s="600"/>
      <c r="G265" s="13">
        <f t="shared" si="61"/>
        <v>0</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60">
        <f t="shared" si="67"/>
        <v>0</v>
      </c>
      <c r="V265" s="2960">
        <f t="shared" si="68"/>
        <v>0</v>
      </c>
      <c r="W265" s="997"/>
      <c r="X265" s="2960">
        <f t="shared" si="69"/>
        <v>0</v>
      </c>
      <c r="Y265" s="2960">
        <f t="shared" si="70"/>
        <v>0</v>
      </c>
      <c r="Z265" s="997"/>
    </row>
    <row r="266" spans="1:26">
      <c r="A266" s="35"/>
      <c r="B266" s="20"/>
      <c r="C266" s="13">
        <f t="shared" si="59"/>
        <v>1</v>
      </c>
      <c r="D266" s="600"/>
      <c r="E266" s="13">
        <f t="shared" si="60"/>
        <v>0</v>
      </c>
      <c r="F266" s="600"/>
      <c r="G266" s="13">
        <f t="shared" si="61"/>
        <v>0</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60">
        <f t="shared" si="67"/>
        <v>0</v>
      </c>
      <c r="V266" s="2960">
        <f t="shared" si="68"/>
        <v>0</v>
      </c>
      <c r="W266" s="997"/>
      <c r="X266" s="2960">
        <f t="shared" si="69"/>
        <v>0</v>
      </c>
      <c r="Y266" s="2960">
        <f t="shared" si="70"/>
        <v>0</v>
      </c>
      <c r="Z266" s="997"/>
    </row>
    <row r="267" spans="1:26">
      <c r="A267" s="35"/>
      <c r="B267" s="20"/>
      <c r="C267" s="13">
        <f t="shared" si="59"/>
        <v>1</v>
      </c>
      <c r="D267" s="600"/>
      <c r="E267" s="13">
        <f t="shared" si="60"/>
        <v>0</v>
      </c>
      <c r="F267" s="600"/>
      <c r="G267" s="13">
        <f t="shared" si="61"/>
        <v>0</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60">
        <f t="shared" si="67"/>
        <v>0</v>
      </c>
      <c r="V267" s="2960">
        <f t="shared" si="68"/>
        <v>0</v>
      </c>
      <c r="W267" s="997"/>
      <c r="X267" s="2960">
        <f t="shared" si="69"/>
        <v>0</v>
      </c>
      <c r="Y267" s="2960">
        <f t="shared" si="70"/>
        <v>0</v>
      </c>
      <c r="Z267" s="997"/>
    </row>
    <row r="268" spans="1:26">
      <c r="A268" s="35"/>
      <c r="B268" s="20"/>
      <c r="C268" s="13">
        <f t="shared" si="59"/>
        <v>1</v>
      </c>
      <c r="D268" s="600"/>
      <c r="E268" s="13">
        <f t="shared" si="60"/>
        <v>0</v>
      </c>
      <c r="F268" s="600"/>
      <c r="G268" s="13">
        <f t="shared" si="61"/>
        <v>0</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60">
        <f t="shared" si="67"/>
        <v>0</v>
      </c>
      <c r="V268" s="2960">
        <f t="shared" si="68"/>
        <v>0</v>
      </c>
      <c r="W268" s="997"/>
      <c r="X268" s="2960">
        <f t="shared" si="69"/>
        <v>0</v>
      </c>
      <c r="Y268" s="2960">
        <f t="shared" si="70"/>
        <v>0</v>
      </c>
      <c r="Z268" s="997"/>
    </row>
    <row r="269" spans="1:26">
      <c r="A269" s="35"/>
      <c r="B269" s="20"/>
      <c r="C269" s="13">
        <f t="shared" si="59"/>
        <v>1</v>
      </c>
      <c r="D269" s="600"/>
      <c r="E269" s="13">
        <f t="shared" si="60"/>
        <v>0</v>
      </c>
      <c r="F269" s="600"/>
      <c r="G269" s="13">
        <f t="shared" si="61"/>
        <v>0</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60">
        <f t="shared" si="67"/>
        <v>0</v>
      </c>
      <c r="V269" s="2960">
        <f t="shared" si="68"/>
        <v>0</v>
      </c>
      <c r="W269" s="997"/>
      <c r="X269" s="2960">
        <f t="shared" si="69"/>
        <v>0</v>
      </c>
      <c r="Y269" s="2960">
        <f t="shared" si="70"/>
        <v>0</v>
      </c>
      <c r="Z269" s="997"/>
    </row>
    <row r="270" spans="1:26">
      <c r="A270" s="35"/>
      <c r="B270" s="20"/>
      <c r="C270" s="13">
        <f t="shared" si="59"/>
        <v>1</v>
      </c>
      <c r="D270" s="600"/>
      <c r="E270" s="13">
        <f t="shared" si="60"/>
        <v>0</v>
      </c>
      <c r="F270" s="600"/>
      <c r="G270" s="13">
        <f t="shared" si="61"/>
        <v>0</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60">
        <f t="shared" si="67"/>
        <v>0</v>
      </c>
      <c r="V270" s="2960">
        <f t="shared" si="68"/>
        <v>0</v>
      </c>
      <c r="W270" s="997"/>
      <c r="X270" s="2960">
        <f t="shared" si="69"/>
        <v>0</v>
      </c>
      <c r="Y270" s="2960">
        <f t="shared" si="70"/>
        <v>0</v>
      </c>
      <c r="Z270" s="997"/>
    </row>
    <row r="271" spans="1:26">
      <c r="A271" s="35"/>
      <c r="B271" s="20"/>
      <c r="C271" s="13">
        <f t="shared" si="59"/>
        <v>1</v>
      </c>
      <c r="D271" s="600"/>
      <c r="E271" s="13">
        <f t="shared" si="60"/>
        <v>0</v>
      </c>
      <c r="F271" s="600"/>
      <c r="G271" s="13">
        <f t="shared" si="61"/>
        <v>0</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60">
        <f t="shared" si="67"/>
        <v>0</v>
      </c>
      <c r="V271" s="2960">
        <f t="shared" si="68"/>
        <v>0</v>
      </c>
      <c r="W271" s="997"/>
      <c r="X271" s="2960">
        <f t="shared" si="69"/>
        <v>0</v>
      </c>
      <c r="Y271" s="2960">
        <f t="shared" si="70"/>
        <v>0</v>
      </c>
      <c r="Z271" s="997"/>
    </row>
    <row r="272" spans="1:26">
      <c r="A272" s="35"/>
      <c r="B272" s="20"/>
      <c r="C272" s="13">
        <f t="shared" si="59"/>
        <v>1</v>
      </c>
      <c r="D272" s="600"/>
      <c r="E272" s="13">
        <f t="shared" si="60"/>
        <v>0</v>
      </c>
      <c r="F272" s="600"/>
      <c r="G272" s="13">
        <f t="shared" si="61"/>
        <v>0</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60">
        <f t="shared" si="67"/>
        <v>0</v>
      </c>
      <c r="V272" s="2960">
        <f t="shared" si="68"/>
        <v>0</v>
      </c>
      <c r="W272" s="997"/>
      <c r="X272" s="2960">
        <f t="shared" si="69"/>
        <v>0</v>
      </c>
      <c r="Y272" s="2960">
        <f t="shared" si="70"/>
        <v>0</v>
      </c>
      <c r="Z272" s="997"/>
    </row>
    <row r="273" spans="1:26">
      <c r="A273" s="35"/>
      <c r="B273" s="20"/>
      <c r="C273" s="13">
        <f t="shared" si="59"/>
        <v>1</v>
      </c>
      <c r="D273" s="600"/>
      <c r="E273" s="13">
        <f t="shared" si="60"/>
        <v>0</v>
      </c>
      <c r="F273" s="600"/>
      <c r="G273" s="13">
        <f t="shared" si="61"/>
        <v>0</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60">
        <f t="shared" si="67"/>
        <v>0</v>
      </c>
      <c r="V273" s="2960">
        <f t="shared" si="68"/>
        <v>0</v>
      </c>
      <c r="W273" s="997"/>
      <c r="X273" s="2960">
        <f t="shared" si="69"/>
        <v>0</v>
      </c>
      <c r="Y273" s="2960">
        <f t="shared" si="70"/>
        <v>0</v>
      </c>
      <c r="Z273" s="997"/>
    </row>
    <row r="274" spans="1:26">
      <c r="A274" s="35"/>
      <c r="B274" s="20"/>
      <c r="C274" s="13">
        <f t="shared" si="59"/>
        <v>1</v>
      </c>
      <c r="D274" s="600"/>
      <c r="E274" s="13">
        <f t="shared" si="60"/>
        <v>0</v>
      </c>
      <c r="F274" s="600"/>
      <c r="G274" s="13">
        <f t="shared" si="61"/>
        <v>0</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60">
        <f t="shared" si="67"/>
        <v>0</v>
      </c>
      <c r="V274" s="2960">
        <f t="shared" si="68"/>
        <v>0</v>
      </c>
      <c r="W274" s="997"/>
      <c r="X274" s="2960">
        <f t="shared" si="69"/>
        <v>0</v>
      </c>
      <c r="Y274" s="2960">
        <f t="shared" si="70"/>
        <v>0</v>
      </c>
      <c r="Z274" s="997"/>
    </row>
    <row r="275" spans="1:26">
      <c r="A275" s="35"/>
      <c r="B275" s="20"/>
      <c r="C275" s="13">
        <f t="shared" si="59"/>
        <v>1</v>
      </c>
      <c r="D275" s="600"/>
      <c r="E275" s="13">
        <f t="shared" si="60"/>
        <v>0</v>
      </c>
      <c r="F275" s="600"/>
      <c r="G275" s="13">
        <f t="shared" si="61"/>
        <v>0</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60">
        <f t="shared" si="67"/>
        <v>0</v>
      </c>
      <c r="V275" s="2960">
        <f t="shared" si="68"/>
        <v>0</v>
      </c>
      <c r="W275" s="997"/>
      <c r="X275" s="2960">
        <f t="shared" si="69"/>
        <v>0</v>
      </c>
      <c r="Y275" s="2960">
        <f t="shared" si="70"/>
        <v>0</v>
      </c>
      <c r="Z275" s="997"/>
    </row>
    <row r="276" spans="1:26">
      <c r="A276" s="35"/>
      <c r="B276" s="20"/>
      <c r="C276" s="13">
        <f t="shared" si="59"/>
        <v>1</v>
      </c>
      <c r="D276" s="600"/>
      <c r="E276" s="13">
        <f t="shared" si="60"/>
        <v>0</v>
      </c>
      <c r="F276" s="600"/>
      <c r="G276" s="13">
        <f t="shared" si="61"/>
        <v>0</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60">
        <f t="shared" si="67"/>
        <v>0</v>
      </c>
      <c r="V276" s="2960">
        <f t="shared" si="68"/>
        <v>0</v>
      </c>
      <c r="W276" s="997"/>
      <c r="X276" s="2960">
        <f t="shared" si="69"/>
        <v>0</v>
      </c>
      <c r="Y276" s="2960">
        <f t="shared" si="70"/>
        <v>0</v>
      </c>
      <c r="Z276" s="997"/>
    </row>
    <row r="277" spans="1:26">
      <c r="A277" s="35"/>
      <c r="B277" s="20"/>
      <c r="C277" s="13">
        <f t="shared" si="59"/>
        <v>1</v>
      </c>
      <c r="D277" s="600"/>
      <c r="E277" s="13">
        <f t="shared" si="60"/>
        <v>0</v>
      </c>
      <c r="F277" s="600"/>
      <c r="G277" s="13">
        <f t="shared" si="61"/>
        <v>0</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60">
        <f t="shared" si="67"/>
        <v>0</v>
      </c>
      <c r="V277" s="2960">
        <f t="shared" si="68"/>
        <v>0</v>
      </c>
      <c r="W277" s="997"/>
      <c r="X277" s="2960">
        <f t="shared" si="69"/>
        <v>0</v>
      </c>
      <c r="Y277" s="2960">
        <f t="shared" si="70"/>
        <v>0</v>
      </c>
      <c r="Z277" s="997"/>
    </row>
    <row r="278" spans="1:26">
      <c r="A278" s="35"/>
      <c r="B278" s="20"/>
      <c r="C278" s="13">
        <f t="shared" si="59"/>
        <v>1</v>
      </c>
      <c r="D278" s="600"/>
      <c r="E278" s="13">
        <f t="shared" si="60"/>
        <v>0</v>
      </c>
      <c r="F278" s="600"/>
      <c r="G278" s="13">
        <f t="shared" si="61"/>
        <v>0</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60">
        <f t="shared" si="67"/>
        <v>0</v>
      </c>
      <c r="V278" s="2960">
        <f t="shared" si="68"/>
        <v>0</v>
      </c>
      <c r="W278" s="997"/>
      <c r="X278" s="2960">
        <f t="shared" si="69"/>
        <v>0</v>
      </c>
      <c r="Y278" s="2960">
        <f t="shared" si="70"/>
        <v>0</v>
      </c>
      <c r="Z278" s="997"/>
    </row>
    <row r="279" spans="1:26">
      <c r="A279" s="35"/>
      <c r="B279" s="20"/>
      <c r="C279" s="13">
        <f t="shared" si="59"/>
        <v>1</v>
      </c>
      <c r="D279" s="600"/>
      <c r="E279" s="13">
        <f t="shared" si="60"/>
        <v>0</v>
      </c>
      <c r="F279" s="600"/>
      <c r="G279" s="13">
        <f t="shared" si="61"/>
        <v>0</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60">
        <f t="shared" si="67"/>
        <v>0</v>
      </c>
      <c r="V279" s="2960">
        <f t="shared" si="68"/>
        <v>0</v>
      </c>
      <c r="W279" s="997"/>
      <c r="X279" s="2960">
        <f t="shared" si="69"/>
        <v>0</v>
      </c>
      <c r="Y279" s="2960">
        <f t="shared" si="70"/>
        <v>0</v>
      </c>
      <c r="Z279" s="997"/>
    </row>
    <row r="280" spans="1:26">
      <c r="A280" s="35"/>
      <c r="B280" s="20"/>
      <c r="C280" s="13">
        <f t="shared" si="59"/>
        <v>1</v>
      </c>
      <c r="D280" s="600"/>
      <c r="E280" s="13">
        <f t="shared" si="60"/>
        <v>0</v>
      </c>
      <c r="F280" s="600"/>
      <c r="G280" s="13">
        <f t="shared" si="61"/>
        <v>0</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60">
        <f t="shared" si="67"/>
        <v>0</v>
      </c>
      <c r="V280" s="2960">
        <f t="shared" si="68"/>
        <v>0</v>
      </c>
      <c r="W280" s="997"/>
      <c r="X280" s="2960">
        <f t="shared" si="69"/>
        <v>0</v>
      </c>
      <c r="Y280" s="2960">
        <f t="shared" si="70"/>
        <v>0</v>
      </c>
      <c r="Z280" s="997"/>
    </row>
    <row r="281" spans="1:26">
      <c r="A281" s="35"/>
      <c r="B281" s="20"/>
      <c r="C281" s="13">
        <f t="shared" si="59"/>
        <v>1</v>
      </c>
      <c r="D281" s="600"/>
      <c r="E281" s="13">
        <f t="shared" si="60"/>
        <v>0</v>
      </c>
      <c r="F281" s="600"/>
      <c r="G281" s="13">
        <f t="shared" si="61"/>
        <v>0</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60">
        <f t="shared" si="67"/>
        <v>0</v>
      </c>
      <c r="V281" s="2960">
        <f t="shared" si="68"/>
        <v>0</v>
      </c>
      <c r="W281" s="997"/>
      <c r="X281" s="2960">
        <f t="shared" si="69"/>
        <v>0</v>
      </c>
      <c r="Y281" s="2960">
        <f t="shared" si="70"/>
        <v>0</v>
      </c>
      <c r="Z281" s="997"/>
    </row>
    <row r="282" spans="1:26">
      <c r="A282" s="35"/>
      <c r="B282" s="20"/>
      <c r="C282" s="13">
        <f t="shared" si="59"/>
        <v>1</v>
      </c>
      <c r="D282" s="600"/>
      <c r="E282" s="13">
        <f t="shared" si="60"/>
        <v>0</v>
      </c>
      <c r="F282" s="600"/>
      <c r="G282" s="13">
        <f t="shared" si="61"/>
        <v>0</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60">
        <f t="shared" si="67"/>
        <v>0</v>
      </c>
      <c r="V282" s="2960">
        <f t="shared" si="68"/>
        <v>0</v>
      </c>
      <c r="W282" s="997"/>
      <c r="X282" s="2960">
        <f t="shared" si="69"/>
        <v>0</v>
      </c>
      <c r="Y282" s="2960">
        <f t="shared" si="70"/>
        <v>0</v>
      </c>
      <c r="Z282" s="997"/>
    </row>
    <row r="283" spans="1:26">
      <c r="A283" s="35"/>
      <c r="B283" s="20"/>
      <c r="C283" s="13">
        <f t="shared" si="59"/>
        <v>1</v>
      </c>
      <c r="D283" s="600"/>
      <c r="E283" s="13">
        <f t="shared" si="60"/>
        <v>0</v>
      </c>
      <c r="F283" s="600"/>
      <c r="G283" s="13">
        <f t="shared" si="61"/>
        <v>0</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60">
        <f t="shared" si="67"/>
        <v>0</v>
      </c>
      <c r="V283" s="2960">
        <f t="shared" si="68"/>
        <v>0</v>
      </c>
      <c r="W283" s="997"/>
      <c r="X283" s="2960">
        <f t="shared" si="69"/>
        <v>0</v>
      </c>
      <c r="Y283" s="2960">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60">
        <f t="shared" ref="U284:U347" si="82">ROUND(W284*B284,0)</f>
        <v>0</v>
      </c>
      <c r="V284" s="2960">
        <f t="shared" ref="V284:V347" si="83">ROUND(W284*B284/10000,0)</f>
        <v>0</v>
      </c>
      <c r="W284" s="997"/>
      <c r="X284" s="2960">
        <f t="shared" ref="X284:X347" si="84">ROUND(Z284*B284,0)</f>
        <v>0</v>
      </c>
      <c r="Y284" s="2960">
        <f t="shared" ref="Y284:Y347" si="85">ROUND(Z284*B284/10000,0)</f>
        <v>0</v>
      </c>
      <c r="Z284" s="997"/>
    </row>
    <row r="285" spans="1:26">
      <c r="A285" s="35"/>
      <c r="B285" s="20"/>
      <c r="C285" s="13">
        <f t="shared" si="74"/>
        <v>1</v>
      </c>
      <c r="D285" s="600"/>
      <c r="E285" s="13">
        <f t="shared" si="75"/>
        <v>0</v>
      </c>
      <c r="F285" s="600"/>
      <c r="G285" s="13">
        <f t="shared" si="76"/>
        <v>0</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60">
        <f t="shared" si="82"/>
        <v>0</v>
      </c>
      <c r="V285" s="2960">
        <f t="shared" si="83"/>
        <v>0</v>
      </c>
      <c r="W285" s="997"/>
      <c r="X285" s="2960">
        <f t="shared" si="84"/>
        <v>0</v>
      </c>
      <c r="Y285" s="2960">
        <f t="shared" si="85"/>
        <v>0</v>
      </c>
      <c r="Z285" s="997"/>
    </row>
    <row r="286" spans="1:26">
      <c r="A286" s="35"/>
      <c r="B286" s="20"/>
      <c r="C286" s="13">
        <f t="shared" si="74"/>
        <v>1</v>
      </c>
      <c r="D286" s="600"/>
      <c r="E286" s="13">
        <f t="shared" si="75"/>
        <v>0</v>
      </c>
      <c r="F286" s="600"/>
      <c r="G286" s="13">
        <f t="shared" si="76"/>
        <v>0</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60">
        <f t="shared" si="82"/>
        <v>0</v>
      </c>
      <c r="V286" s="2960">
        <f t="shared" si="83"/>
        <v>0</v>
      </c>
      <c r="W286" s="997"/>
      <c r="X286" s="2960">
        <f t="shared" si="84"/>
        <v>0</v>
      </c>
      <c r="Y286" s="2960">
        <f t="shared" si="85"/>
        <v>0</v>
      </c>
      <c r="Z286" s="997"/>
    </row>
    <row r="287" spans="1:26">
      <c r="A287" s="35"/>
      <c r="B287" s="20"/>
      <c r="C287" s="13">
        <f t="shared" si="74"/>
        <v>1</v>
      </c>
      <c r="D287" s="600"/>
      <c r="E287" s="13">
        <f t="shared" si="75"/>
        <v>0</v>
      </c>
      <c r="F287" s="600"/>
      <c r="G287" s="13">
        <f t="shared" si="76"/>
        <v>0</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60">
        <f t="shared" si="82"/>
        <v>0</v>
      </c>
      <c r="V287" s="2960">
        <f t="shared" si="83"/>
        <v>0</v>
      </c>
      <c r="W287" s="997"/>
      <c r="X287" s="2960">
        <f t="shared" si="84"/>
        <v>0</v>
      </c>
      <c r="Y287" s="2960">
        <f t="shared" si="85"/>
        <v>0</v>
      </c>
      <c r="Z287" s="997"/>
    </row>
    <row r="288" spans="1:26">
      <c r="A288" s="35"/>
      <c r="B288" s="20"/>
      <c r="C288" s="13">
        <f t="shared" si="74"/>
        <v>1</v>
      </c>
      <c r="D288" s="600"/>
      <c r="E288" s="13">
        <f t="shared" si="75"/>
        <v>0</v>
      </c>
      <c r="F288" s="600"/>
      <c r="G288" s="13">
        <f t="shared" si="76"/>
        <v>0</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60">
        <f t="shared" si="82"/>
        <v>0</v>
      </c>
      <c r="V288" s="2960">
        <f t="shared" si="83"/>
        <v>0</v>
      </c>
      <c r="W288" s="997"/>
      <c r="X288" s="2960">
        <f t="shared" si="84"/>
        <v>0</v>
      </c>
      <c r="Y288" s="2960">
        <f t="shared" si="85"/>
        <v>0</v>
      </c>
      <c r="Z288" s="997"/>
    </row>
    <row r="289" spans="1:26">
      <c r="A289" s="35"/>
      <c r="B289" s="20"/>
      <c r="C289" s="13">
        <f t="shared" si="74"/>
        <v>1</v>
      </c>
      <c r="D289" s="600"/>
      <c r="E289" s="13">
        <f t="shared" si="75"/>
        <v>0</v>
      </c>
      <c r="F289" s="600"/>
      <c r="G289" s="13">
        <f t="shared" si="76"/>
        <v>0</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60">
        <f t="shared" si="82"/>
        <v>0</v>
      </c>
      <c r="V289" s="2960">
        <f t="shared" si="83"/>
        <v>0</v>
      </c>
      <c r="W289" s="997"/>
      <c r="X289" s="2960">
        <f t="shared" si="84"/>
        <v>0</v>
      </c>
      <c r="Y289" s="2960">
        <f t="shared" si="85"/>
        <v>0</v>
      </c>
      <c r="Z289" s="997"/>
    </row>
    <row r="290" spans="1:26">
      <c r="A290" s="35"/>
      <c r="B290" s="20"/>
      <c r="C290" s="13">
        <f t="shared" si="74"/>
        <v>1</v>
      </c>
      <c r="D290" s="600"/>
      <c r="E290" s="13">
        <f t="shared" si="75"/>
        <v>0</v>
      </c>
      <c r="F290" s="600"/>
      <c r="G290" s="13">
        <f t="shared" si="76"/>
        <v>0</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60">
        <f t="shared" si="82"/>
        <v>0</v>
      </c>
      <c r="V290" s="2960">
        <f t="shared" si="83"/>
        <v>0</v>
      </c>
      <c r="W290" s="997"/>
      <c r="X290" s="2960">
        <f t="shared" si="84"/>
        <v>0</v>
      </c>
      <c r="Y290" s="2960">
        <f t="shared" si="85"/>
        <v>0</v>
      </c>
      <c r="Z290" s="997"/>
    </row>
    <row r="291" spans="1:26">
      <c r="A291" s="35"/>
      <c r="B291" s="20"/>
      <c r="C291" s="13">
        <f t="shared" si="74"/>
        <v>1</v>
      </c>
      <c r="D291" s="600"/>
      <c r="E291" s="13">
        <f t="shared" si="75"/>
        <v>0</v>
      </c>
      <c r="F291" s="600"/>
      <c r="G291" s="13">
        <f t="shared" si="76"/>
        <v>0</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60">
        <f t="shared" si="82"/>
        <v>0</v>
      </c>
      <c r="V291" s="2960">
        <f t="shared" si="83"/>
        <v>0</v>
      </c>
      <c r="W291" s="997"/>
      <c r="X291" s="2960">
        <f t="shared" si="84"/>
        <v>0</v>
      </c>
      <c r="Y291" s="2960">
        <f t="shared" si="85"/>
        <v>0</v>
      </c>
      <c r="Z291" s="997"/>
    </row>
    <row r="292" spans="1:26">
      <c r="A292" s="35"/>
      <c r="B292" s="20"/>
      <c r="C292" s="13">
        <f t="shared" si="74"/>
        <v>1</v>
      </c>
      <c r="D292" s="600"/>
      <c r="E292" s="13">
        <f t="shared" si="75"/>
        <v>0</v>
      </c>
      <c r="F292" s="600"/>
      <c r="G292" s="13">
        <f t="shared" si="76"/>
        <v>0</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60">
        <f t="shared" si="82"/>
        <v>0</v>
      </c>
      <c r="V292" s="2960">
        <f t="shared" si="83"/>
        <v>0</v>
      </c>
      <c r="W292" s="997"/>
      <c r="X292" s="2960">
        <f t="shared" si="84"/>
        <v>0</v>
      </c>
      <c r="Y292" s="2960">
        <f t="shared" si="85"/>
        <v>0</v>
      </c>
      <c r="Z292" s="997"/>
    </row>
    <row r="293" spans="1:26">
      <c r="A293" s="35"/>
      <c r="B293" s="20"/>
      <c r="C293" s="13">
        <f t="shared" si="74"/>
        <v>1</v>
      </c>
      <c r="D293" s="600"/>
      <c r="E293" s="13">
        <f t="shared" si="75"/>
        <v>0</v>
      </c>
      <c r="F293" s="600"/>
      <c r="G293" s="13">
        <f t="shared" si="76"/>
        <v>0</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60">
        <f t="shared" si="82"/>
        <v>0</v>
      </c>
      <c r="V293" s="2960">
        <f t="shared" si="83"/>
        <v>0</v>
      </c>
      <c r="W293" s="997"/>
      <c r="X293" s="2960">
        <f t="shared" si="84"/>
        <v>0</v>
      </c>
      <c r="Y293" s="2960">
        <f t="shared" si="85"/>
        <v>0</v>
      </c>
      <c r="Z293" s="997"/>
    </row>
    <row r="294" spans="1:26">
      <c r="A294" s="35"/>
      <c r="B294" s="20"/>
      <c r="C294" s="13">
        <f t="shared" si="74"/>
        <v>1</v>
      </c>
      <c r="D294" s="600"/>
      <c r="E294" s="13">
        <f t="shared" si="75"/>
        <v>0</v>
      </c>
      <c r="F294" s="600"/>
      <c r="G294" s="13">
        <f t="shared" si="76"/>
        <v>0</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60">
        <f t="shared" si="82"/>
        <v>0</v>
      </c>
      <c r="V294" s="2960">
        <f t="shared" si="83"/>
        <v>0</v>
      </c>
      <c r="W294" s="997"/>
      <c r="X294" s="2960">
        <f t="shared" si="84"/>
        <v>0</v>
      </c>
      <c r="Y294" s="2960">
        <f t="shared" si="85"/>
        <v>0</v>
      </c>
      <c r="Z294" s="997"/>
    </row>
    <row r="295" spans="1:26">
      <c r="A295" s="35"/>
      <c r="B295" s="20"/>
      <c r="C295" s="13">
        <f t="shared" si="74"/>
        <v>1</v>
      </c>
      <c r="D295" s="600"/>
      <c r="E295" s="13">
        <f t="shared" si="75"/>
        <v>0</v>
      </c>
      <c r="F295" s="600"/>
      <c r="G295" s="13">
        <f t="shared" si="76"/>
        <v>0</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60">
        <f t="shared" si="82"/>
        <v>0</v>
      </c>
      <c r="V295" s="2960">
        <f t="shared" si="83"/>
        <v>0</v>
      </c>
      <c r="W295" s="997"/>
      <c r="X295" s="2960">
        <f t="shared" si="84"/>
        <v>0</v>
      </c>
      <c r="Y295" s="2960">
        <f t="shared" si="85"/>
        <v>0</v>
      </c>
      <c r="Z295" s="997"/>
    </row>
    <row r="296" spans="1:26">
      <c r="A296" s="35"/>
      <c r="B296" s="20"/>
      <c r="C296" s="13">
        <f t="shared" si="74"/>
        <v>1</v>
      </c>
      <c r="D296" s="600"/>
      <c r="E296" s="13">
        <f t="shared" si="75"/>
        <v>0</v>
      </c>
      <c r="F296" s="600"/>
      <c r="G296" s="13">
        <f t="shared" si="76"/>
        <v>0</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60">
        <f t="shared" si="82"/>
        <v>0</v>
      </c>
      <c r="V296" s="2960">
        <f t="shared" si="83"/>
        <v>0</v>
      </c>
      <c r="W296" s="997"/>
      <c r="X296" s="2960">
        <f t="shared" si="84"/>
        <v>0</v>
      </c>
      <c r="Y296" s="2960">
        <f t="shared" si="85"/>
        <v>0</v>
      </c>
      <c r="Z296" s="997"/>
    </row>
    <row r="297" spans="1:26">
      <c r="A297" s="35"/>
      <c r="B297" s="20"/>
      <c r="C297" s="13">
        <f t="shared" si="74"/>
        <v>1</v>
      </c>
      <c r="D297" s="600"/>
      <c r="E297" s="13">
        <f t="shared" si="75"/>
        <v>0</v>
      </c>
      <c r="F297" s="600"/>
      <c r="G297" s="13">
        <f t="shared" si="76"/>
        <v>0</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60">
        <f t="shared" si="82"/>
        <v>0</v>
      </c>
      <c r="V297" s="2960">
        <f t="shared" si="83"/>
        <v>0</v>
      </c>
      <c r="W297" s="997"/>
      <c r="X297" s="2960">
        <f t="shared" si="84"/>
        <v>0</v>
      </c>
      <c r="Y297" s="2960">
        <f t="shared" si="85"/>
        <v>0</v>
      </c>
      <c r="Z297" s="997"/>
    </row>
    <row r="298" spans="1:26">
      <c r="A298" s="35"/>
      <c r="B298" s="20"/>
      <c r="C298" s="13">
        <f t="shared" si="74"/>
        <v>1</v>
      </c>
      <c r="D298" s="600"/>
      <c r="E298" s="13">
        <f t="shared" si="75"/>
        <v>0</v>
      </c>
      <c r="F298" s="600"/>
      <c r="G298" s="13">
        <f t="shared" si="76"/>
        <v>0</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60">
        <f t="shared" si="82"/>
        <v>0</v>
      </c>
      <c r="V298" s="2960">
        <f t="shared" si="83"/>
        <v>0</v>
      </c>
      <c r="W298" s="997"/>
      <c r="X298" s="2960">
        <f t="shared" si="84"/>
        <v>0</v>
      </c>
      <c r="Y298" s="2960">
        <f t="shared" si="85"/>
        <v>0</v>
      </c>
      <c r="Z298" s="997"/>
    </row>
    <row r="299" spans="1:26">
      <c r="A299" s="35"/>
      <c r="B299" s="20"/>
      <c r="C299" s="13">
        <f t="shared" si="74"/>
        <v>1</v>
      </c>
      <c r="D299" s="600"/>
      <c r="E299" s="13">
        <f t="shared" si="75"/>
        <v>0</v>
      </c>
      <c r="F299" s="600"/>
      <c r="G299" s="13">
        <f t="shared" si="76"/>
        <v>0</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60">
        <f t="shared" si="82"/>
        <v>0</v>
      </c>
      <c r="V299" s="2960">
        <f t="shared" si="83"/>
        <v>0</v>
      </c>
      <c r="W299" s="997"/>
      <c r="X299" s="2960">
        <f t="shared" si="84"/>
        <v>0</v>
      </c>
      <c r="Y299" s="2960">
        <f t="shared" si="85"/>
        <v>0</v>
      </c>
      <c r="Z299" s="997"/>
    </row>
    <row r="300" spans="1:26">
      <c r="A300" s="35"/>
      <c r="B300" s="20"/>
      <c r="C300" s="13">
        <f t="shared" si="74"/>
        <v>1</v>
      </c>
      <c r="D300" s="600"/>
      <c r="E300" s="13">
        <f t="shared" si="75"/>
        <v>0</v>
      </c>
      <c r="F300" s="600"/>
      <c r="G300" s="13">
        <f t="shared" si="76"/>
        <v>0</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60">
        <f t="shared" si="82"/>
        <v>0</v>
      </c>
      <c r="V300" s="2960">
        <f t="shared" si="83"/>
        <v>0</v>
      </c>
      <c r="W300" s="997"/>
      <c r="X300" s="2960">
        <f t="shared" si="84"/>
        <v>0</v>
      </c>
      <c r="Y300" s="2960">
        <f t="shared" si="85"/>
        <v>0</v>
      </c>
      <c r="Z300" s="997"/>
    </row>
    <row r="301" spans="1:26">
      <c r="A301" s="35"/>
      <c r="B301" s="20"/>
      <c r="C301" s="13">
        <f t="shared" si="74"/>
        <v>1</v>
      </c>
      <c r="D301" s="600"/>
      <c r="E301" s="13">
        <f t="shared" si="75"/>
        <v>0</v>
      </c>
      <c r="F301" s="600"/>
      <c r="G301" s="13">
        <f t="shared" si="76"/>
        <v>0</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60">
        <f t="shared" si="82"/>
        <v>0</v>
      </c>
      <c r="V301" s="2960">
        <f t="shared" si="83"/>
        <v>0</v>
      </c>
      <c r="W301" s="997"/>
      <c r="X301" s="2960">
        <f t="shared" si="84"/>
        <v>0</v>
      </c>
      <c r="Y301" s="2960">
        <f t="shared" si="85"/>
        <v>0</v>
      </c>
      <c r="Z301" s="997"/>
    </row>
    <row r="302" spans="1:26">
      <c r="A302" s="35"/>
      <c r="B302" s="20"/>
      <c r="C302" s="13">
        <f t="shared" si="74"/>
        <v>1</v>
      </c>
      <c r="D302" s="600"/>
      <c r="E302" s="13">
        <f t="shared" si="75"/>
        <v>0</v>
      </c>
      <c r="F302" s="600"/>
      <c r="G302" s="13">
        <f t="shared" si="76"/>
        <v>0</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60">
        <f t="shared" si="82"/>
        <v>0</v>
      </c>
      <c r="V302" s="2960">
        <f t="shared" si="83"/>
        <v>0</v>
      </c>
      <c r="W302" s="997"/>
      <c r="X302" s="2960">
        <f t="shared" si="84"/>
        <v>0</v>
      </c>
      <c r="Y302" s="2960">
        <f t="shared" si="85"/>
        <v>0</v>
      </c>
      <c r="Z302" s="997"/>
    </row>
    <row r="303" spans="1:26">
      <c r="A303" s="35"/>
      <c r="B303" s="20"/>
      <c r="C303" s="13">
        <f t="shared" si="74"/>
        <v>1</v>
      </c>
      <c r="D303" s="600"/>
      <c r="E303" s="13">
        <f t="shared" si="75"/>
        <v>0</v>
      </c>
      <c r="F303" s="600"/>
      <c r="G303" s="13">
        <f t="shared" si="76"/>
        <v>0</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60">
        <f t="shared" si="82"/>
        <v>0</v>
      </c>
      <c r="V303" s="2960">
        <f t="shared" si="83"/>
        <v>0</v>
      </c>
      <c r="W303" s="997"/>
      <c r="X303" s="2960">
        <f t="shared" si="84"/>
        <v>0</v>
      </c>
      <c r="Y303" s="2960">
        <f t="shared" si="85"/>
        <v>0</v>
      </c>
      <c r="Z303" s="997"/>
    </row>
    <row r="304" spans="1:26">
      <c r="A304" s="35"/>
      <c r="B304" s="20"/>
      <c r="C304" s="13">
        <f t="shared" si="74"/>
        <v>1</v>
      </c>
      <c r="D304" s="600"/>
      <c r="E304" s="13">
        <f t="shared" si="75"/>
        <v>0</v>
      </c>
      <c r="F304" s="600"/>
      <c r="G304" s="13">
        <f t="shared" si="76"/>
        <v>0</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60">
        <f t="shared" si="82"/>
        <v>0</v>
      </c>
      <c r="V304" s="2960">
        <f t="shared" si="83"/>
        <v>0</v>
      </c>
      <c r="W304" s="997"/>
      <c r="X304" s="2960">
        <f t="shared" si="84"/>
        <v>0</v>
      </c>
      <c r="Y304" s="2960">
        <f t="shared" si="85"/>
        <v>0</v>
      </c>
      <c r="Z304" s="997"/>
    </row>
    <row r="305" spans="1:26">
      <c r="A305" s="35"/>
      <c r="B305" s="20"/>
      <c r="C305" s="13">
        <f t="shared" si="74"/>
        <v>1</v>
      </c>
      <c r="D305" s="600"/>
      <c r="E305" s="13">
        <f t="shared" si="75"/>
        <v>0</v>
      </c>
      <c r="F305" s="600"/>
      <c r="G305" s="13">
        <f t="shared" si="76"/>
        <v>0</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60">
        <f t="shared" si="82"/>
        <v>0</v>
      </c>
      <c r="V305" s="2960">
        <f t="shared" si="83"/>
        <v>0</v>
      </c>
      <c r="W305" s="997"/>
      <c r="X305" s="2960">
        <f t="shared" si="84"/>
        <v>0</v>
      </c>
      <c r="Y305" s="2960">
        <f t="shared" si="85"/>
        <v>0</v>
      </c>
      <c r="Z305" s="997"/>
    </row>
    <row r="306" spans="1:26">
      <c r="A306" s="35"/>
      <c r="B306" s="20"/>
      <c r="C306" s="13">
        <f t="shared" si="74"/>
        <v>1</v>
      </c>
      <c r="D306" s="600"/>
      <c r="E306" s="13">
        <f t="shared" si="75"/>
        <v>0</v>
      </c>
      <c r="F306" s="600"/>
      <c r="G306" s="13">
        <f t="shared" si="76"/>
        <v>0</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60">
        <f t="shared" si="82"/>
        <v>0</v>
      </c>
      <c r="V306" s="2960">
        <f t="shared" si="83"/>
        <v>0</v>
      </c>
      <c r="W306" s="997"/>
      <c r="X306" s="2960">
        <f t="shared" si="84"/>
        <v>0</v>
      </c>
      <c r="Y306" s="2960">
        <f t="shared" si="85"/>
        <v>0</v>
      </c>
      <c r="Z306" s="997"/>
    </row>
    <row r="307" spans="1:26">
      <c r="A307" s="35"/>
      <c r="B307" s="20"/>
      <c r="C307" s="13">
        <f t="shared" si="74"/>
        <v>1</v>
      </c>
      <c r="D307" s="600"/>
      <c r="E307" s="13">
        <f t="shared" si="75"/>
        <v>0</v>
      </c>
      <c r="F307" s="600"/>
      <c r="G307" s="13">
        <f t="shared" si="76"/>
        <v>0</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60">
        <f t="shared" si="82"/>
        <v>0</v>
      </c>
      <c r="V307" s="2960">
        <f t="shared" si="83"/>
        <v>0</v>
      </c>
      <c r="W307" s="997"/>
      <c r="X307" s="2960">
        <f t="shared" si="84"/>
        <v>0</v>
      </c>
      <c r="Y307" s="2960">
        <f t="shared" si="85"/>
        <v>0</v>
      </c>
      <c r="Z307" s="997"/>
    </row>
    <row r="308" spans="1:26">
      <c r="A308" s="35"/>
      <c r="B308" s="20"/>
      <c r="C308" s="13">
        <f t="shared" si="74"/>
        <v>1</v>
      </c>
      <c r="D308" s="600"/>
      <c r="E308" s="13">
        <f t="shared" si="75"/>
        <v>0</v>
      </c>
      <c r="F308" s="600"/>
      <c r="G308" s="13">
        <f t="shared" si="76"/>
        <v>0</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60">
        <f t="shared" si="82"/>
        <v>0</v>
      </c>
      <c r="V308" s="2960">
        <f t="shared" si="83"/>
        <v>0</v>
      </c>
      <c r="W308" s="997"/>
      <c r="X308" s="2960">
        <f t="shared" si="84"/>
        <v>0</v>
      </c>
      <c r="Y308" s="2960">
        <f t="shared" si="85"/>
        <v>0</v>
      </c>
      <c r="Z308" s="997"/>
    </row>
    <row r="309" spans="1:26">
      <c r="A309" s="35"/>
      <c r="B309" s="20"/>
      <c r="C309" s="13">
        <f t="shared" si="74"/>
        <v>1</v>
      </c>
      <c r="D309" s="600"/>
      <c r="E309" s="13">
        <f t="shared" si="75"/>
        <v>0</v>
      </c>
      <c r="F309" s="600"/>
      <c r="G309" s="13">
        <f t="shared" si="76"/>
        <v>0</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60">
        <f t="shared" si="82"/>
        <v>0</v>
      </c>
      <c r="V309" s="2960">
        <f t="shared" si="83"/>
        <v>0</v>
      </c>
      <c r="W309" s="997"/>
      <c r="X309" s="2960">
        <f t="shared" si="84"/>
        <v>0</v>
      </c>
      <c r="Y309" s="2960">
        <f t="shared" si="85"/>
        <v>0</v>
      </c>
      <c r="Z309" s="997"/>
    </row>
    <row r="310" spans="1:26">
      <c r="A310" s="35"/>
      <c r="B310" s="20"/>
      <c r="C310" s="13">
        <f t="shared" si="74"/>
        <v>1</v>
      </c>
      <c r="D310" s="600"/>
      <c r="E310" s="13">
        <f t="shared" si="75"/>
        <v>0</v>
      </c>
      <c r="F310" s="600"/>
      <c r="G310" s="13">
        <f t="shared" si="76"/>
        <v>0</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60">
        <f t="shared" si="82"/>
        <v>0</v>
      </c>
      <c r="V310" s="2960">
        <f t="shared" si="83"/>
        <v>0</v>
      </c>
      <c r="W310" s="997"/>
      <c r="X310" s="2960">
        <f t="shared" si="84"/>
        <v>0</v>
      </c>
      <c r="Y310" s="2960">
        <f t="shared" si="85"/>
        <v>0</v>
      </c>
      <c r="Z310" s="997"/>
    </row>
    <row r="311" spans="1:26">
      <c r="A311" s="35"/>
      <c r="B311" s="20"/>
      <c r="C311" s="13">
        <f t="shared" si="74"/>
        <v>1</v>
      </c>
      <c r="D311" s="600"/>
      <c r="E311" s="13">
        <f t="shared" si="75"/>
        <v>0</v>
      </c>
      <c r="F311" s="600"/>
      <c r="G311" s="13">
        <f t="shared" si="76"/>
        <v>0</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60">
        <f t="shared" si="82"/>
        <v>0</v>
      </c>
      <c r="V311" s="2960">
        <f t="shared" si="83"/>
        <v>0</v>
      </c>
      <c r="W311" s="997"/>
      <c r="X311" s="2960">
        <f t="shared" si="84"/>
        <v>0</v>
      </c>
      <c r="Y311" s="2960">
        <f t="shared" si="85"/>
        <v>0</v>
      </c>
      <c r="Z311" s="997"/>
    </row>
    <row r="312" spans="1:26">
      <c r="A312" s="35"/>
      <c r="B312" s="20"/>
      <c r="C312" s="13">
        <f t="shared" si="74"/>
        <v>1</v>
      </c>
      <c r="D312" s="600"/>
      <c r="E312" s="13">
        <f t="shared" si="75"/>
        <v>0</v>
      </c>
      <c r="F312" s="600"/>
      <c r="G312" s="13">
        <f t="shared" si="76"/>
        <v>0</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60">
        <f t="shared" si="82"/>
        <v>0</v>
      </c>
      <c r="V312" s="2960">
        <f t="shared" si="83"/>
        <v>0</v>
      </c>
      <c r="W312" s="997"/>
      <c r="X312" s="2960">
        <f t="shared" si="84"/>
        <v>0</v>
      </c>
      <c r="Y312" s="2960">
        <f t="shared" si="85"/>
        <v>0</v>
      </c>
      <c r="Z312" s="997"/>
    </row>
    <row r="313" spans="1:26">
      <c r="A313" s="35"/>
      <c r="B313" s="20"/>
      <c r="C313" s="13">
        <f t="shared" si="74"/>
        <v>1</v>
      </c>
      <c r="D313" s="600"/>
      <c r="E313" s="13">
        <f t="shared" si="75"/>
        <v>0</v>
      </c>
      <c r="F313" s="600"/>
      <c r="G313" s="13">
        <f t="shared" si="76"/>
        <v>0</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60">
        <f t="shared" si="82"/>
        <v>0</v>
      </c>
      <c r="V313" s="2960">
        <f t="shared" si="83"/>
        <v>0</v>
      </c>
      <c r="W313" s="997"/>
      <c r="X313" s="2960">
        <f t="shared" si="84"/>
        <v>0</v>
      </c>
      <c r="Y313" s="2960">
        <f t="shared" si="85"/>
        <v>0</v>
      </c>
      <c r="Z313" s="997"/>
    </row>
    <row r="314" spans="1:26">
      <c r="A314" s="35"/>
      <c r="B314" s="20"/>
      <c r="C314" s="13">
        <f t="shared" si="74"/>
        <v>1</v>
      </c>
      <c r="D314" s="600"/>
      <c r="E314" s="13">
        <f t="shared" si="75"/>
        <v>0</v>
      </c>
      <c r="F314" s="600"/>
      <c r="G314" s="13">
        <f t="shared" si="76"/>
        <v>0</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60">
        <f t="shared" si="82"/>
        <v>0</v>
      </c>
      <c r="V314" s="2960">
        <f t="shared" si="83"/>
        <v>0</v>
      </c>
      <c r="W314" s="997"/>
      <c r="X314" s="2960">
        <f t="shared" si="84"/>
        <v>0</v>
      </c>
      <c r="Y314" s="2960">
        <f t="shared" si="85"/>
        <v>0</v>
      </c>
      <c r="Z314" s="997"/>
    </row>
    <row r="315" spans="1:26">
      <c r="A315" s="35"/>
      <c r="B315" s="20"/>
      <c r="C315" s="13">
        <f t="shared" si="74"/>
        <v>1</v>
      </c>
      <c r="D315" s="600"/>
      <c r="E315" s="13">
        <f t="shared" si="75"/>
        <v>0</v>
      </c>
      <c r="F315" s="600"/>
      <c r="G315" s="13">
        <f t="shared" si="76"/>
        <v>0</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60">
        <f t="shared" si="82"/>
        <v>0</v>
      </c>
      <c r="V315" s="2960">
        <f t="shared" si="83"/>
        <v>0</v>
      </c>
      <c r="W315" s="997"/>
      <c r="X315" s="2960">
        <f t="shared" si="84"/>
        <v>0</v>
      </c>
      <c r="Y315" s="2960">
        <f t="shared" si="85"/>
        <v>0</v>
      </c>
      <c r="Z315" s="997"/>
    </row>
    <row r="316" spans="1:26">
      <c r="A316" s="35"/>
      <c r="B316" s="20"/>
      <c r="C316" s="13">
        <f t="shared" si="74"/>
        <v>1</v>
      </c>
      <c r="D316" s="600"/>
      <c r="E316" s="13">
        <f t="shared" si="75"/>
        <v>0</v>
      </c>
      <c r="F316" s="600"/>
      <c r="G316" s="13">
        <f t="shared" si="76"/>
        <v>0</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60">
        <f t="shared" si="82"/>
        <v>0</v>
      </c>
      <c r="V316" s="2960">
        <f t="shared" si="83"/>
        <v>0</v>
      </c>
      <c r="W316" s="997"/>
      <c r="X316" s="2960">
        <f t="shared" si="84"/>
        <v>0</v>
      </c>
      <c r="Y316" s="2960">
        <f t="shared" si="85"/>
        <v>0</v>
      </c>
      <c r="Z316" s="997"/>
    </row>
    <row r="317" spans="1:26">
      <c r="A317" s="35"/>
      <c r="B317" s="20"/>
      <c r="C317" s="13">
        <f t="shared" si="74"/>
        <v>1</v>
      </c>
      <c r="D317" s="600"/>
      <c r="E317" s="13">
        <f t="shared" si="75"/>
        <v>0</v>
      </c>
      <c r="F317" s="600"/>
      <c r="G317" s="13">
        <f t="shared" si="76"/>
        <v>0</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60">
        <f t="shared" si="82"/>
        <v>0</v>
      </c>
      <c r="V317" s="2960">
        <f t="shared" si="83"/>
        <v>0</v>
      </c>
      <c r="W317" s="997"/>
      <c r="X317" s="2960">
        <f t="shared" si="84"/>
        <v>0</v>
      </c>
      <c r="Y317" s="2960">
        <f t="shared" si="85"/>
        <v>0</v>
      </c>
      <c r="Z317" s="997"/>
    </row>
    <row r="318" spans="1:26">
      <c r="A318" s="35"/>
      <c r="B318" s="20"/>
      <c r="C318" s="13">
        <f t="shared" si="74"/>
        <v>1</v>
      </c>
      <c r="D318" s="600"/>
      <c r="E318" s="13">
        <f t="shared" si="75"/>
        <v>0</v>
      </c>
      <c r="F318" s="600"/>
      <c r="G318" s="13">
        <f t="shared" si="76"/>
        <v>0</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60">
        <f t="shared" si="82"/>
        <v>0</v>
      </c>
      <c r="V318" s="2960">
        <f t="shared" si="83"/>
        <v>0</v>
      </c>
      <c r="W318" s="997"/>
      <c r="X318" s="2960">
        <f t="shared" si="84"/>
        <v>0</v>
      </c>
      <c r="Y318" s="2960">
        <f t="shared" si="85"/>
        <v>0</v>
      </c>
      <c r="Z318" s="997"/>
    </row>
    <row r="319" spans="1:26">
      <c r="A319" s="35"/>
      <c r="B319" s="20"/>
      <c r="C319" s="13">
        <f t="shared" si="74"/>
        <v>1</v>
      </c>
      <c r="D319" s="600"/>
      <c r="E319" s="13">
        <f t="shared" si="75"/>
        <v>0</v>
      </c>
      <c r="F319" s="600"/>
      <c r="G319" s="13">
        <f t="shared" si="76"/>
        <v>0</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60">
        <f t="shared" si="82"/>
        <v>0</v>
      </c>
      <c r="V319" s="2960">
        <f t="shared" si="83"/>
        <v>0</v>
      </c>
      <c r="W319" s="997"/>
      <c r="X319" s="2960">
        <f t="shared" si="84"/>
        <v>0</v>
      </c>
      <c r="Y319" s="2960">
        <f t="shared" si="85"/>
        <v>0</v>
      </c>
      <c r="Z319" s="997"/>
    </row>
    <row r="320" spans="1:26">
      <c r="A320" s="35"/>
      <c r="B320" s="20"/>
      <c r="C320" s="13">
        <f t="shared" si="74"/>
        <v>1</v>
      </c>
      <c r="D320" s="600"/>
      <c r="E320" s="13">
        <f t="shared" si="75"/>
        <v>0</v>
      </c>
      <c r="F320" s="600"/>
      <c r="G320" s="13">
        <f t="shared" si="76"/>
        <v>0</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60">
        <f t="shared" si="82"/>
        <v>0</v>
      </c>
      <c r="V320" s="2960">
        <f t="shared" si="83"/>
        <v>0</v>
      </c>
      <c r="W320" s="997"/>
      <c r="X320" s="2960">
        <f t="shared" si="84"/>
        <v>0</v>
      </c>
      <c r="Y320" s="2960">
        <f t="shared" si="85"/>
        <v>0</v>
      </c>
      <c r="Z320" s="997"/>
    </row>
    <row r="321" spans="1:26">
      <c r="A321" s="35"/>
      <c r="B321" s="20"/>
      <c r="C321" s="13">
        <f t="shared" si="74"/>
        <v>1</v>
      </c>
      <c r="D321" s="600"/>
      <c r="E321" s="13">
        <f t="shared" si="75"/>
        <v>0</v>
      </c>
      <c r="F321" s="600"/>
      <c r="G321" s="13">
        <f t="shared" si="76"/>
        <v>0</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60">
        <f t="shared" si="82"/>
        <v>0</v>
      </c>
      <c r="V321" s="2960">
        <f t="shared" si="83"/>
        <v>0</v>
      </c>
      <c r="W321" s="997"/>
      <c r="X321" s="2960">
        <f t="shared" si="84"/>
        <v>0</v>
      </c>
      <c r="Y321" s="2960">
        <f t="shared" si="85"/>
        <v>0</v>
      </c>
      <c r="Z321" s="997"/>
    </row>
    <row r="322" spans="1:26">
      <c r="A322" s="35"/>
      <c r="B322" s="20"/>
      <c r="C322" s="13">
        <f t="shared" si="74"/>
        <v>1</v>
      </c>
      <c r="D322" s="600"/>
      <c r="E322" s="13">
        <f t="shared" si="75"/>
        <v>0</v>
      </c>
      <c r="F322" s="600"/>
      <c r="G322" s="13">
        <f t="shared" si="76"/>
        <v>0</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60">
        <f t="shared" si="82"/>
        <v>0</v>
      </c>
      <c r="V322" s="2960">
        <f t="shared" si="83"/>
        <v>0</v>
      </c>
      <c r="W322" s="997"/>
      <c r="X322" s="2960">
        <f t="shared" si="84"/>
        <v>0</v>
      </c>
      <c r="Y322" s="2960">
        <f t="shared" si="85"/>
        <v>0</v>
      </c>
      <c r="Z322" s="997"/>
    </row>
    <row r="323" spans="1:26">
      <c r="A323" s="35"/>
      <c r="B323" s="20"/>
      <c r="C323" s="13">
        <f t="shared" si="74"/>
        <v>1</v>
      </c>
      <c r="D323" s="600"/>
      <c r="E323" s="13">
        <f t="shared" si="75"/>
        <v>0</v>
      </c>
      <c r="F323" s="600"/>
      <c r="G323" s="13">
        <f t="shared" si="76"/>
        <v>0</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60">
        <f t="shared" si="82"/>
        <v>0</v>
      </c>
      <c r="V323" s="2960">
        <f t="shared" si="83"/>
        <v>0</v>
      </c>
      <c r="W323" s="997"/>
      <c r="X323" s="2960">
        <f t="shared" si="84"/>
        <v>0</v>
      </c>
      <c r="Y323" s="2960">
        <f t="shared" si="85"/>
        <v>0</v>
      </c>
      <c r="Z323" s="997"/>
    </row>
    <row r="324" spans="1:26">
      <c r="A324" s="35"/>
      <c r="B324" s="20"/>
      <c r="C324" s="13">
        <f t="shared" si="74"/>
        <v>1</v>
      </c>
      <c r="D324" s="600"/>
      <c r="E324" s="13">
        <f t="shared" si="75"/>
        <v>0</v>
      </c>
      <c r="F324" s="600"/>
      <c r="G324" s="13">
        <f t="shared" si="76"/>
        <v>0</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60">
        <f t="shared" si="82"/>
        <v>0</v>
      </c>
      <c r="V324" s="2960">
        <f t="shared" si="83"/>
        <v>0</v>
      </c>
      <c r="W324" s="997"/>
      <c r="X324" s="2960">
        <f t="shared" si="84"/>
        <v>0</v>
      </c>
      <c r="Y324" s="2960">
        <f t="shared" si="85"/>
        <v>0</v>
      </c>
      <c r="Z324" s="997"/>
    </row>
    <row r="325" spans="1:26">
      <c r="A325" s="35"/>
      <c r="B325" s="20"/>
      <c r="C325" s="13">
        <f t="shared" si="74"/>
        <v>1</v>
      </c>
      <c r="D325" s="600"/>
      <c r="E325" s="13">
        <f t="shared" si="75"/>
        <v>0</v>
      </c>
      <c r="F325" s="600"/>
      <c r="G325" s="13">
        <f t="shared" si="76"/>
        <v>0</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60">
        <f t="shared" si="82"/>
        <v>0</v>
      </c>
      <c r="V325" s="2960">
        <f t="shared" si="83"/>
        <v>0</v>
      </c>
      <c r="W325" s="997"/>
      <c r="X325" s="2960">
        <f t="shared" si="84"/>
        <v>0</v>
      </c>
      <c r="Y325" s="2960">
        <f t="shared" si="85"/>
        <v>0</v>
      </c>
      <c r="Z325" s="997"/>
    </row>
    <row r="326" spans="1:26">
      <c r="A326" s="35"/>
      <c r="B326" s="20"/>
      <c r="C326" s="13">
        <f t="shared" si="74"/>
        <v>1</v>
      </c>
      <c r="D326" s="600"/>
      <c r="E326" s="13">
        <f t="shared" si="75"/>
        <v>0</v>
      </c>
      <c r="F326" s="600"/>
      <c r="G326" s="13">
        <f t="shared" si="76"/>
        <v>0</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60">
        <f t="shared" si="82"/>
        <v>0</v>
      </c>
      <c r="V326" s="2960">
        <f t="shared" si="83"/>
        <v>0</v>
      </c>
      <c r="W326" s="997"/>
      <c r="X326" s="2960">
        <f t="shared" si="84"/>
        <v>0</v>
      </c>
      <c r="Y326" s="2960">
        <f t="shared" si="85"/>
        <v>0</v>
      </c>
      <c r="Z326" s="997"/>
    </row>
    <row r="327" spans="1:26">
      <c r="A327" s="35"/>
      <c r="B327" s="20"/>
      <c r="C327" s="13">
        <f t="shared" si="74"/>
        <v>1</v>
      </c>
      <c r="D327" s="600"/>
      <c r="E327" s="13">
        <f t="shared" si="75"/>
        <v>0</v>
      </c>
      <c r="F327" s="600"/>
      <c r="G327" s="13">
        <f t="shared" si="76"/>
        <v>0</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60">
        <f t="shared" si="82"/>
        <v>0</v>
      </c>
      <c r="V327" s="2960">
        <f t="shared" si="83"/>
        <v>0</v>
      </c>
      <c r="W327" s="997"/>
      <c r="X327" s="2960">
        <f t="shared" si="84"/>
        <v>0</v>
      </c>
      <c r="Y327" s="2960">
        <f t="shared" si="85"/>
        <v>0</v>
      </c>
      <c r="Z327" s="997"/>
    </row>
    <row r="328" spans="1:26">
      <c r="A328" s="35"/>
      <c r="B328" s="20"/>
      <c r="C328" s="13">
        <f t="shared" si="74"/>
        <v>1</v>
      </c>
      <c r="D328" s="600"/>
      <c r="E328" s="13">
        <f t="shared" si="75"/>
        <v>0</v>
      </c>
      <c r="F328" s="600"/>
      <c r="G328" s="13">
        <f t="shared" si="76"/>
        <v>0</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60">
        <f t="shared" si="82"/>
        <v>0</v>
      </c>
      <c r="V328" s="2960">
        <f t="shared" si="83"/>
        <v>0</v>
      </c>
      <c r="W328" s="997"/>
      <c r="X328" s="2960">
        <f t="shared" si="84"/>
        <v>0</v>
      </c>
      <c r="Y328" s="2960">
        <f t="shared" si="85"/>
        <v>0</v>
      </c>
      <c r="Z328" s="997"/>
    </row>
    <row r="329" spans="1:26">
      <c r="A329" s="35"/>
      <c r="B329" s="20"/>
      <c r="C329" s="13">
        <f t="shared" si="74"/>
        <v>1</v>
      </c>
      <c r="D329" s="600"/>
      <c r="E329" s="13">
        <f t="shared" si="75"/>
        <v>0</v>
      </c>
      <c r="F329" s="600"/>
      <c r="G329" s="13">
        <f t="shared" si="76"/>
        <v>0</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60">
        <f t="shared" si="82"/>
        <v>0</v>
      </c>
      <c r="V329" s="2960">
        <f t="shared" si="83"/>
        <v>0</v>
      </c>
      <c r="W329" s="997"/>
      <c r="X329" s="2960">
        <f t="shared" si="84"/>
        <v>0</v>
      </c>
      <c r="Y329" s="2960">
        <f t="shared" si="85"/>
        <v>0</v>
      </c>
      <c r="Z329" s="997"/>
    </row>
    <row r="330" spans="1:26">
      <c r="A330" s="35"/>
      <c r="B330" s="20"/>
      <c r="C330" s="13">
        <f t="shared" si="74"/>
        <v>1</v>
      </c>
      <c r="D330" s="600"/>
      <c r="E330" s="13">
        <f t="shared" si="75"/>
        <v>0</v>
      </c>
      <c r="F330" s="600"/>
      <c r="G330" s="13">
        <f t="shared" si="76"/>
        <v>0</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60">
        <f t="shared" si="82"/>
        <v>0</v>
      </c>
      <c r="V330" s="2960">
        <f t="shared" si="83"/>
        <v>0</v>
      </c>
      <c r="W330" s="997"/>
      <c r="X330" s="2960">
        <f t="shared" si="84"/>
        <v>0</v>
      </c>
      <c r="Y330" s="2960">
        <f t="shared" si="85"/>
        <v>0</v>
      </c>
      <c r="Z330" s="997"/>
    </row>
    <row r="331" spans="1:26">
      <c r="A331" s="35"/>
      <c r="B331" s="20"/>
      <c r="C331" s="13">
        <f t="shared" si="74"/>
        <v>1</v>
      </c>
      <c r="D331" s="600"/>
      <c r="E331" s="13">
        <f t="shared" si="75"/>
        <v>0</v>
      </c>
      <c r="F331" s="600"/>
      <c r="G331" s="13">
        <f t="shared" si="76"/>
        <v>0</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60">
        <f t="shared" si="82"/>
        <v>0</v>
      </c>
      <c r="V331" s="2960">
        <f t="shared" si="83"/>
        <v>0</v>
      </c>
      <c r="W331" s="997"/>
      <c r="X331" s="2960">
        <f t="shared" si="84"/>
        <v>0</v>
      </c>
      <c r="Y331" s="2960">
        <f t="shared" si="85"/>
        <v>0</v>
      </c>
      <c r="Z331" s="997"/>
    </row>
    <row r="332" spans="1:26">
      <c r="A332" s="35"/>
      <c r="B332" s="20"/>
      <c r="C332" s="13">
        <f t="shared" si="74"/>
        <v>1</v>
      </c>
      <c r="D332" s="600"/>
      <c r="E332" s="13">
        <f t="shared" si="75"/>
        <v>0</v>
      </c>
      <c r="F332" s="600"/>
      <c r="G332" s="13">
        <f t="shared" si="76"/>
        <v>0</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60">
        <f t="shared" si="82"/>
        <v>0</v>
      </c>
      <c r="V332" s="2960">
        <f t="shared" si="83"/>
        <v>0</v>
      </c>
      <c r="W332" s="997"/>
      <c r="X332" s="2960">
        <f t="shared" si="84"/>
        <v>0</v>
      </c>
      <c r="Y332" s="2960">
        <f t="shared" si="85"/>
        <v>0</v>
      </c>
      <c r="Z332" s="997"/>
    </row>
    <row r="333" spans="1:26">
      <c r="A333" s="35"/>
      <c r="B333" s="20"/>
      <c r="C333" s="13">
        <f t="shared" si="74"/>
        <v>1</v>
      </c>
      <c r="D333" s="600"/>
      <c r="E333" s="13">
        <f t="shared" si="75"/>
        <v>0</v>
      </c>
      <c r="F333" s="600"/>
      <c r="G333" s="13">
        <f t="shared" si="76"/>
        <v>0</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60">
        <f t="shared" si="82"/>
        <v>0</v>
      </c>
      <c r="V333" s="2960">
        <f t="shared" si="83"/>
        <v>0</v>
      </c>
      <c r="W333" s="997"/>
      <c r="X333" s="2960">
        <f t="shared" si="84"/>
        <v>0</v>
      </c>
      <c r="Y333" s="2960">
        <f t="shared" si="85"/>
        <v>0</v>
      </c>
      <c r="Z333" s="997"/>
    </row>
    <row r="334" spans="1:26">
      <c r="A334" s="35"/>
      <c r="B334" s="20"/>
      <c r="C334" s="13">
        <f t="shared" si="74"/>
        <v>1</v>
      </c>
      <c r="D334" s="600"/>
      <c r="E334" s="13">
        <f t="shared" si="75"/>
        <v>0</v>
      </c>
      <c r="F334" s="600"/>
      <c r="G334" s="13">
        <f t="shared" si="76"/>
        <v>0</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60">
        <f t="shared" si="82"/>
        <v>0</v>
      </c>
      <c r="V334" s="2960">
        <f t="shared" si="83"/>
        <v>0</v>
      </c>
      <c r="W334" s="997"/>
      <c r="X334" s="2960">
        <f t="shared" si="84"/>
        <v>0</v>
      </c>
      <c r="Y334" s="2960">
        <f t="shared" si="85"/>
        <v>0</v>
      </c>
      <c r="Z334" s="997"/>
    </row>
    <row r="335" spans="1:26">
      <c r="A335" s="35"/>
      <c r="B335" s="20"/>
      <c r="C335" s="13">
        <f t="shared" si="74"/>
        <v>1</v>
      </c>
      <c r="D335" s="600"/>
      <c r="E335" s="13">
        <f t="shared" si="75"/>
        <v>0</v>
      </c>
      <c r="F335" s="600"/>
      <c r="G335" s="13">
        <f t="shared" si="76"/>
        <v>0</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60">
        <f t="shared" si="82"/>
        <v>0</v>
      </c>
      <c r="V335" s="2960">
        <f t="shared" si="83"/>
        <v>0</v>
      </c>
      <c r="W335" s="997"/>
      <c r="X335" s="2960">
        <f t="shared" si="84"/>
        <v>0</v>
      </c>
      <c r="Y335" s="2960">
        <f t="shared" si="85"/>
        <v>0</v>
      </c>
      <c r="Z335" s="997"/>
    </row>
    <row r="336" spans="1:26">
      <c r="A336" s="35"/>
      <c r="B336" s="20"/>
      <c r="C336" s="13">
        <f t="shared" si="74"/>
        <v>1</v>
      </c>
      <c r="D336" s="600"/>
      <c r="E336" s="13">
        <f t="shared" si="75"/>
        <v>0</v>
      </c>
      <c r="F336" s="600"/>
      <c r="G336" s="13">
        <f t="shared" si="76"/>
        <v>0</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60">
        <f t="shared" si="82"/>
        <v>0</v>
      </c>
      <c r="V336" s="2960">
        <f t="shared" si="83"/>
        <v>0</v>
      </c>
      <c r="W336" s="997"/>
      <c r="X336" s="2960">
        <f t="shared" si="84"/>
        <v>0</v>
      </c>
      <c r="Y336" s="2960">
        <f t="shared" si="85"/>
        <v>0</v>
      </c>
      <c r="Z336" s="997"/>
    </row>
    <row r="337" spans="1:26">
      <c r="A337" s="35"/>
      <c r="B337" s="20"/>
      <c r="C337" s="13">
        <f t="shared" si="74"/>
        <v>1</v>
      </c>
      <c r="D337" s="600"/>
      <c r="E337" s="13">
        <f t="shared" si="75"/>
        <v>0</v>
      </c>
      <c r="F337" s="600"/>
      <c r="G337" s="13">
        <f t="shared" si="76"/>
        <v>0</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60">
        <f t="shared" si="82"/>
        <v>0</v>
      </c>
      <c r="V337" s="2960">
        <f t="shared" si="83"/>
        <v>0</v>
      </c>
      <c r="W337" s="997"/>
      <c r="X337" s="2960">
        <f t="shared" si="84"/>
        <v>0</v>
      </c>
      <c r="Y337" s="2960">
        <f t="shared" si="85"/>
        <v>0</v>
      </c>
      <c r="Z337" s="997"/>
    </row>
    <row r="338" spans="1:26">
      <c r="A338" s="35"/>
      <c r="B338" s="20"/>
      <c r="C338" s="13">
        <f t="shared" si="74"/>
        <v>1</v>
      </c>
      <c r="D338" s="600"/>
      <c r="E338" s="13">
        <f t="shared" si="75"/>
        <v>0</v>
      </c>
      <c r="F338" s="600"/>
      <c r="G338" s="13">
        <f t="shared" si="76"/>
        <v>0</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60">
        <f t="shared" si="82"/>
        <v>0</v>
      </c>
      <c r="V338" s="2960">
        <f t="shared" si="83"/>
        <v>0</v>
      </c>
      <c r="W338" s="997"/>
      <c r="X338" s="2960">
        <f t="shared" si="84"/>
        <v>0</v>
      </c>
      <c r="Y338" s="2960">
        <f t="shared" si="85"/>
        <v>0</v>
      </c>
      <c r="Z338" s="997"/>
    </row>
    <row r="339" spans="1:26">
      <c r="A339" s="35"/>
      <c r="B339" s="20"/>
      <c r="C339" s="13">
        <f t="shared" si="74"/>
        <v>1</v>
      </c>
      <c r="D339" s="600"/>
      <c r="E339" s="13">
        <f t="shared" si="75"/>
        <v>0</v>
      </c>
      <c r="F339" s="600"/>
      <c r="G339" s="13">
        <f t="shared" si="76"/>
        <v>0</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60">
        <f t="shared" si="82"/>
        <v>0</v>
      </c>
      <c r="V339" s="2960">
        <f t="shared" si="83"/>
        <v>0</v>
      </c>
      <c r="W339" s="997"/>
      <c r="X339" s="2960">
        <f t="shared" si="84"/>
        <v>0</v>
      </c>
      <c r="Y339" s="2960">
        <f t="shared" si="85"/>
        <v>0</v>
      </c>
      <c r="Z339" s="997"/>
    </row>
    <row r="340" spans="1:26">
      <c r="A340" s="35"/>
      <c r="B340" s="20"/>
      <c r="C340" s="13">
        <f t="shared" si="74"/>
        <v>1</v>
      </c>
      <c r="D340" s="600"/>
      <c r="E340" s="13">
        <f t="shared" si="75"/>
        <v>0</v>
      </c>
      <c r="F340" s="600"/>
      <c r="G340" s="13">
        <f t="shared" si="76"/>
        <v>0</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60">
        <f t="shared" si="82"/>
        <v>0</v>
      </c>
      <c r="V340" s="2960">
        <f t="shared" si="83"/>
        <v>0</v>
      </c>
      <c r="W340" s="997"/>
      <c r="X340" s="2960">
        <f t="shared" si="84"/>
        <v>0</v>
      </c>
      <c r="Y340" s="2960">
        <f t="shared" si="85"/>
        <v>0</v>
      </c>
      <c r="Z340" s="997"/>
    </row>
    <row r="341" spans="1:26">
      <c r="A341" s="35"/>
      <c r="B341" s="20"/>
      <c r="C341" s="13">
        <f t="shared" si="74"/>
        <v>1</v>
      </c>
      <c r="D341" s="600"/>
      <c r="E341" s="13">
        <f t="shared" si="75"/>
        <v>0</v>
      </c>
      <c r="F341" s="600"/>
      <c r="G341" s="13">
        <f t="shared" si="76"/>
        <v>0</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60">
        <f t="shared" si="82"/>
        <v>0</v>
      </c>
      <c r="V341" s="2960">
        <f t="shared" si="83"/>
        <v>0</v>
      </c>
      <c r="W341" s="997"/>
      <c r="X341" s="2960">
        <f t="shared" si="84"/>
        <v>0</v>
      </c>
      <c r="Y341" s="2960">
        <f t="shared" si="85"/>
        <v>0</v>
      </c>
      <c r="Z341" s="997"/>
    </row>
    <row r="342" spans="1:26">
      <c r="A342" s="35"/>
      <c r="B342" s="20"/>
      <c r="C342" s="13">
        <f t="shared" si="74"/>
        <v>1</v>
      </c>
      <c r="D342" s="600"/>
      <c r="E342" s="13">
        <f t="shared" si="75"/>
        <v>0</v>
      </c>
      <c r="F342" s="600"/>
      <c r="G342" s="13">
        <f t="shared" si="76"/>
        <v>0</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60">
        <f t="shared" si="82"/>
        <v>0</v>
      </c>
      <c r="V342" s="2960">
        <f t="shared" si="83"/>
        <v>0</v>
      </c>
      <c r="W342" s="997"/>
      <c r="X342" s="2960">
        <f t="shared" si="84"/>
        <v>0</v>
      </c>
      <c r="Y342" s="2960">
        <f t="shared" si="85"/>
        <v>0</v>
      </c>
      <c r="Z342" s="997"/>
    </row>
    <row r="343" spans="1:26">
      <c r="A343" s="35"/>
      <c r="B343" s="20"/>
      <c r="C343" s="13">
        <f t="shared" si="74"/>
        <v>1</v>
      </c>
      <c r="D343" s="600"/>
      <c r="E343" s="13">
        <f t="shared" si="75"/>
        <v>0</v>
      </c>
      <c r="F343" s="600"/>
      <c r="G343" s="13">
        <f t="shared" si="76"/>
        <v>0</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60">
        <f t="shared" si="82"/>
        <v>0</v>
      </c>
      <c r="V343" s="2960">
        <f t="shared" si="83"/>
        <v>0</v>
      </c>
      <c r="W343" s="997"/>
      <c r="X343" s="2960">
        <f t="shared" si="84"/>
        <v>0</v>
      </c>
      <c r="Y343" s="2960">
        <f t="shared" si="85"/>
        <v>0</v>
      </c>
      <c r="Z343" s="997"/>
    </row>
    <row r="344" spans="1:26">
      <c r="A344" s="35"/>
      <c r="B344" s="20"/>
      <c r="C344" s="13">
        <f t="shared" si="74"/>
        <v>1</v>
      </c>
      <c r="D344" s="600"/>
      <c r="E344" s="13">
        <f t="shared" si="75"/>
        <v>0</v>
      </c>
      <c r="F344" s="600"/>
      <c r="G344" s="13">
        <f t="shared" si="76"/>
        <v>0</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60">
        <f t="shared" si="82"/>
        <v>0</v>
      </c>
      <c r="V344" s="2960">
        <f t="shared" si="83"/>
        <v>0</v>
      </c>
      <c r="W344" s="997"/>
      <c r="X344" s="2960">
        <f t="shared" si="84"/>
        <v>0</v>
      </c>
      <c r="Y344" s="2960">
        <f t="shared" si="85"/>
        <v>0</v>
      </c>
      <c r="Z344" s="997"/>
    </row>
    <row r="345" spans="1:26">
      <c r="A345" s="35"/>
      <c r="B345" s="20"/>
      <c r="C345" s="13">
        <f t="shared" si="74"/>
        <v>1</v>
      </c>
      <c r="D345" s="600"/>
      <c r="E345" s="13">
        <f t="shared" si="75"/>
        <v>0</v>
      </c>
      <c r="F345" s="600"/>
      <c r="G345" s="13">
        <f t="shared" si="76"/>
        <v>0</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60">
        <f t="shared" si="82"/>
        <v>0</v>
      </c>
      <c r="V345" s="2960">
        <f t="shared" si="83"/>
        <v>0</v>
      </c>
      <c r="W345" s="997"/>
      <c r="X345" s="2960">
        <f t="shared" si="84"/>
        <v>0</v>
      </c>
      <c r="Y345" s="2960">
        <f t="shared" si="85"/>
        <v>0</v>
      </c>
      <c r="Z345" s="997"/>
    </row>
    <row r="346" spans="1:26">
      <c r="A346" s="35"/>
      <c r="B346" s="20"/>
      <c r="C346" s="13">
        <f t="shared" si="74"/>
        <v>1</v>
      </c>
      <c r="D346" s="600"/>
      <c r="E346" s="13">
        <f t="shared" si="75"/>
        <v>0</v>
      </c>
      <c r="F346" s="600"/>
      <c r="G346" s="13">
        <f t="shared" si="76"/>
        <v>0</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60">
        <f t="shared" si="82"/>
        <v>0</v>
      </c>
      <c r="V346" s="2960">
        <f t="shared" si="83"/>
        <v>0</v>
      </c>
      <c r="W346" s="997"/>
      <c r="X346" s="2960">
        <f t="shared" si="84"/>
        <v>0</v>
      </c>
      <c r="Y346" s="2960">
        <f t="shared" si="85"/>
        <v>0</v>
      </c>
      <c r="Z346" s="997"/>
    </row>
    <row r="347" spans="1:26">
      <c r="A347" s="35"/>
      <c r="B347" s="20"/>
      <c r="C347" s="13">
        <f t="shared" si="74"/>
        <v>1</v>
      </c>
      <c r="D347" s="600"/>
      <c r="E347" s="13">
        <f t="shared" si="75"/>
        <v>0</v>
      </c>
      <c r="F347" s="600"/>
      <c r="G347" s="13">
        <f t="shared" si="76"/>
        <v>0</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60">
        <f t="shared" si="82"/>
        <v>0</v>
      </c>
      <c r="V347" s="2960">
        <f t="shared" si="83"/>
        <v>0</v>
      </c>
      <c r="W347" s="997"/>
      <c r="X347" s="2960">
        <f t="shared" si="84"/>
        <v>0</v>
      </c>
      <c r="Y347" s="2960">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60">
        <f t="shared" ref="U348:U411" si="97">ROUND(W348*B348,0)</f>
        <v>0</v>
      </c>
      <c r="V348" s="2960">
        <f t="shared" ref="V348:V411" si="98">ROUND(W348*B348/10000,0)</f>
        <v>0</v>
      </c>
      <c r="W348" s="997"/>
      <c r="X348" s="2960">
        <f t="shared" ref="X348:X411" si="99">ROUND(Z348*B348,0)</f>
        <v>0</v>
      </c>
      <c r="Y348" s="2960">
        <f t="shared" ref="Y348:Y411" si="100">ROUND(Z348*B348/10000,0)</f>
        <v>0</v>
      </c>
      <c r="Z348" s="997"/>
    </row>
    <row r="349" spans="1:26">
      <c r="A349" s="35"/>
      <c r="B349" s="20"/>
      <c r="C349" s="13">
        <f t="shared" si="89"/>
        <v>1</v>
      </c>
      <c r="D349" s="600"/>
      <c r="E349" s="13">
        <f t="shared" si="90"/>
        <v>0</v>
      </c>
      <c r="F349" s="600"/>
      <c r="G349" s="13">
        <f t="shared" si="91"/>
        <v>0</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60">
        <f t="shared" si="97"/>
        <v>0</v>
      </c>
      <c r="V349" s="2960">
        <f t="shared" si="98"/>
        <v>0</v>
      </c>
      <c r="W349" s="997"/>
      <c r="X349" s="2960">
        <f t="shared" si="99"/>
        <v>0</v>
      </c>
      <c r="Y349" s="2960">
        <f t="shared" si="100"/>
        <v>0</v>
      </c>
      <c r="Z349" s="997"/>
    </row>
    <row r="350" spans="1:26">
      <c r="A350" s="35"/>
      <c r="B350" s="20"/>
      <c r="C350" s="13">
        <f t="shared" si="89"/>
        <v>1</v>
      </c>
      <c r="D350" s="600"/>
      <c r="E350" s="13">
        <f t="shared" si="90"/>
        <v>0</v>
      </c>
      <c r="F350" s="600"/>
      <c r="G350" s="13">
        <f t="shared" si="91"/>
        <v>0</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60">
        <f t="shared" si="97"/>
        <v>0</v>
      </c>
      <c r="V350" s="2960">
        <f t="shared" si="98"/>
        <v>0</v>
      </c>
      <c r="W350" s="997"/>
      <c r="X350" s="2960">
        <f t="shared" si="99"/>
        <v>0</v>
      </c>
      <c r="Y350" s="2960">
        <f t="shared" si="100"/>
        <v>0</v>
      </c>
      <c r="Z350" s="997"/>
    </row>
    <row r="351" spans="1:26">
      <c r="A351" s="35"/>
      <c r="B351" s="20"/>
      <c r="C351" s="13">
        <f t="shared" si="89"/>
        <v>1</v>
      </c>
      <c r="D351" s="600"/>
      <c r="E351" s="13">
        <f t="shared" si="90"/>
        <v>0</v>
      </c>
      <c r="F351" s="600"/>
      <c r="G351" s="13">
        <f t="shared" si="91"/>
        <v>0</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60">
        <f t="shared" si="97"/>
        <v>0</v>
      </c>
      <c r="V351" s="2960">
        <f t="shared" si="98"/>
        <v>0</v>
      </c>
      <c r="W351" s="997"/>
      <c r="X351" s="2960">
        <f t="shared" si="99"/>
        <v>0</v>
      </c>
      <c r="Y351" s="2960">
        <f t="shared" si="100"/>
        <v>0</v>
      </c>
      <c r="Z351" s="997"/>
    </row>
    <row r="352" spans="1:26">
      <c r="A352" s="35"/>
      <c r="B352" s="20"/>
      <c r="C352" s="13">
        <f t="shared" si="89"/>
        <v>1</v>
      </c>
      <c r="D352" s="600"/>
      <c r="E352" s="13">
        <f t="shared" si="90"/>
        <v>0</v>
      </c>
      <c r="F352" s="600"/>
      <c r="G352" s="13">
        <f t="shared" si="91"/>
        <v>0</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60">
        <f t="shared" si="97"/>
        <v>0</v>
      </c>
      <c r="V352" s="2960">
        <f t="shared" si="98"/>
        <v>0</v>
      </c>
      <c r="W352" s="997"/>
      <c r="X352" s="2960">
        <f t="shared" si="99"/>
        <v>0</v>
      </c>
      <c r="Y352" s="2960">
        <f t="shared" si="100"/>
        <v>0</v>
      </c>
      <c r="Z352" s="997"/>
    </row>
    <row r="353" spans="1:26">
      <c r="A353" s="35"/>
      <c r="B353" s="20"/>
      <c r="C353" s="13">
        <f t="shared" si="89"/>
        <v>1</v>
      </c>
      <c r="D353" s="600"/>
      <c r="E353" s="13">
        <f t="shared" si="90"/>
        <v>0</v>
      </c>
      <c r="F353" s="600"/>
      <c r="G353" s="13">
        <f t="shared" si="91"/>
        <v>0</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60">
        <f t="shared" si="97"/>
        <v>0</v>
      </c>
      <c r="V353" s="2960">
        <f t="shared" si="98"/>
        <v>0</v>
      </c>
      <c r="W353" s="997"/>
      <c r="X353" s="2960">
        <f t="shared" si="99"/>
        <v>0</v>
      </c>
      <c r="Y353" s="2960">
        <f t="shared" si="100"/>
        <v>0</v>
      </c>
      <c r="Z353" s="997"/>
    </row>
    <row r="354" spans="1:26">
      <c r="A354" s="35"/>
      <c r="B354" s="20"/>
      <c r="C354" s="13">
        <f t="shared" si="89"/>
        <v>1</v>
      </c>
      <c r="D354" s="600"/>
      <c r="E354" s="13">
        <f t="shared" si="90"/>
        <v>0</v>
      </c>
      <c r="F354" s="600"/>
      <c r="G354" s="13">
        <f t="shared" si="91"/>
        <v>0</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60">
        <f t="shared" si="97"/>
        <v>0</v>
      </c>
      <c r="V354" s="2960">
        <f t="shared" si="98"/>
        <v>0</v>
      </c>
      <c r="W354" s="997"/>
      <c r="X354" s="2960">
        <f t="shared" si="99"/>
        <v>0</v>
      </c>
      <c r="Y354" s="2960">
        <f t="shared" si="100"/>
        <v>0</v>
      </c>
      <c r="Z354" s="997"/>
    </row>
    <row r="355" spans="1:26">
      <c r="A355" s="35"/>
      <c r="B355" s="20"/>
      <c r="C355" s="13">
        <f t="shared" si="89"/>
        <v>1</v>
      </c>
      <c r="D355" s="600"/>
      <c r="E355" s="13">
        <f t="shared" si="90"/>
        <v>0</v>
      </c>
      <c r="F355" s="600"/>
      <c r="G355" s="13">
        <f t="shared" si="91"/>
        <v>0</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60">
        <f t="shared" si="97"/>
        <v>0</v>
      </c>
      <c r="V355" s="2960">
        <f t="shared" si="98"/>
        <v>0</v>
      </c>
      <c r="W355" s="997"/>
      <c r="X355" s="2960">
        <f t="shared" si="99"/>
        <v>0</v>
      </c>
      <c r="Y355" s="2960">
        <f t="shared" si="100"/>
        <v>0</v>
      </c>
      <c r="Z355" s="997"/>
    </row>
    <row r="356" spans="1:26">
      <c r="A356" s="35"/>
      <c r="B356" s="20"/>
      <c r="C356" s="13">
        <f t="shared" si="89"/>
        <v>1</v>
      </c>
      <c r="D356" s="600"/>
      <c r="E356" s="13">
        <f t="shared" si="90"/>
        <v>0</v>
      </c>
      <c r="F356" s="600"/>
      <c r="G356" s="13">
        <f t="shared" si="91"/>
        <v>0</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60">
        <f t="shared" si="97"/>
        <v>0</v>
      </c>
      <c r="V356" s="2960">
        <f t="shared" si="98"/>
        <v>0</v>
      </c>
      <c r="W356" s="997"/>
      <c r="X356" s="2960">
        <f t="shared" si="99"/>
        <v>0</v>
      </c>
      <c r="Y356" s="2960">
        <f t="shared" si="100"/>
        <v>0</v>
      </c>
      <c r="Z356" s="997"/>
    </row>
    <row r="357" spans="1:26">
      <c r="A357" s="35"/>
      <c r="B357" s="20"/>
      <c r="C357" s="13">
        <f t="shared" si="89"/>
        <v>1</v>
      </c>
      <c r="D357" s="600"/>
      <c r="E357" s="13">
        <f t="shared" si="90"/>
        <v>0</v>
      </c>
      <c r="F357" s="600"/>
      <c r="G357" s="13">
        <f t="shared" si="91"/>
        <v>0</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60">
        <f t="shared" si="97"/>
        <v>0</v>
      </c>
      <c r="V357" s="2960">
        <f t="shared" si="98"/>
        <v>0</v>
      </c>
      <c r="W357" s="997"/>
      <c r="X357" s="2960">
        <f t="shared" si="99"/>
        <v>0</v>
      </c>
      <c r="Y357" s="2960">
        <f t="shared" si="100"/>
        <v>0</v>
      </c>
      <c r="Z357" s="997"/>
    </row>
    <row r="358" spans="1:26">
      <c r="A358" s="35"/>
      <c r="B358" s="20"/>
      <c r="C358" s="13">
        <f t="shared" si="89"/>
        <v>1</v>
      </c>
      <c r="D358" s="600"/>
      <c r="E358" s="13">
        <f t="shared" si="90"/>
        <v>0</v>
      </c>
      <c r="F358" s="600"/>
      <c r="G358" s="13">
        <f t="shared" si="91"/>
        <v>0</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60">
        <f t="shared" si="97"/>
        <v>0</v>
      </c>
      <c r="V358" s="2960">
        <f t="shared" si="98"/>
        <v>0</v>
      </c>
      <c r="W358" s="997"/>
      <c r="X358" s="2960">
        <f t="shared" si="99"/>
        <v>0</v>
      </c>
      <c r="Y358" s="2960">
        <f t="shared" si="100"/>
        <v>0</v>
      </c>
      <c r="Z358" s="997"/>
    </row>
    <row r="359" spans="1:26">
      <c r="A359" s="35"/>
      <c r="B359" s="20"/>
      <c r="C359" s="13">
        <f t="shared" si="89"/>
        <v>1</v>
      </c>
      <c r="D359" s="600"/>
      <c r="E359" s="13">
        <f t="shared" si="90"/>
        <v>0</v>
      </c>
      <c r="F359" s="600"/>
      <c r="G359" s="13">
        <f t="shared" si="91"/>
        <v>0</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60">
        <f t="shared" si="97"/>
        <v>0</v>
      </c>
      <c r="V359" s="2960">
        <f t="shared" si="98"/>
        <v>0</v>
      </c>
      <c r="W359" s="997"/>
      <c r="X359" s="2960">
        <f t="shared" si="99"/>
        <v>0</v>
      </c>
      <c r="Y359" s="2960">
        <f t="shared" si="100"/>
        <v>0</v>
      </c>
      <c r="Z359" s="997"/>
    </row>
    <row r="360" spans="1:26">
      <c r="A360" s="35"/>
      <c r="B360" s="20"/>
      <c r="C360" s="13">
        <f t="shared" si="89"/>
        <v>1</v>
      </c>
      <c r="D360" s="600"/>
      <c r="E360" s="13">
        <f t="shared" si="90"/>
        <v>0</v>
      </c>
      <c r="F360" s="600"/>
      <c r="G360" s="13">
        <f t="shared" si="91"/>
        <v>0</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60">
        <f t="shared" si="97"/>
        <v>0</v>
      </c>
      <c r="V360" s="2960">
        <f t="shared" si="98"/>
        <v>0</v>
      </c>
      <c r="W360" s="997"/>
      <c r="X360" s="2960">
        <f t="shared" si="99"/>
        <v>0</v>
      </c>
      <c r="Y360" s="2960">
        <f t="shared" si="100"/>
        <v>0</v>
      </c>
      <c r="Z360" s="997"/>
    </row>
    <row r="361" spans="1:26">
      <c r="A361" s="35"/>
      <c r="B361" s="20"/>
      <c r="C361" s="13">
        <f t="shared" si="89"/>
        <v>1</v>
      </c>
      <c r="D361" s="600"/>
      <c r="E361" s="13">
        <f t="shared" si="90"/>
        <v>0</v>
      </c>
      <c r="F361" s="600"/>
      <c r="G361" s="13">
        <f t="shared" si="91"/>
        <v>0</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60">
        <f t="shared" si="97"/>
        <v>0</v>
      </c>
      <c r="V361" s="2960">
        <f t="shared" si="98"/>
        <v>0</v>
      </c>
      <c r="W361" s="997"/>
      <c r="X361" s="2960">
        <f t="shared" si="99"/>
        <v>0</v>
      </c>
      <c r="Y361" s="2960">
        <f t="shared" si="100"/>
        <v>0</v>
      </c>
      <c r="Z361" s="997"/>
    </row>
    <row r="362" spans="1:26">
      <c r="A362" s="35"/>
      <c r="B362" s="20"/>
      <c r="C362" s="13">
        <f t="shared" si="89"/>
        <v>1</v>
      </c>
      <c r="D362" s="600"/>
      <c r="E362" s="13">
        <f t="shared" si="90"/>
        <v>0</v>
      </c>
      <c r="F362" s="600"/>
      <c r="G362" s="13">
        <f t="shared" si="91"/>
        <v>0</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60">
        <f t="shared" si="97"/>
        <v>0</v>
      </c>
      <c r="V362" s="2960">
        <f t="shared" si="98"/>
        <v>0</v>
      </c>
      <c r="W362" s="997"/>
      <c r="X362" s="2960">
        <f t="shared" si="99"/>
        <v>0</v>
      </c>
      <c r="Y362" s="2960">
        <f t="shared" si="100"/>
        <v>0</v>
      </c>
      <c r="Z362" s="997"/>
    </row>
    <row r="363" spans="1:26">
      <c r="A363" s="35"/>
      <c r="B363" s="20"/>
      <c r="C363" s="13">
        <f t="shared" si="89"/>
        <v>1</v>
      </c>
      <c r="D363" s="600"/>
      <c r="E363" s="13">
        <f t="shared" si="90"/>
        <v>0</v>
      </c>
      <c r="F363" s="600"/>
      <c r="G363" s="13">
        <f t="shared" si="91"/>
        <v>0</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60">
        <f t="shared" si="97"/>
        <v>0</v>
      </c>
      <c r="V363" s="2960">
        <f t="shared" si="98"/>
        <v>0</v>
      </c>
      <c r="W363" s="997"/>
      <c r="X363" s="2960">
        <f t="shared" si="99"/>
        <v>0</v>
      </c>
      <c r="Y363" s="2960">
        <f t="shared" si="100"/>
        <v>0</v>
      </c>
      <c r="Z363" s="997"/>
    </row>
    <row r="364" spans="1:26">
      <c r="A364" s="35"/>
      <c r="B364" s="20"/>
      <c r="C364" s="13">
        <f t="shared" si="89"/>
        <v>1</v>
      </c>
      <c r="D364" s="600"/>
      <c r="E364" s="13">
        <f t="shared" si="90"/>
        <v>0</v>
      </c>
      <c r="F364" s="600"/>
      <c r="G364" s="13">
        <f t="shared" si="91"/>
        <v>0</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60">
        <f t="shared" si="97"/>
        <v>0</v>
      </c>
      <c r="V364" s="2960">
        <f t="shared" si="98"/>
        <v>0</v>
      </c>
      <c r="W364" s="997"/>
      <c r="X364" s="2960">
        <f t="shared" si="99"/>
        <v>0</v>
      </c>
      <c r="Y364" s="2960">
        <f t="shared" si="100"/>
        <v>0</v>
      </c>
      <c r="Z364" s="997"/>
    </row>
    <row r="365" spans="1:26">
      <c r="A365" s="35"/>
      <c r="B365" s="20"/>
      <c r="C365" s="13">
        <f t="shared" si="89"/>
        <v>1</v>
      </c>
      <c r="D365" s="600"/>
      <c r="E365" s="13">
        <f t="shared" si="90"/>
        <v>0</v>
      </c>
      <c r="F365" s="600"/>
      <c r="G365" s="13">
        <f t="shared" si="91"/>
        <v>0</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60">
        <f t="shared" si="97"/>
        <v>0</v>
      </c>
      <c r="V365" s="2960">
        <f t="shared" si="98"/>
        <v>0</v>
      </c>
      <c r="W365" s="997"/>
      <c r="X365" s="2960">
        <f t="shared" si="99"/>
        <v>0</v>
      </c>
      <c r="Y365" s="2960">
        <f t="shared" si="100"/>
        <v>0</v>
      </c>
      <c r="Z365" s="997"/>
    </row>
    <row r="366" spans="1:26">
      <c r="A366" s="35"/>
      <c r="B366" s="20"/>
      <c r="C366" s="13">
        <f t="shared" si="89"/>
        <v>1</v>
      </c>
      <c r="D366" s="600"/>
      <c r="E366" s="13">
        <f t="shared" si="90"/>
        <v>0</v>
      </c>
      <c r="F366" s="600"/>
      <c r="G366" s="13">
        <f t="shared" si="91"/>
        <v>0</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60">
        <f t="shared" si="97"/>
        <v>0</v>
      </c>
      <c r="V366" s="2960">
        <f t="shared" si="98"/>
        <v>0</v>
      </c>
      <c r="W366" s="997"/>
      <c r="X366" s="2960">
        <f t="shared" si="99"/>
        <v>0</v>
      </c>
      <c r="Y366" s="2960">
        <f t="shared" si="100"/>
        <v>0</v>
      </c>
      <c r="Z366" s="997"/>
    </row>
    <row r="367" spans="1:26">
      <c r="A367" s="35"/>
      <c r="B367" s="20"/>
      <c r="C367" s="13">
        <f t="shared" si="89"/>
        <v>1</v>
      </c>
      <c r="D367" s="600"/>
      <c r="E367" s="13">
        <f t="shared" si="90"/>
        <v>0</v>
      </c>
      <c r="F367" s="600"/>
      <c r="G367" s="13">
        <f t="shared" si="91"/>
        <v>0</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60">
        <f t="shared" si="97"/>
        <v>0</v>
      </c>
      <c r="V367" s="2960">
        <f t="shared" si="98"/>
        <v>0</v>
      </c>
      <c r="W367" s="997"/>
      <c r="X367" s="2960">
        <f t="shared" si="99"/>
        <v>0</v>
      </c>
      <c r="Y367" s="2960">
        <f t="shared" si="100"/>
        <v>0</v>
      </c>
      <c r="Z367" s="997"/>
    </row>
    <row r="368" spans="1:26">
      <c r="A368" s="35"/>
      <c r="B368" s="20"/>
      <c r="C368" s="13">
        <f t="shared" si="89"/>
        <v>1</v>
      </c>
      <c r="D368" s="600"/>
      <c r="E368" s="13">
        <f t="shared" si="90"/>
        <v>0</v>
      </c>
      <c r="F368" s="600"/>
      <c r="G368" s="13">
        <f t="shared" si="91"/>
        <v>0</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60">
        <f t="shared" si="97"/>
        <v>0</v>
      </c>
      <c r="V368" s="2960">
        <f t="shared" si="98"/>
        <v>0</v>
      </c>
      <c r="W368" s="997"/>
      <c r="X368" s="2960">
        <f t="shared" si="99"/>
        <v>0</v>
      </c>
      <c r="Y368" s="2960">
        <f t="shared" si="100"/>
        <v>0</v>
      </c>
      <c r="Z368" s="997"/>
    </row>
    <row r="369" spans="1:26">
      <c r="A369" s="35"/>
      <c r="B369" s="20"/>
      <c r="C369" s="13">
        <f t="shared" si="89"/>
        <v>1</v>
      </c>
      <c r="D369" s="600"/>
      <c r="E369" s="13">
        <f t="shared" si="90"/>
        <v>0</v>
      </c>
      <c r="F369" s="600"/>
      <c r="G369" s="13">
        <f t="shared" si="91"/>
        <v>0</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60">
        <f t="shared" si="97"/>
        <v>0</v>
      </c>
      <c r="V369" s="2960">
        <f t="shared" si="98"/>
        <v>0</v>
      </c>
      <c r="W369" s="997"/>
      <c r="X369" s="2960">
        <f t="shared" si="99"/>
        <v>0</v>
      </c>
      <c r="Y369" s="2960">
        <f t="shared" si="100"/>
        <v>0</v>
      </c>
      <c r="Z369" s="997"/>
    </row>
    <row r="370" spans="1:26">
      <c r="A370" s="35"/>
      <c r="B370" s="20"/>
      <c r="C370" s="13">
        <f t="shared" si="89"/>
        <v>1</v>
      </c>
      <c r="D370" s="600"/>
      <c r="E370" s="13">
        <f t="shared" si="90"/>
        <v>0</v>
      </c>
      <c r="F370" s="600"/>
      <c r="G370" s="13">
        <f t="shared" si="91"/>
        <v>0</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60">
        <f t="shared" si="97"/>
        <v>0</v>
      </c>
      <c r="V370" s="2960">
        <f t="shared" si="98"/>
        <v>0</v>
      </c>
      <c r="W370" s="997"/>
      <c r="X370" s="2960">
        <f t="shared" si="99"/>
        <v>0</v>
      </c>
      <c r="Y370" s="2960">
        <f t="shared" si="100"/>
        <v>0</v>
      </c>
      <c r="Z370" s="997"/>
    </row>
    <row r="371" spans="1:26">
      <c r="A371" s="35"/>
      <c r="B371" s="20"/>
      <c r="C371" s="13">
        <f t="shared" si="89"/>
        <v>1</v>
      </c>
      <c r="D371" s="600"/>
      <c r="E371" s="13">
        <f t="shared" si="90"/>
        <v>0</v>
      </c>
      <c r="F371" s="600"/>
      <c r="G371" s="13">
        <f t="shared" si="91"/>
        <v>0</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60">
        <f t="shared" si="97"/>
        <v>0</v>
      </c>
      <c r="V371" s="2960">
        <f t="shared" si="98"/>
        <v>0</v>
      </c>
      <c r="W371" s="997"/>
      <c r="X371" s="2960">
        <f t="shared" si="99"/>
        <v>0</v>
      </c>
      <c r="Y371" s="2960">
        <f t="shared" si="100"/>
        <v>0</v>
      </c>
      <c r="Z371" s="997"/>
    </row>
    <row r="372" spans="1:26">
      <c r="A372" s="35"/>
      <c r="B372" s="20"/>
      <c r="C372" s="13">
        <f t="shared" si="89"/>
        <v>1</v>
      </c>
      <c r="D372" s="600"/>
      <c r="E372" s="13">
        <f t="shared" si="90"/>
        <v>0</v>
      </c>
      <c r="F372" s="600"/>
      <c r="G372" s="13">
        <f t="shared" si="91"/>
        <v>0</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60">
        <f t="shared" si="97"/>
        <v>0</v>
      </c>
      <c r="V372" s="2960">
        <f t="shared" si="98"/>
        <v>0</v>
      </c>
      <c r="W372" s="997"/>
      <c r="X372" s="2960">
        <f t="shared" si="99"/>
        <v>0</v>
      </c>
      <c r="Y372" s="2960">
        <f t="shared" si="100"/>
        <v>0</v>
      </c>
      <c r="Z372" s="997"/>
    </row>
    <row r="373" spans="1:26">
      <c r="A373" s="35"/>
      <c r="B373" s="20"/>
      <c r="C373" s="13">
        <f t="shared" si="89"/>
        <v>1</v>
      </c>
      <c r="D373" s="600"/>
      <c r="E373" s="13">
        <f t="shared" si="90"/>
        <v>0</v>
      </c>
      <c r="F373" s="600"/>
      <c r="G373" s="13">
        <f t="shared" si="91"/>
        <v>0</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60">
        <f t="shared" si="97"/>
        <v>0</v>
      </c>
      <c r="V373" s="2960">
        <f t="shared" si="98"/>
        <v>0</v>
      </c>
      <c r="W373" s="997"/>
      <c r="X373" s="2960">
        <f t="shared" si="99"/>
        <v>0</v>
      </c>
      <c r="Y373" s="2960">
        <f t="shared" si="100"/>
        <v>0</v>
      </c>
      <c r="Z373" s="997"/>
    </row>
    <row r="374" spans="1:26">
      <c r="A374" s="35"/>
      <c r="B374" s="20"/>
      <c r="C374" s="13">
        <f t="shared" si="89"/>
        <v>1</v>
      </c>
      <c r="D374" s="600"/>
      <c r="E374" s="13">
        <f t="shared" si="90"/>
        <v>0</v>
      </c>
      <c r="F374" s="600"/>
      <c r="G374" s="13">
        <f t="shared" si="91"/>
        <v>0</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60">
        <f t="shared" si="97"/>
        <v>0</v>
      </c>
      <c r="V374" s="2960">
        <f t="shared" si="98"/>
        <v>0</v>
      </c>
      <c r="W374" s="997"/>
      <c r="X374" s="2960">
        <f t="shared" si="99"/>
        <v>0</v>
      </c>
      <c r="Y374" s="2960">
        <f t="shared" si="100"/>
        <v>0</v>
      </c>
      <c r="Z374" s="997"/>
    </row>
    <row r="375" spans="1:26">
      <c r="A375" s="35"/>
      <c r="B375" s="20"/>
      <c r="C375" s="13">
        <f t="shared" si="89"/>
        <v>1</v>
      </c>
      <c r="D375" s="600"/>
      <c r="E375" s="13">
        <f t="shared" si="90"/>
        <v>0</v>
      </c>
      <c r="F375" s="600"/>
      <c r="G375" s="13">
        <f t="shared" si="91"/>
        <v>0</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60">
        <f t="shared" si="97"/>
        <v>0</v>
      </c>
      <c r="V375" s="2960">
        <f t="shared" si="98"/>
        <v>0</v>
      </c>
      <c r="W375" s="997"/>
      <c r="X375" s="2960">
        <f t="shared" si="99"/>
        <v>0</v>
      </c>
      <c r="Y375" s="2960">
        <f t="shared" si="100"/>
        <v>0</v>
      </c>
      <c r="Z375" s="997"/>
    </row>
    <row r="376" spans="1:26">
      <c r="A376" s="35"/>
      <c r="B376" s="20"/>
      <c r="C376" s="13">
        <f t="shared" si="89"/>
        <v>1</v>
      </c>
      <c r="D376" s="600"/>
      <c r="E376" s="13">
        <f t="shared" si="90"/>
        <v>0</v>
      </c>
      <c r="F376" s="600"/>
      <c r="G376" s="13">
        <f t="shared" si="91"/>
        <v>0</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60">
        <f t="shared" si="97"/>
        <v>0</v>
      </c>
      <c r="V376" s="2960">
        <f t="shared" si="98"/>
        <v>0</v>
      </c>
      <c r="W376" s="997"/>
      <c r="X376" s="2960">
        <f t="shared" si="99"/>
        <v>0</v>
      </c>
      <c r="Y376" s="2960">
        <f t="shared" si="100"/>
        <v>0</v>
      </c>
      <c r="Z376" s="997"/>
    </row>
    <row r="377" spans="1:26">
      <c r="A377" s="35"/>
      <c r="B377" s="20"/>
      <c r="C377" s="13">
        <f t="shared" si="89"/>
        <v>1</v>
      </c>
      <c r="D377" s="600"/>
      <c r="E377" s="13">
        <f t="shared" si="90"/>
        <v>0</v>
      </c>
      <c r="F377" s="600"/>
      <c r="G377" s="13">
        <f t="shared" si="91"/>
        <v>0</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60">
        <f t="shared" si="97"/>
        <v>0</v>
      </c>
      <c r="V377" s="2960">
        <f t="shared" si="98"/>
        <v>0</v>
      </c>
      <c r="W377" s="997"/>
      <c r="X377" s="2960">
        <f t="shared" si="99"/>
        <v>0</v>
      </c>
      <c r="Y377" s="2960">
        <f t="shared" si="100"/>
        <v>0</v>
      </c>
      <c r="Z377" s="997"/>
    </row>
    <row r="378" spans="1:26">
      <c r="A378" s="35"/>
      <c r="B378" s="20"/>
      <c r="C378" s="13">
        <f t="shared" si="89"/>
        <v>1</v>
      </c>
      <c r="D378" s="600"/>
      <c r="E378" s="13">
        <f t="shared" si="90"/>
        <v>0</v>
      </c>
      <c r="F378" s="600"/>
      <c r="G378" s="13">
        <f t="shared" si="91"/>
        <v>0</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60">
        <f t="shared" si="97"/>
        <v>0</v>
      </c>
      <c r="V378" s="2960">
        <f t="shared" si="98"/>
        <v>0</v>
      </c>
      <c r="W378" s="997"/>
      <c r="X378" s="2960">
        <f t="shared" si="99"/>
        <v>0</v>
      </c>
      <c r="Y378" s="2960">
        <f t="shared" si="100"/>
        <v>0</v>
      </c>
      <c r="Z378" s="997"/>
    </row>
    <row r="379" spans="1:26">
      <c r="A379" s="35"/>
      <c r="B379" s="20"/>
      <c r="C379" s="13">
        <f t="shared" si="89"/>
        <v>1</v>
      </c>
      <c r="D379" s="600"/>
      <c r="E379" s="13">
        <f t="shared" si="90"/>
        <v>0</v>
      </c>
      <c r="F379" s="600"/>
      <c r="G379" s="13">
        <f t="shared" si="91"/>
        <v>0</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60">
        <f t="shared" si="97"/>
        <v>0</v>
      </c>
      <c r="V379" s="2960">
        <f t="shared" si="98"/>
        <v>0</v>
      </c>
      <c r="W379" s="997"/>
      <c r="X379" s="2960">
        <f t="shared" si="99"/>
        <v>0</v>
      </c>
      <c r="Y379" s="2960">
        <f t="shared" si="100"/>
        <v>0</v>
      </c>
      <c r="Z379" s="997"/>
    </row>
    <row r="380" spans="1:26">
      <c r="A380" s="35"/>
      <c r="B380" s="20"/>
      <c r="C380" s="13">
        <f t="shared" si="89"/>
        <v>1</v>
      </c>
      <c r="D380" s="600"/>
      <c r="E380" s="13">
        <f t="shared" si="90"/>
        <v>0</v>
      </c>
      <c r="F380" s="600"/>
      <c r="G380" s="13">
        <f t="shared" si="91"/>
        <v>0</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60">
        <f t="shared" si="97"/>
        <v>0</v>
      </c>
      <c r="V380" s="2960">
        <f t="shared" si="98"/>
        <v>0</v>
      </c>
      <c r="W380" s="997"/>
      <c r="X380" s="2960">
        <f t="shared" si="99"/>
        <v>0</v>
      </c>
      <c r="Y380" s="2960">
        <f t="shared" si="100"/>
        <v>0</v>
      </c>
      <c r="Z380" s="997"/>
    </row>
    <row r="381" spans="1:26">
      <c r="A381" s="35"/>
      <c r="B381" s="20"/>
      <c r="C381" s="13">
        <f t="shared" si="89"/>
        <v>1</v>
      </c>
      <c r="D381" s="600"/>
      <c r="E381" s="13">
        <f t="shared" si="90"/>
        <v>0</v>
      </c>
      <c r="F381" s="600"/>
      <c r="G381" s="13">
        <f t="shared" si="91"/>
        <v>0</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60">
        <f t="shared" si="97"/>
        <v>0</v>
      </c>
      <c r="V381" s="2960">
        <f t="shared" si="98"/>
        <v>0</v>
      </c>
      <c r="W381" s="997"/>
      <c r="X381" s="2960">
        <f t="shared" si="99"/>
        <v>0</v>
      </c>
      <c r="Y381" s="2960">
        <f t="shared" si="100"/>
        <v>0</v>
      </c>
      <c r="Z381" s="997"/>
    </row>
    <row r="382" spans="1:26">
      <c r="A382" s="35"/>
      <c r="B382" s="20"/>
      <c r="C382" s="13">
        <f t="shared" si="89"/>
        <v>1</v>
      </c>
      <c r="D382" s="600"/>
      <c r="E382" s="13">
        <f t="shared" si="90"/>
        <v>0</v>
      </c>
      <c r="F382" s="600"/>
      <c r="G382" s="13">
        <f t="shared" si="91"/>
        <v>0</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60">
        <f t="shared" si="97"/>
        <v>0</v>
      </c>
      <c r="V382" s="2960">
        <f t="shared" si="98"/>
        <v>0</v>
      </c>
      <c r="W382" s="997"/>
      <c r="X382" s="2960">
        <f t="shared" si="99"/>
        <v>0</v>
      </c>
      <c r="Y382" s="2960">
        <f t="shared" si="100"/>
        <v>0</v>
      </c>
      <c r="Z382" s="997"/>
    </row>
    <row r="383" spans="1:26">
      <c r="A383" s="35"/>
      <c r="B383" s="20"/>
      <c r="C383" s="13">
        <f t="shared" si="89"/>
        <v>1</v>
      </c>
      <c r="D383" s="600"/>
      <c r="E383" s="13">
        <f t="shared" si="90"/>
        <v>0</v>
      </c>
      <c r="F383" s="600"/>
      <c r="G383" s="13">
        <f t="shared" si="91"/>
        <v>0</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60">
        <f t="shared" si="97"/>
        <v>0</v>
      </c>
      <c r="V383" s="2960">
        <f t="shared" si="98"/>
        <v>0</v>
      </c>
      <c r="W383" s="997"/>
      <c r="X383" s="2960">
        <f t="shared" si="99"/>
        <v>0</v>
      </c>
      <c r="Y383" s="2960">
        <f t="shared" si="100"/>
        <v>0</v>
      </c>
      <c r="Z383" s="997"/>
    </row>
    <row r="384" spans="1:26">
      <c r="A384" s="35"/>
      <c r="B384" s="20"/>
      <c r="C384" s="13">
        <f t="shared" si="89"/>
        <v>1</v>
      </c>
      <c r="D384" s="600"/>
      <c r="E384" s="13">
        <f t="shared" si="90"/>
        <v>0</v>
      </c>
      <c r="F384" s="600"/>
      <c r="G384" s="13">
        <f t="shared" si="91"/>
        <v>0</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60">
        <f t="shared" si="97"/>
        <v>0</v>
      </c>
      <c r="V384" s="2960">
        <f t="shared" si="98"/>
        <v>0</v>
      </c>
      <c r="W384" s="997"/>
      <c r="X384" s="2960">
        <f t="shared" si="99"/>
        <v>0</v>
      </c>
      <c r="Y384" s="2960">
        <f t="shared" si="100"/>
        <v>0</v>
      </c>
      <c r="Z384" s="997"/>
    </row>
    <row r="385" spans="1:26">
      <c r="A385" s="35"/>
      <c r="B385" s="20"/>
      <c r="C385" s="13">
        <f t="shared" si="89"/>
        <v>1</v>
      </c>
      <c r="D385" s="600"/>
      <c r="E385" s="13">
        <f t="shared" si="90"/>
        <v>0</v>
      </c>
      <c r="F385" s="600"/>
      <c r="G385" s="13">
        <f t="shared" si="91"/>
        <v>0</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60">
        <f t="shared" si="97"/>
        <v>0</v>
      </c>
      <c r="V385" s="2960">
        <f t="shared" si="98"/>
        <v>0</v>
      </c>
      <c r="W385" s="997"/>
      <c r="X385" s="2960">
        <f t="shared" si="99"/>
        <v>0</v>
      </c>
      <c r="Y385" s="2960">
        <f t="shared" si="100"/>
        <v>0</v>
      </c>
      <c r="Z385" s="997"/>
    </row>
    <row r="386" spans="1:26">
      <c r="A386" s="35"/>
      <c r="B386" s="20"/>
      <c r="C386" s="13">
        <f t="shared" si="89"/>
        <v>1</v>
      </c>
      <c r="D386" s="600"/>
      <c r="E386" s="13">
        <f t="shared" si="90"/>
        <v>0</v>
      </c>
      <c r="F386" s="600"/>
      <c r="G386" s="13">
        <f t="shared" si="91"/>
        <v>0</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60">
        <f t="shared" si="97"/>
        <v>0</v>
      </c>
      <c r="V386" s="2960">
        <f t="shared" si="98"/>
        <v>0</v>
      </c>
      <c r="W386" s="997"/>
      <c r="X386" s="2960">
        <f t="shared" si="99"/>
        <v>0</v>
      </c>
      <c r="Y386" s="2960">
        <f t="shared" si="100"/>
        <v>0</v>
      </c>
      <c r="Z386" s="997"/>
    </row>
    <row r="387" spans="1:26">
      <c r="A387" s="35"/>
      <c r="B387" s="20"/>
      <c r="C387" s="13">
        <f t="shared" si="89"/>
        <v>1</v>
      </c>
      <c r="D387" s="600"/>
      <c r="E387" s="13">
        <f t="shared" si="90"/>
        <v>0</v>
      </c>
      <c r="F387" s="600"/>
      <c r="G387" s="13">
        <f t="shared" si="91"/>
        <v>0</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60">
        <f t="shared" si="97"/>
        <v>0</v>
      </c>
      <c r="V387" s="2960">
        <f t="shared" si="98"/>
        <v>0</v>
      </c>
      <c r="W387" s="997"/>
      <c r="X387" s="2960">
        <f t="shared" si="99"/>
        <v>0</v>
      </c>
      <c r="Y387" s="2960">
        <f t="shared" si="100"/>
        <v>0</v>
      </c>
      <c r="Z387" s="997"/>
    </row>
    <row r="388" spans="1:26">
      <c r="A388" s="35"/>
      <c r="B388" s="20"/>
      <c r="C388" s="13">
        <f t="shared" si="89"/>
        <v>1</v>
      </c>
      <c r="D388" s="600"/>
      <c r="E388" s="13">
        <f t="shared" si="90"/>
        <v>0</v>
      </c>
      <c r="F388" s="600"/>
      <c r="G388" s="13">
        <f t="shared" si="91"/>
        <v>0</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60">
        <f t="shared" si="97"/>
        <v>0</v>
      </c>
      <c r="V388" s="2960">
        <f t="shared" si="98"/>
        <v>0</v>
      </c>
      <c r="W388" s="997"/>
      <c r="X388" s="2960">
        <f t="shared" si="99"/>
        <v>0</v>
      </c>
      <c r="Y388" s="2960">
        <f t="shared" si="100"/>
        <v>0</v>
      </c>
      <c r="Z388" s="997"/>
    </row>
    <row r="389" spans="1:26">
      <c r="A389" s="35"/>
      <c r="B389" s="20"/>
      <c r="C389" s="13">
        <f t="shared" si="89"/>
        <v>1</v>
      </c>
      <c r="D389" s="600"/>
      <c r="E389" s="13">
        <f t="shared" si="90"/>
        <v>0</v>
      </c>
      <c r="F389" s="600"/>
      <c r="G389" s="13">
        <f t="shared" si="91"/>
        <v>0</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60">
        <f t="shared" si="97"/>
        <v>0</v>
      </c>
      <c r="V389" s="2960">
        <f t="shared" si="98"/>
        <v>0</v>
      </c>
      <c r="W389" s="997"/>
      <c r="X389" s="2960">
        <f t="shared" si="99"/>
        <v>0</v>
      </c>
      <c r="Y389" s="2960">
        <f t="shared" si="100"/>
        <v>0</v>
      </c>
      <c r="Z389" s="997"/>
    </row>
    <row r="390" spans="1:26">
      <c r="A390" s="35"/>
      <c r="B390" s="20"/>
      <c r="C390" s="13">
        <f t="shared" si="89"/>
        <v>1</v>
      </c>
      <c r="D390" s="600"/>
      <c r="E390" s="13">
        <f t="shared" si="90"/>
        <v>0</v>
      </c>
      <c r="F390" s="600"/>
      <c r="G390" s="13">
        <f t="shared" si="91"/>
        <v>0</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60">
        <f t="shared" si="97"/>
        <v>0</v>
      </c>
      <c r="V390" s="2960">
        <f t="shared" si="98"/>
        <v>0</v>
      </c>
      <c r="W390" s="997"/>
      <c r="X390" s="2960">
        <f t="shared" si="99"/>
        <v>0</v>
      </c>
      <c r="Y390" s="2960">
        <f t="shared" si="100"/>
        <v>0</v>
      </c>
      <c r="Z390" s="997"/>
    </row>
    <row r="391" spans="1:26">
      <c r="A391" s="35"/>
      <c r="B391" s="20"/>
      <c r="C391" s="13">
        <f t="shared" si="89"/>
        <v>1</v>
      </c>
      <c r="D391" s="600"/>
      <c r="E391" s="13">
        <f t="shared" si="90"/>
        <v>0</v>
      </c>
      <c r="F391" s="600"/>
      <c r="G391" s="13">
        <f t="shared" si="91"/>
        <v>0</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60">
        <f t="shared" si="97"/>
        <v>0</v>
      </c>
      <c r="V391" s="2960">
        <f t="shared" si="98"/>
        <v>0</v>
      </c>
      <c r="W391" s="997"/>
      <c r="X391" s="2960">
        <f t="shared" si="99"/>
        <v>0</v>
      </c>
      <c r="Y391" s="2960">
        <f t="shared" si="100"/>
        <v>0</v>
      </c>
      <c r="Z391" s="997"/>
    </row>
    <row r="392" spans="1:26">
      <c r="A392" s="35"/>
      <c r="B392" s="20"/>
      <c r="C392" s="13">
        <f t="shared" si="89"/>
        <v>1</v>
      </c>
      <c r="D392" s="600"/>
      <c r="E392" s="13">
        <f t="shared" si="90"/>
        <v>0</v>
      </c>
      <c r="F392" s="600"/>
      <c r="G392" s="13">
        <f t="shared" si="91"/>
        <v>0</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60">
        <f t="shared" si="97"/>
        <v>0</v>
      </c>
      <c r="V392" s="2960">
        <f t="shared" si="98"/>
        <v>0</v>
      </c>
      <c r="W392" s="997"/>
      <c r="X392" s="2960">
        <f t="shared" si="99"/>
        <v>0</v>
      </c>
      <c r="Y392" s="2960">
        <f t="shared" si="100"/>
        <v>0</v>
      </c>
      <c r="Z392" s="997"/>
    </row>
    <row r="393" spans="1:26">
      <c r="A393" s="35"/>
      <c r="B393" s="20"/>
      <c r="C393" s="13">
        <f t="shared" si="89"/>
        <v>1</v>
      </c>
      <c r="D393" s="600"/>
      <c r="E393" s="13">
        <f t="shared" si="90"/>
        <v>0</v>
      </c>
      <c r="F393" s="600"/>
      <c r="G393" s="13">
        <f t="shared" si="91"/>
        <v>0</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60">
        <f t="shared" si="97"/>
        <v>0</v>
      </c>
      <c r="V393" s="2960">
        <f t="shared" si="98"/>
        <v>0</v>
      </c>
      <c r="W393" s="997"/>
      <c r="X393" s="2960">
        <f t="shared" si="99"/>
        <v>0</v>
      </c>
      <c r="Y393" s="2960">
        <f t="shared" si="100"/>
        <v>0</v>
      </c>
      <c r="Z393" s="997"/>
    </row>
    <row r="394" spans="1:26">
      <c r="A394" s="35"/>
      <c r="B394" s="20"/>
      <c r="C394" s="13">
        <f t="shared" si="89"/>
        <v>1</v>
      </c>
      <c r="D394" s="600"/>
      <c r="E394" s="13">
        <f t="shared" si="90"/>
        <v>0</v>
      </c>
      <c r="F394" s="600"/>
      <c r="G394" s="13">
        <f t="shared" si="91"/>
        <v>0</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60">
        <f t="shared" si="97"/>
        <v>0</v>
      </c>
      <c r="V394" s="2960">
        <f t="shared" si="98"/>
        <v>0</v>
      </c>
      <c r="W394" s="997"/>
      <c r="X394" s="2960">
        <f t="shared" si="99"/>
        <v>0</v>
      </c>
      <c r="Y394" s="2960">
        <f t="shared" si="100"/>
        <v>0</v>
      </c>
      <c r="Z394" s="997"/>
    </row>
    <row r="395" spans="1:26">
      <c r="A395" s="35"/>
      <c r="B395" s="20"/>
      <c r="C395" s="13">
        <f t="shared" si="89"/>
        <v>1</v>
      </c>
      <c r="D395" s="600"/>
      <c r="E395" s="13">
        <f t="shared" si="90"/>
        <v>0</v>
      </c>
      <c r="F395" s="600"/>
      <c r="G395" s="13">
        <f t="shared" si="91"/>
        <v>0</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60">
        <f t="shared" si="97"/>
        <v>0</v>
      </c>
      <c r="V395" s="2960">
        <f t="shared" si="98"/>
        <v>0</v>
      </c>
      <c r="W395" s="997"/>
      <c r="X395" s="2960">
        <f t="shared" si="99"/>
        <v>0</v>
      </c>
      <c r="Y395" s="2960">
        <f t="shared" si="100"/>
        <v>0</v>
      </c>
      <c r="Z395" s="997"/>
    </row>
    <row r="396" spans="1:26">
      <c r="A396" s="35"/>
      <c r="B396" s="20"/>
      <c r="C396" s="13">
        <f t="shared" si="89"/>
        <v>1</v>
      </c>
      <c r="D396" s="600"/>
      <c r="E396" s="13">
        <f t="shared" si="90"/>
        <v>0</v>
      </c>
      <c r="F396" s="600"/>
      <c r="G396" s="13">
        <f t="shared" si="91"/>
        <v>0</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60">
        <f t="shared" si="97"/>
        <v>0</v>
      </c>
      <c r="V396" s="2960">
        <f t="shared" si="98"/>
        <v>0</v>
      </c>
      <c r="W396" s="997"/>
      <c r="X396" s="2960">
        <f t="shared" si="99"/>
        <v>0</v>
      </c>
      <c r="Y396" s="2960">
        <f t="shared" si="100"/>
        <v>0</v>
      </c>
      <c r="Z396" s="997"/>
    </row>
    <row r="397" spans="1:26">
      <c r="A397" s="35"/>
      <c r="B397" s="20"/>
      <c r="C397" s="13">
        <f t="shared" si="89"/>
        <v>1</v>
      </c>
      <c r="D397" s="600"/>
      <c r="E397" s="13">
        <f t="shared" si="90"/>
        <v>0</v>
      </c>
      <c r="F397" s="600"/>
      <c r="G397" s="13">
        <f t="shared" si="91"/>
        <v>0</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60">
        <f t="shared" si="97"/>
        <v>0</v>
      </c>
      <c r="V397" s="2960">
        <f t="shared" si="98"/>
        <v>0</v>
      </c>
      <c r="W397" s="997"/>
      <c r="X397" s="2960">
        <f t="shared" si="99"/>
        <v>0</v>
      </c>
      <c r="Y397" s="2960">
        <f t="shared" si="100"/>
        <v>0</v>
      </c>
      <c r="Z397" s="997"/>
    </row>
    <row r="398" spans="1:26">
      <c r="A398" s="35"/>
      <c r="B398" s="20"/>
      <c r="C398" s="13">
        <f t="shared" si="89"/>
        <v>1</v>
      </c>
      <c r="D398" s="600"/>
      <c r="E398" s="13">
        <f t="shared" si="90"/>
        <v>0</v>
      </c>
      <c r="F398" s="600"/>
      <c r="G398" s="13">
        <f t="shared" si="91"/>
        <v>0</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60">
        <f t="shared" si="97"/>
        <v>0</v>
      </c>
      <c r="V398" s="2960">
        <f t="shared" si="98"/>
        <v>0</v>
      </c>
      <c r="W398" s="997"/>
      <c r="X398" s="2960">
        <f t="shared" si="99"/>
        <v>0</v>
      </c>
      <c r="Y398" s="2960">
        <f t="shared" si="100"/>
        <v>0</v>
      </c>
      <c r="Z398" s="997"/>
    </row>
    <row r="399" spans="1:26">
      <c r="A399" s="35"/>
      <c r="B399" s="20"/>
      <c r="C399" s="13">
        <f t="shared" si="89"/>
        <v>1</v>
      </c>
      <c r="D399" s="600"/>
      <c r="E399" s="13">
        <f t="shared" si="90"/>
        <v>0</v>
      </c>
      <c r="F399" s="600"/>
      <c r="G399" s="13">
        <f t="shared" si="91"/>
        <v>0</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60">
        <f t="shared" si="97"/>
        <v>0</v>
      </c>
      <c r="V399" s="2960">
        <f t="shared" si="98"/>
        <v>0</v>
      </c>
      <c r="W399" s="997"/>
      <c r="X399" s="2960">
        <f t="shared" si="99"/>
        <v>0</v>
      </c>
      <c r="Y399" s="2960">
        <f t="shared" si="100"/>
        <v>0</v>
      </c>
      <c r="Z399" s="997"/>
    </row>
    <row r="400" spans="1:26">
      <c r="A400" s="35"/>
      <c r="B400" s="20"/>
      <c r="C400" s="13">
        <f t="shared" si="89"/>
        <v>1</v>
      </c>
      <c r="D400" s="600"/>
      <c r="E400" s="13">
        <f t="shared" si="90"/>
        <v>0</v>
      </c>
      <c r="F400" s="600"/>
      <c r="G400" s="13">
        <f t="shared" si="91"/>
        <v>0</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60">
        <f t="shared" si="97"/>
        <v>0</v>
      </c>
      <c r="V400" s="2960">
        <f t="shared" si="98"/>
        <v>0</v>
      </c>
      <c r="W400" s="997"/>
      <c r="X400" s="2960">
        <f t="shared" si="99"/>
        <v>0</v>
      </c>
      <c r="Y400" s="2960">
        <f t="shared" si="100"/>
        <v>0</v>
      </c>
      <c r="Z400" s="997"/>
    </row>
    <row r="401" spans="1:26">
      <c r="A401" s="35"/>
      <c r="B401" s="20"/>
      <c r="C401" s="13">
        <f t="shared" si="89"/>
        <v>1</v>
      </c>
      <c r="D401" s="600"/>
      <c r="E401" s="13">
        <f t="shared" si="90"/>
        <v>0</v>
      </c>
      <c r="F401" s="600"/>
      <c r="G401" s="13">
        <f t="shared" si="91"/>
        <v>0</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60">
        <f t="shared" si="97"/>
        <v>0</v>
      </c>
      <c r="V401" s="2960">
        <f t="shared" si="98"/>
        <v>0</v>
      </c>
      <c r="W401" s="997"/>
      <c r="X401" s="2960">
        <f t="shared" si="99"/>
        <v>0</v>
      </c>
      <c r="Y401" s="2960">
        <f t="shared" si="100"/>
        <v>0</v>
      </c>
      <c r="Z401" s="997"/>
    </row>
    <row r="402" spans="1:26">
      <c r="A402" s="35"/>
      <c r="B402" s="20"/>
      <c r="C402" s="13">
        <f t="shared" si="89"/>
        <v>1</v>
      </c>
      <c r="D402" s="600"/>
      <c r="E402" s="13">
        <f t="shared" si="90"/>
        <v>0</v>
      </c>
      <c r="F402" s="600"/>
      <c r="G402" s="13">
        <f t="shared" si="91"/>
        <v>0</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60">
        <f t="shared" si="97"/>
        <v>0</v>
      </c>
      <c r="V402" s="2960">
        <f t="shared" si="98"/>
        <v>0</v>
      </c>
      <c r="W402" s="997"/>
      <c r="X402" s="2960">
        <f t="shared" si="99"/>
        <v>0</v>
      </c>
      <c r="Y402" s="2960">
        <f t="shared" si="100"/>
        <v>0</v>
      </c>
      <c r="Z402" s="997"/>
    </row>
    <row r="403" spans="1:26">
      <c r="A403" s="35"/>
      <c r="B403" s="20"/>
      <c r="C403" s="13">
        <f t="shared" si="89"/>
        <v>1</v>
      </c>
      <c r="D403" s="600"/>
      <c r="E403" s="13">
        <f t="shared" si="90"/>
        <v>0</v>
      </c>
      <c r="F403" s="600"/>
      <c r="G403" s="13">
        <f t="shared" si="91"/>
        <v>0</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60">
        <f t="shared" si="97"/>
        <v>0</v>
      </c>
      <c r="V403" s="2960">
        <f t="shared" si="98"/>
        <v>0</v>
      </c>
      <c r="W403" s="997"/>
      <c r="X403" s="2960">
        <f t="shared" si="99"/>
        <v>0</v>
      </c>
      <c r="Y403" s="2960">
        <f t="shared" si="100"/>
        <v>0</v>
      </c>
      <c r="Z403" s="997"/>
    </row>
    <row r="404" spans="1:26">
      <c r="A404" s="35"/>
      <c r="B404" s="20"/>
      <c r="C404" s="13">
        <f t="shared" si="89"/>
        <v>1</v>
      </c>
      <c r="D404" s="600"/>
      <c r="E404" s="13">
        <f t="shared" si="90"/>
        <v>0</v>
      </c>
      <c r="F404" s="600"/>
      <c r="G404" s="13">
        <f t="shared" si="91"/>
        <v>0</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60">
        <f t="shared" si="97"/>
        <v>0</v>
      </c>
      <c r="V404" s="2960">
        <f t="shared" si="98"/>
        <v>0</v>
      </c>
      <c r="W404" s="997"/>
      <c r="X404" s="2960">
        <f t="shared" si="99"/>
        <v>0</v>
      </c>
      <c r="Y404" s="2960">
        <f t="shared" si="100"/>
        <v>0</v>
      </c>
      <c r="Z404" s="997"/>
    </row>
    <row r="405" spans="1:26">
      <c r="A405" s="35"/>
      <c r="B405" s="20"/>
      <c r="C405" s="13">
        <f t="shared" si="89"/>
        <v>1</v>
      </c>
      <c r="D405" s="600"/>
      <c r="E405" s="13">
        <f t="shared" si="90"/>
        <v>0</v>
      </c>
      <c r="F405" s="600"/>
      <c r="G405" s="13">
        <f t="shared" si="91"/>
        <v>0</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60">
        <f t="shared" si="97"/>
        <v>0</v>
      </c>
      <c r="V405" s="2960">
        <f t="shared" si="98"/>
        <v>0</v>
      </c>
      <c r="W405" s="997"/>
      <c r="X405" s="2960">
        <f t="shared" si="99"/>
        <v>0</v>
      </c>
      <c r="Y405" s="2960">
        <f t="shared" si="100"/>
        <v>0</v>
      </c>
      <c r="Z405" s="997"/>
    </row>
    <row r="406" spans="1:26">
      <c r="A406" s="35"/>
      <c r="B406" s="20"/>
      <c r="C406" s="13">
        <f t="shared" si="89"/>
        <v>1</v>
      </c>
      <c r="D406" s="600"/>
      <c r="E406" s="13">
        <f t="shared" si="90"/>
        <v>0</v>
      </c>
      <c r="F406" s="600"/>
      <c r="G406" s="13">
        <f t="shared" si="91"/>
        <v>0</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60">
        <f t="shared" si="97"/>
        <v>0</v>
      </c>
      <c r="V406" s="2960">
        <f t="shared" si="98"/>
        <v>0</v>
      </c>
      <c r="W406" s="997"/>
      <c r="X406" s="2960">
        <f t="shared" si="99"/>
        <v>0</v>
      </c>
      <c r="Y406" s="2960">
        <f t="shared" si="100"/>
        <v>0</v>
      </c>
      <c r="Z406" s="997"/>
    </row>
    <row r="407" spans="1:26">
      <c r="A407" s="35"/>
      <c r="B407" s="20"/>
      <c r="C407" s="13">
        <f t="shared" si="89"/>
        <v>1</v>
      </c>
      <c r="D407" s="600"/>
      <c r="E407" s="13">
        <f t="shared" si="90"/>
        <v>0</v>
      </c>
      <c r="F407" s="600"/>
      <c r="G407" s="13">
        <f t="shared" si="91"/>
        <v>0</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60">
        <f t="shared" si="97"/>
        <v>0</v>
      </c>
      <c r="V407" s="2960">
        <f t="shared" si="98"/>
        <v>0</v>
      </c>
      <c r="W407" s="997"/>
      <c r="X407" s="2960">
        <f t="shared" si="99"/>
        <v>0</v>
      </c>
      <c r="Y407" s="2960">
        <f t="shared" si="100"/>
        <v>0</v>
      </c>
      <c r="Z407" s="997"/>
    </row>
    <row r="408" spans="1:26">
      <c r="A408" s="35"/>
      <c r="B408" s="20"/>
      <c r="C408" s="13">
        <f t="shared" si="89"/>
        <v>1</v>
      </c>
      <c r="D408" s="600"/>
      <c r="E408" s="13">
        <f t="shared" si="90"/>
        <v>0</v>
      </c>
      <c r="F408" s="600"/>
      <c r="G408" s="13">
        <f t="shared" si="91"/>
        <v>0</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60">
        <f t="shared" si="97"/>
        <v>0</v>
      </c>
      <c r="V408" s="2960">
        <f t="shared" si="98"/>
        <v>0</v>
      </c>
      <c r="W408" s="997"/>
      <c r="X408" s="2960">
        <f t="shared" si="99"/>
        <v>0</v>
      </c>
      <c r="Y408" s="2960">
        <f t="shared" si="100"/>
        <v>0</v>
      </c>
      <c r="Z408" s="997"/>
    </row>
    <row r="409" spans="1:26">
      <c r="A409" s="35"/>
      <c r="B409" s="20"/>
      <c r="C409" s="13">
        <f t="shared" si="89"/>
        <v>1</v>
      </c>
      <c r="D409" s="600"/>
      <c r="E409" s="13">
        <f t="shared" si="90"/>
        <v>0</v>
      </c>
      <c r="F409" s="600"/>
      <c r="G409" s="13">
        <f t="shared" si="91"/>
        <v>0</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60">
        <f t="shared" si="97"/>
        <v>0</v>
      </c>
      <c r="V409" s="2960">
        <f t="shared" si="98"/>
        <v>0</v>
      </c>
      <c r="W409" s="997"/>
      <c r="X409" s="2960">
        <f t="shared" si="99"/>
        <v>0</v>
      </c>
      <c r="Y409" s="2960">
        <f t="shared" si="100"/>
        <v>0</v>
      </c>
      <c r="Z409" s="997"/>
    </row>
    <row r="410" spans="1:26">
      <c r="A410" s="35"/>
      <c r="B410" s="20"/>
      <c r="C410" s="13">
        <f t="shared" si="89"/>
        <v>1</v>
      </c>
      <c r="D410" s="600"/>
      <c r="E410" s="13">
        <f t="shared" si="90"/>
        <v>0</v>
      </c>
      <c r="F410" s="600"/>
      <c r="G410" s="13">
        <f t="shared" si="91"/>
        <v>0</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60">
        <f t="shared" si="97"/>
        <v>0</v>
      </c>
      <c r="V410" s="2960">
        <f t="shared" si="98"/>
        <v>0</v>
      </c>
      <c r="W410" s="997"/>
      <c r="X410" s="2960">
        <f t="shared" si="99"/>
        <v>0</v>
      </c>
      <c r="Y410" s="2960">
        <f t="shared" si="100"/>
        <v>0</v>
      </c>
      <c r="Z410" s="997"/>
    </row>
    <row r="411" spans="1:26">
      <c r="A411" s="35"/>
      <c r="B411" s="20"/>
      <c r="C411" s="13">
        <f t="shared" si="89"/>
        <v>1</v>
      </c>
      <c r="D411" s="600"/>
      <c r="E411" s="13">
        <f t="shared" si="90"/>
        <v>0</v>
      </c>
      <c r="F411" s="600"/>
      <c r="G411" s="13">
        <f t="shared" si="91"/>
        <v>0</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60">
        <f t="shared" si="97"/>
        <v>0</v>
      </c>
      <c r="V411" s="2960">
        <f t="shared" si="98"/>
        <v>0</v>
      </c>
      <c r="W411" s="997"/>
      <c r="X411" s="2960">
        <f t="shared" si="99"/>
        <v>0</v>
      </c>
      <c r="Y411" s="2960">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60">
        <f t="shared" ref="U412:U475" si="112">ROUND(W412*B412,0)</f>
        <v>0</v>
      </c>
      <c r="V412" s="2960">
        <f t="shared" ref="V412:V475" si="113">ROUND(W412*B412/10000,0)</f>
        <v>0</v>
      </c>
      <c r="W412" s="997"/>
      <c r="X412" s="2960">
        <f t="shared" ref="X412:X475" si="114">ROUND(Z412*B412,0)</f>
        <v>0</v>
      </c>
      <c r="Y412" s="2960">
        <f t="shared" ref="Y412:Y475" si="115">ROUND(Z412*B412/10000,0)</f>
        <v>0</v>
      </c>
      <c r="Z412" s="997"/>
    </row>
    <row r="413" spans="1:26">
      <c r="A413" s="35"/>
      <c r="B413" s="20"/>
      <c r="C413" s="13">
        <f t="shared" si="104"/>
        <v>1</v>
      </c>
      <c r="D413" s="600"/>
      <c r="E413" s="13">
        <f t="shared" si="105"/>
        <v>0</v>
      </c>
      <c r="F413" s="600"/>
      <c r="G413" s="13">
        <f t="shared" si="106"/>
        <v>0</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60">
        <f t="shared" si="112"/>
        <v>0</v>
      </c>
      <c r="V413" s="2960">
        <f t="shared" si="113"/>
        <v>0</v>
      </c>
      <c r="W413" s="997"/>
      <c r="X413" s="2960">
        <f t="shared" si="114"/>
        <v>0</v>
      </c>
      <c r="Y413" s="2960">
        <f t="shared" si="115"/>
        <v>0</v>
      </c>
      <c r="Z413" s="997"/>
    </row>
    <row r="414" spans="1:26">
      <c r="A414" s="35"/>
      <c r="B414" s="20"/>
      <c r="C414" s="13">
        <f t="shared" si="104"/>
        <v>1</v>
      </c>
      <c r="D414" s="600"/>
      <c r="E414" s="13">
        <f t="shared" si="105"/>
        <v>0</v>
      </c>
      <c r="F414" s="600"/>
      <c r="G414" s="13">
        <f t="shared" si="106"/>
        <v>0</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60">
        <f t="shared" si="112"/>
        <v>0</v>
      </c>
      <c r="V414" s="2960">
        <f t="shared" si="113"/>
        <v>0</v>
      </c>
      <c r="W414" s="997"/>
      <c r="X414" s="2960">
        <f t="shared" si="114"/>
        <v>0</v>
      </c>
      <c r="Y414" s="2960">
        <f t="shared" si="115"/>
        <v>0</v>
      </c>
      <c r="Z414" s="997"/>
    </row>
    <row r="415" spans="1:26">
      <c r="A415" s="35"/>
      <c r="B415" s="20"/>
      <c r="C415" s="13">
        <f t="shared" si="104"/>
        <v>1</v>
      </c>
      <c r="D415" s="600"/>
      <c r="E415" s="13">
        <f t="shared" si="105"/>
        <v>0</v>
      </c>
      <c r="F415" s="600"/>
      <c r="G415" s="13">
        <f t="shared" si="106"/>
        <v>0</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60">
        <f t="shared" si="112"/>
        <v>0</v>
      </c>
      <c r="V415" s="2960">
        <f t="shared" si="113"/>
        <v>0</v>
      </c>
      <c r="W415" s="997"/>
      <c r="X415" s="2960">
        <f t="shared" si="114"/>
        <v>0</v>
      </c>
      <c r="Y415" s="2960">
        <f t="shared" si="115"/>
        <v>0</v>
      </c>
      <c r="Z415" s="997"/>
    </row>
    <row r="416" spans="1:26">
      <c r="A416" s="35"/>
      <c r="B416" s="20"/>
      <c r="C416" s="13">
        <f t="shared" si="104"/>
        <v>1</v>
      </c>
      <c r="D416" s="600"/>
      <c r="E416" s="13">
        <f t="shared" si="105"/>
        <v>0</v>
      </c>
      <c r="F416" s="600"/>
      <c r="G416" s="13">
        <f t="shared" si="106"/>
        <v>0</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60">
        <f t="shared" si="112"/>
        <v>0</v>
      </c>
      <c r="V416" s="2960">
        <f t="shared" si="113"/>
        <v>0</v>
      </c>
      <c r="W416" s="997"/>
      <c r="X416" s="2960">
        <f t="shared" si="114"/>
        <v>0</v>
      </c>
      <c r="Y416" s="2960">
        <f t="shared" si="115"/>
        <v>0</v>
      </c>
      <c r="Z416" s="997"/>
    </row>
    <row r="417" spans="1:26">
      <c r="A417" s="35"/>
      <c r="B417" s="20"/>
      <c r="C417" s="13">
        <f t="shared" si="104"/>
        <v>1</v>
      </c>
      <c r="D417" s="600"/>
      <c r="E417" s="13">
        <f t="shared" si="105"/>
        <v>0</v>
      </c>
      <c r="F417" s="600"/>
      <c r="G417" s="13">
        <f t="shared" si="106"/>
        <v>0</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60">
        <f t="shared" si="112"/>
        <v>0</v>
      </c>
      <c r="V417" s="2960">
        <f t="shared" si="113"/>
        <v>0</v>
      </c>
      <c r="W417" s="997"/>
      <c r="X417" s="2960">
        <f t="shared" si="114"/>
        <v>0</v>
      </c>
      <c r="Y417" s="2960">
        <f t="shared" si="115"/>
        <v>0</v>
      </c>
      <c r="Z417" s="997"/>
    </row>
    <row r="418" spans="1:26">
      <c r="A418" s="35"/>
      <c r="B418" s="20"/>
      <c r="C418" s="13">
        <f t="shared" si="104"/>
        <v>1</v>
      </c>
      <c r="D418" s="600"/>
      <c r="E418" s="13">
        <f t="shared" si="105"/>
        <v>0</v>
      </c>
      <c r="F418" s="600"/>
      <c r="G418" s="13">
        <f t="shared" si="106"/>
        <v>0</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60">
        <f t="shared" si="112"/>
        <v>0</v>
      </c>
      <c r="V418" s="2960">
        <f t="shared" si="113"/>
        <v>0</v>
      </c>
      <c r="W418" s="997"/>
      <c r="X418" s="2960">
        <f t="shared" si="114"/>
        <v>0</v>
      </c>
      <c r="Y418" s="2960">
        <f t="shared" si="115"/>
        <v>0</v>
      </c>
      <c r="Z418" s="997"/>
    </row>
    <row r="419" spans="1:26">
      <c r="A419" s="35"/>
      <c r="B419" s="20"/>
      <c r="C419" s="13">
        <f t="shared" si="104"/>
        <v>1</v>
      </c>
      <c r="D419" s="600"/>
      <c r="E419" s="13">
        <f t="shared" si="105"/>
        <v>0</v>
      </c>
      <c r="F419" s="600"/>
      <c r="G419" s="13">
        <f t="shared" si="106"/>
        <v>0</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60">
        <f t="shared" si="112"/>
        <v>0</v>
      </c>
      <c r="V419" s="2960">
        <f t="shared" si="113"/>
        <v>0</v>
      </c>
      <c r="W419" s="997"/>
      <c r="X419" s="2960">
        <f t="shared" si="114"/>
        <v>0</v>
      </c>
      <c r="Y419" s="2960">
        <f t="shared" si="115"/>
        <v>0</v>
      </c>
      <c r="Z419" s="997"/>
    </row>
    <row r="420" spans="1:26">
      <c r="A420" s="35"/>
      <c r="B420" s="20"/>
      <c r="C420" s="13">
        <f t="shared" si="104"/>
        <v>1</v>
      </c>
      <c r="D420" s="600"/>
      <c r="E420" s="13">
        <f t="shared" si="105"/>
        <v>0</v>
      </c>
      <c r="F420" s="600"/>
      <c r="G420" s="13">
        <f t="shared" si="106"/>
        <v>0</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60">
        <f t="shared" si="112"/>
        <v>0</v>
      </c>
      <c r="V420" s="2960">
        <f t="shared" si="113"/>
        <v>0</v>
      </c>
      <c r="W420" s="997"/>
      <c r="X420" s="2960">
        <f t="shared" si="114"/>
        <v>0</v>
      </c>
      <c r="Y420" s="2960">
        <f t="shared" si="115"/>
        <v>0</v>
      </c>
      <c r="Z420" s="997"/>
    </row>
    <row r="421" spans="1:26">
      <c r="A421" s="35"/>
      <c r="B421" s="20"/>
      <c r="C421" s="13">
        <f t="shared" si="104"/>
        <v>1</v>
      </c>
      <c r="D421" s="600"/>
      <c r="E421" s="13">
        <f t="shared" si="105"/>
        <v>0</v>
      </c>
      <c r="F421" s="600"/>
      <c r="G421" s="13">
        <f t="shared" si="106"/>
        <v>0</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60">
        <f t="shared" si="112"/>
        <v>0</v>
      </c>
      <c r="V421" s="2960">
        <f t="shared" si="113"/>
        <v>0</v>
      </c>
      <c r="W421" s="997"/>
      <c r="X421" s="2960">
        <f t="shared" si="114"/>
        <v>0</v>
      </c>
      <c r="Y421" s="2960">
        <f t="shared" si="115"/>
        <v>0</v>
      </c>
      <c r="Z421" s="997"/>
    </row>
    <row r="422" spans="1:26">
      <c r="A422" s="35"/>
      <c r="B422" s="20"/>
      <c r="C422" s="13">
        <f t="shared" si="104"/>
        <v>1</v>
      </c>
      <c r="D422" s="600"/>
      <c r="E422" s="13">
        <f t="shared" si="105"/>
        <v>0</v>
      </c>
      <c r="F422" s="600"/>
      <c r="G422" s="13">
        <f t="shared" si="106"/>
        <v>0</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60">
        <f t="shared" si="112"/>
        <v>0</v>
      </c>
      <c r="V422" s="2960">
        <f t="shared" si="113"/>
        <v>0</v>
      </c>
      <c r="W422" s="997"/>
      <c r="X422" s="2960">
        <f t="shared" si="114"/>
        <v>0</v>
      </c>
      <c r="Y422" s="2960">
        <f t="shared" si="115"/>
        <v>0</v>
      </c>
      <c r="Z422" s="997"/>
    </row>
    <row r="423" spans="1:26">
      <c r="A423" s="35"/>
      <c r="B423" s="20"/>
      <c r="C423" s="13">
        <f t="shared" si="104"/>
        <v>1</v>
      </c>
      <c r="D423" s="600"/>
      <c r="E423" s="13">
        <f t="shared" si="105"/>
        <v>0</v>
      </c>
      <c r="F423" s="600"/>
      <c r="G423" s="13">
        <f t="shared" si="106"/>
        <v>0</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60">
        <f t="shared" si="112"/>
        <v>0</v>
      </c>
      <c r="V423" s="2960">
        <f t="shared" si="113"/>
        <v>0</v>
      </c>
      <c r="W423" s="997"/>
      <c r="X423" s="2960">
        <f t="shared" si="114"/>
        <v>0</v>
      </c>
      <c r="Y423" s="2960">
        <f t="shared" si="115"/>
        <v>0</v>
      </c>
      <c r="Z423" s="997"/>
    </row>
    <row r="424" spans="1:26">
      <c r="A424" s="35"/>
      <c r="B424" s="20"/>
      <c r="C424" s="13">
        <f t="shared" si="104"/>
        <v>1</v>
      </c>
      <c r="D424" s="600"/>
      <c r="E424" s="13">
        <f t="shared" si="105"/>
        <v>0</v>
      </c>
      <c r="F424" s="600"/>
      <c r="G424" s="13">
        <f t="shared" si="106"/>
        <v>0</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60">
        <f t="shared" si="112"/>
        <v>0</v>
      </c>
      <c r="V424" s="2960">
        <f t="shared" si="113"/>
        <v>0</v>
      </c>
      <c r="W424" s="997"/>
      <c r="X424" s="2960">
        <f t="shared" si="114"/>
        <v>0</v>
      </c>
      <c r="Y424" s="2960">
        <f t="shared" si="115"/>
        <v>0</v>
      </c>
      <c r="Z424" s="997"/>
    </row>
    <row r="425" spans="1:26">
      <c r="A425" s="35"/>
      <c r="B425" s="20"/>
      <c r="C425" s="13">
        <f t="shared" si="104"/>
        <v>1</v>
      </c>
      <c r="D425" s="600"/>
      <c r="E425" s="13">
        <f t="shared" si="105"/>
        <v>0</v>
      </c>
      <c r="F425" s="600"/>
      <c r="G425" s="13">
        <f t="shared" si="106"/>
        <v>0</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60">
        <f t="shared" si="112"/>
        <v>0</v>
      </c>
      <c r="V425" s="2960">
        <f t="shared" si="113"/>
        <v>0</v>
      </c>
      <c r="W425" s="997"/>
      <c r="X425" s="2960">
        <f t="shared" si="114"/>
        <v>0</v>
      </c>
      <c r="Y425" s="2960">
        <f t="shared" si="115"/>
        <v>0</v>
      </c>
      <c r="Z425" s="997"/>
    </row>
    <row r="426" spans="1:26">
      <c r="A426" s="35"/>
      <c r="B426" s="20"/>
      <c r="C426" s="13">
        <f t="shared" si="104"/>
        <v>1</v>
      </c>
      <c r="D426" s="600"/>
      <c r="E426" s="13">
        <f t="shared" si="105"/>
        <v>0</v>
      </c>
      <c r="F426" s="600"/>
      <c r="G426" s="13">
        <f t="shared" si="106"/>
        <v>0</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60">
        <f t="shared" si="112"/>
        <v>0</v>
      </c>
      <c r="V426" s="2960">
        <f t="shared" si="113"/>
        <v>0</v>
      </c>
      <c r="W426" s="997"/>
      <c r="X426" s="2960">
        <f t="shared" si="114"/>
        <v>0</v>
      </c>
      <c r="Y426" s="2960">
        <f t="shared" si="115"/>
        <v>0</v>
      </c>
      <c r="Z426" s="997"/>
    </row>
    <row r="427" spans="1:26">
      <c r="A427" s="35"/>
      <c r="B427" s="20"/>
      <c r="C427" s="13">
        <f t="shared" si="104"/>
        <v>1</v>
      </c>
      <c r="D427" s="600"/>
      <c r="E427" s="13">
        <f t="shared" si="105"/>
        <v>0</v>
      </c>
      <c r="F427" s="600"/>
      <c r="G427" s="13">
        <f t="shared" si="106"/>
        <v>0</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60">
        <f t="shared" si="112"/>
        <v>0</v>
      </c>
      <c r="V427" s="2960">
        <f t="shared" si="113"/>
        <v>0</v>
      </c>
      <c r="W427" s="997"/>
      <c r="X427" s="2960">
        <f t="shared" si="114"/>
        <v>0</v>
      </c>
      <c r="Y427" s="2960">
        <f t="shared" si="115"/>
        <v>0</v>
      </c>
      <c r="Z427" s="997"/>
    </row>
    <row r="428" spans="1:26">
      <c r="A428" s="35"/>
      <c r="B428" s="20"/>
      <c r="C428" s="13">
        <f t="shared" si="104"/>
        <v>1</v>
      </c>
      <c r="D428" s="600"/>
      <c r="E428" s="13">
        <f t="shared" si="105"/>
        <v>0</v>
      </c>
      <c r="F428" s="600"/>
      <c r="G428" s="13">
        <f t="shared" si="106"/>
        <v>0</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60">
        <f t="shared" si="112"/>
        <v>0</v>
      </c>
      <c r="V428" s="2960">
        <f t="shared" si="113"/>
        <v>0</v>
      </c>
      <c r="W428" s="997"/>
      <c r="X428" s="2960">
        <f t="shared" si="114"/>
        <v>0</v>
      </c>
      <c r="Y428" s="2960">
        <f t="shared" si="115"/>
        <v>0</v>
      </c>
      <c r="Z428" s="997"/>
    </row>
    <row r="429" spans="1:26">
      <c r="A429" s="35"/>
      <c r="B429" s="20"/>
      <c r="C429" s="13">
        <f t="shared" si="104"/>
        <v>1</v>
      </c>
      <c r="D429" s="600"/>
      <c r="E429" s="13">
        <f t="shared" si="105"/>
        <v>0</v>
      </c>
      <c r="F429" s="600"/>
      <c r="G429" s="13">
        <f t="shared" si="106"/>
        <v>0</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60">
        <f t="shared" si="112"/>
        <v>0</v>
      </c>
      <c r="V429" s="2960">
        <f t="shared" si="113"/>
        <v>0</v>
      </c>
      <c r="W429" s="997"/>
      <c r="X429" s="2960">
        <f t="shared" si="114"/>
        <v>0</v>
      </c>
      <c r="Y429" s="2960">
        <f t="shared" si="115"/>
        <v>0</v>
      </c>
      <c r="Z429" s="997"/>
    </row>
    <row r="430" spans="1:26">
      <c r="A430" s="35"/>
      <c r="B430" s="20"/>
      <c r="C430" s="13">
        <f t="shared" si="104"/>
        <v>1</v>
      </c>
      <c r="D430" s="600"/>
      <c r="E430" s="13">
        <f t="shared" si="105"/>
        <v>0</v>
      </c>
      <c r="F430" s="600"/>
      <c r="G430" s="13">
        <f t="shared" si="106"/>
        <v>0</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60">
        <f t="shared" si="112"/>
        <v>0</v>
      </c>
      <c r="V430" s="2960">
        <f t="shared" si="113"/>
        <v>0</v>
      </c>
      <c r="W430" s="997"/>
      <c r="X430" s="2960">
        <f t="shared" si="114"/>
        <v>0</v>
      </c>
      <c r="Y430" s="2960">
        <f t="shared" si="115"/>
        <v>0</v>
      </c>
      <c r="Z430" s="997"/>
    </row>
    <row r="431" spans="1:26">
      <c r="A431" s="35"/>
      <c r="B431" s="20"/>
      <c r="C431" s="13">
        <f t="shared" si="104"/>
        <v>1</v>
      </c>
      <c r="D431" s="600"/>
      <c r="E431" s="13">
        <f t="shared" si="105"/>
        <v>0</v>
      </c>
      <c r="F431" s="600"/>
      <c r="G431" s="13">
        <f t="shared" si="106"/>
        <v>0</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60">
        <f t="shared" si="112"/>
        <v>0</v>
      </c>
      <c r="V431" s="2960">
        <f t="shared" si="113"/>
        <v>0</v>
      </c>
      <c r="W431" s="997"/>
      <c r="X431" s="2960">
        <f t="shared" si="114"/>
        <v>0</v>
      </c>
      <c r="Y431" s="2960">
        <f t="shared" si="115"/>
        <v>0</v>
      </c>
      <c r="Z431" s="997"/>
    </row>
    <row r="432" spans="1:26">
      <c r="A432" s="35"/>
      <c r="B432" s="20"/>
      <c r="C432" s="13">
        <f t="shared" si="104"/>
        <v>1</v>
      </c>
      <c r="D432" s="600"/>
      <c r="E432" s="13">
        <f t="shared" si="105"/>
        <v>0</v>
      </c>
      <c r="F432" s="600"/>
      <c r="G432" s="13">
        <f t="shared" si="106"/>
        <v>0</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60">
        <f t="shared" si="112"/>
        <v>0</v>
      </c>
      <c r="V432" s="2960">
        <f t="shared" si="113"/>
        <v>0</v>
      </c>
      <c r="W432" s="997"/>
      <c r="X432" s="2960">
        <f t="shared" si="114"/>
        <v>0</v>
      </c>
      <c r="Y432" s="2960">
        <f t="shared" si="115"/>
        <v>0</v>
      </c>
      <c r="Z432" s="997"/>
    </row>
    <row r="433" spans="1:26">
      <c r="A433" s="35"/>
      <c r="B433" s="20"/>
      <c r="C433" s="13">
        <f t="shared" si="104"/>
        <v>1</v>
      </c>
      <c r="D433" s="600"/>
      <c r="E433" s="13">
        <f t="shared" si="105"/>
        <v>0</v>
      </c>
      <c r="F433" s="600"/>
      <c r="G433" s="13">
        <f t="shared" si="106"/>
        <v>0</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60">
        <f t="shared" si="112"/>
        <v>0</v>
      </c>
      <c r="V433" s="2960">
        <f t="shared" si="113"/>
        <v>0</v>
      </c>
      <c r="W433" s="997"/>
      <c r="X433" s="2960">
        <f t="shared" si="114"/>
        <v>0</v>
      </c>
      <c r="Y433" s="2960">
        <f t="shared" si="115"/>
        <v>0</v>
      </c>
      <c r="Z433" s="997"/>
    </row>
    <row r="434" spans="1:26">
      <c r="A434" s="35"/>
      <c r="B434" s="20"/>
      <c r="C434" s="13">
        <f t="shared" si="104"/>
        <v>1</v>
      </c>
      <c r="D434" s="600"/>
      <c r="E434" s="13">
        <f t="shared" si="105"/>
        <v>0</v>
      </c>
      <c r="F434" s="600"/>
      <c r="G434" s="13">
        <f t="shared" si="106"/>
        <v>0</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60">
        <f t="shared" si="112"/>
        <v>0</v>
      </c>
      <c r="V434" s="2960">
        <f t="shared" si="113"/>
        <v>0</v>
      </c>
      <c r="W434" s="997"/>
      <c r="X434" s="2960">
        <f t="shared" si="114"/>
        <v>0</v>
      </c>
      <c r="Y434" s="2960">
        <f t="shared" si="115"/>
        <v>0</v>
      </c>
      <c r="Z434" s="997"/>
    </row>
    <row r="435" spans="1:26">
      <c r="A435" s="35"/>
      <c r="B435" s="20"/>
      <c r="C435" s="13">
        <f t="shared" si="104"/>
        <v>1</v>
      </c>
      <c r="D435" s="600"/>
      <c r="E435" s="13">
        <f t="shared" si="105"/>
        <v>0</v>
      </c>
      <c r="F435" s="600"/>
      <c r="G435" s="13">
        <f t="shared" si="106"/>
        <v>0</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60">
        <f t="shared" si="112"/>
        <v>0</v>
      </c>
      <c r="V435" s="2960">
        <f t="shared" si="113"/>
        <v>0</v>
      </c>
      <c r="W435" s="997"/>
      <c r="X435" s="2960">
        <f t="shared" si="114"/>
        <v>0</v>
      </c>
      <c r="Y435" s="2960">
        <f t="shared" si="115"/>
        <v>0</v>
      </c>
      <c r="Z435" s="997"/>
    </row>
    <row r="436" spans="1:26">
      <c r="A436" s="35"/>
      <c r="B436" s="20"/>
      <c r="C436" s="13">
        <f t="shared" si="104"/>
        <v>1</v>
      </c>
      <c r="D436" s="600"/>
      <c r="E436" s="13">
        <f t="shared" si="105"/>
        <v>0</v>
      </c>
      <c r="F436" s="600"/>
      <c r="G436" s="13">
        <f t="shared" si="106"/>
        <v>0</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60">
        <f t="shared" si="112"/>
        <v>0</v>
      </c>
      <c r="V436" s="2960">
        <f t="shared" si="113"/>
        <v>0</v>
      </c>
      <c r="W436" s="997"/>
      <c r="X436" s="2960">
        <f t="shared" si="114"/>
        <v>0</v>
      </c>
      <c r="Y436" s="2960">
        <f t="shared" si="115"/>
        <v>0</v>
      </c>
      <c r="Z436" s="997"/>
    </row>
    <row r="437" spans="1:26">
      <c r="A437" s="35"/>
      <c r="B437" s="20"/>
      <c r="C437" s="13">
        <f t="shared" si="104"/>
        <v>1</v>
      </c>
      <c r="D437" s="600"/>
      <c r="E437" s="13">
        <f t="shared" si="105"/>
        <v>0</v>
      </c>
      <c r="F437" s="600"/>
      <c r="G437" s="13">
        <f t="shared" si="106"/>
        <v>0</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60">
        <f t="shared" si="112"/>
        <v>0</v>
      </c>
      <c r="V437" s="2960">
        <f t="shared" si="113"/>
        <v>0</v>
      </c>
      <c r="W437" s="997"/>
      <c r="X437" s="2960">
        <f t="shared" si="114"/>
        <v>0</v>
      </c>
      <c r="Y437" s="2960">
        <f t="shared" si="115"/>
        <v>0</v>
      </c>
      <c r="Z437" s="997"/>
    </row>
    <row r="438" spans="1:26">
      <c r="A438" s="35"/>
      <c r="B438" s="20"/>
      <c r="C438" s="13">
        <f t="shared" si="104"/>
        <v>1</v>
      </c>
      <c r="D438" s="600"/>
      <c r="E438" s="13">
        <f t="shared" si="105"/>
        <v>0</v>
      </c>
      <c r="F438" s="600"/>
      <c r="G438" s="13">
        <f t="shared" si="106"/>
        <v>0</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60">
        <f t="shared" si="112"/>
        <v>0</v>
      </c>
      <c r="V438" s="2960">
        <f t="shared" si="113"/>
        <v>0</v>
      </c>
      <c r="W438" s="997"/>
      <c r="X438" s="2960">
        <f t="shared" si="114"/>
        <v>0</v>
      </c>
      <c r="Y438" s="2960">
        <f t="shared" si="115"/>
        <v>0</v>
      </c>
      <c r="Z438" s="997"/>
    </row>
    <row r="439" spans="1:26">
      <c r="A439" s="35"/>
      <c r="B439" s="20"/>
      <c r="C439" s="13">
        <f t="shared" si="104"/>
        <v>1</v>
      </c>
      <c r="D439" s="600"/>
      <c r="E439" s="13">
        <f t="shared" si="105"/>
        <v>0</v>
      </c>
      <c r="F439" s="600"/>
      <c r="G439" s="13">
        <f t="shared" si="106"/>
        <v>0</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60">
        <f t="shared" si="112"/>
        <v>0</v>
      </c>
      <c r="V439" s="2960">
        <f t="shared" si="113"/>
        <v>0</v>
      </c>
      <c r="W439" s="997"/>
      <c r="X439" s="2960">
        <f t="shared" si="114"/>
        <v>0</v>
      </c>
      <c r="Y439" s="2960">
        <f t="shared" si="115"/>
        <v>0</v>
      </c>
      <c r="Z439" s="997"/>
    </row>
    <row r="440" spans="1:26">
      <c r="A440" s="35"/>
      <c r="B440" s="20"/>
      <c r="C440" s="13">
        <f t="shared" si="104"/>
        <v>1</v>
      </c>
      <c r="D440" s="600"/>
      <c r="E440" s="13">
        <f t="shared" si="105"/>
        <v>0</v>
      </c>
      <c r="F440" s="600"/>
      <c r="G440" s="13">
        <f t="shared" si="106"/>
        <v>0</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60">
        <f t="shared" si="112"/>
        <v>0</v>
      </c>
      <c r="V440" s="2960">
        <f t="shared" si="113"/>
        <v>0</v>
      </c>
      <c r="W440" s="997"/>
      <c r="X440" s="2960">
        <f t="shared" si="114"/>
        <v>0</v>
      </c>
      <c r="Y440" s="2960">
        <f t="shared" si="115"/>
        <v>0</v>
      </c>
      <c r="Z440" s="997"/>
    </row>
    <row r="441" spans="1:26">
      <c r="A441" s="35"/>
      <c r="B441" s="20"/>
      <c r="C441" s="13">
        <f t="shared" si="104"/>
        <v>1</v>
      </c>
      <c r="D441" s="600"/>
      <c r="E441" s="13">
        <f t="shared" si="105"/>
        <v>0</v>
      </c>
      <c r="F441" s="600"/>
      <c r="G441" s="13">
        <f t="shared" si="106"/>
        <v>0</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60">
        <f t="shared" si="112"/>
        <v>0</v>
      </c>
      <c r="V441" s="2960">
        <f t="shared" si="113"/>
        <v>0</v>
      </c>
      <c r="W441" s="997"/>
      <c r="X441" s="2960">
        <f t="shared" si="114"/>
        <v>0</v>
      </c>
      <c r="Y441" s="2960">
        <f t="shared" si="115"/>
        <v>0</v>
      </c>
      <c r="Z441" s="997"/>
    </row>
    <row r="442" spans="1:26">
      <c r="A442" s="35"/>
      <c r="B442" s="20"/>
      <c r="C442" s="13">
        <f t="shared" si="104"/>
        <v>1</v>
      </c>
      <c r="D442" s="600"/>
      <c r="E442" s="13">
        <f t="shared" si="105"/>
        <v>0</v>
      </c>
      <c r="F442" s="600"/>
      <c r="G442" s="13">
        <f t="shared" si="106"/>
        <v>0</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60">
        <f t="shared" si="112"/>
        <v>0</v>
      </c>
      <c r="V442" s="2960">
        <f t="shared" si="113"/>
        <v>0</v>
      </c>
      <c r="W442" s="997"/>
      <c r="X442" s="2960">
        <f t="shared" si="114"/>
        <v>0</v>
      </c>
      <c r="Y442" s="2960">
        <f t="shared" si="115"/>
        <v>0</v>
      </c>
      <c r="Z442" s="997"/>
    </row>
    <row r="443" spans="1:26">
      <c r="A443" s="35"/>
      <c r="B443" s="20"/>
      <c r="C443" s="13">
        <f t="shared" si="104"/>
        <v>1</v>
      </c>
      <c r="D443" s="600"/>
      <c r="E443" s="13">
        <f t="shared" si="105"/>
        <v>0</v>
      </c>
      <c r="F443" s="600"/>
      <c r="G443" s="13">
        <f t="shared" si="106"/>
        <v>0</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60">
        <f t="shared" si="112"/>
        <v>0</v>
      </c>
      <c r="V443" s="2960">
        <f t="shared" si="113"/>
        <v>0</v>
      </c>
      <c r="W443" s="997"/>
      <c r="X443" s="2960">
        <f t="shared" si="114"/>
        <v>0</v>
      </c>
      <c r="Y443" s="2960">
        <f t="shared" si="115"/>
        <v>0</v>
      </c>
      <c r="Z443" s="997"/>
    </row>
    <row r="444" spans="1:26">
      <c r="A444" s="35"/>
      <c r="B444" s="20"/>
      <c r="C444" s="13">
        <f t="shared" si="104"/>
        <v>1</v>
      </c>
      <c r="D444" s="600"/>
      <c r="E444" s="13">
        <f t="shared" si="105"/>
        <v>0</v>
      </c>
      <c r="F444" s="600"/>
      <c r="G444" s="13">
        <f t="shared" si="106"/>
        <v>0</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60">
        <f t="shared" si="112"/>
        <v>0</v>
      </c>
      <c r="V444" s="2960">
        <f t="shared" si="113"/>
        <v>0</v>
      </c>
      <c r="W444" s="997"/>
      <c r="X444" s="2960">
        <f t="shared" si="114"/>
        <v>0</v>
      </c>
      <c r="Y444" s="2960">
        <f t="shared" si="115"/>
        <v>0</v>
      </c>
      <c r="Z444" s="997"/>
    </row>
    <row r="445" spans="1:26">
      <c r="A445" s="35"/>
      <c r="B445" s="20"/>
      <c r="C445" s="13">
        <f t="shared" si="104"/>
        <v>1</v>
      </c>
      <c r="D445" s="600"/>
      <c r="E445" s="13">
        <f t="shared" si="105"/>
        <v>0</v>
      </c>
      <c r="F445" s="600"/>
      <c r="G445" s="13">
        <f t="shared" si="106"/>
        <v>0</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60">
        <f t="shared" si="112"/>
        <v>0</v>
      </c>
      <c r="V445" s="2960">
        <f t="shared" si="113"/>
        <v>0</v>
      </c>
      <c r="W445" s="997"/>
      <c r="X445" s="2960">
        <f t="shared" si="114"/>
        <v>0</v>
      </c>
      <c r="Y445" s="2960">
        <f t="shared" si="115"/>
        <v>0</v>
      </c>
      <c r="Z445" s="997"/>
    </row>
    <row r="446" spans="1:26">
      <c r="A446" s="35"/>
      <c r="B446" s="20"/>
      <c r="C446" s="13">
        <f t="shared" si="104"/>
        <v>1</v>
      </c>
      <c r="D446" s="600"/>
      <c r="E446" s="13">
        <f t="shared" si="105"/>
        <v>0</v>
      </c>
      <c r="F446" s="600"/>
      <c r="G446" s="13">
        <f t="shared" si="106"/>
        <v>0</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60">
        <f t="shared" si="112"/>
        <v>0</v>
      </c>
      <c r="V446" s="2960">
        <f t="shared" si="113"/>
        <v>0</v>
      </c>
      <c r="W446" s="997"/>
      <c r="X446" s="2960">
        <f t="shared" si="114"/>
        <v>0</v>
      </c>
      <c r="Y446" s="2960">
        <f t="shared" si="115"/>
        <v>0</v>
      </c>
      <c r="Z446" s="997"/>
    </row>
    <row r="447" spans="1:26">
      <c r="A447" s="35"/>
      <c r="B447" s="20"/>
      <c r="C447" s="13">
        <f t="shared" si="104"/>
        <v>1</v>
      </c>
      <c r="D447" s="600"/>
      <c r="E447" s="13">
        <f t="shared" si="105"/>
        <v>0</v>
      </c>
      <c r="F447" s="600"/>
      <c r="G447" s="13">
        <f t="shared" si="106"/>
        <v>0</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60">
        <f t="shared" si="112"/>
        <v>0</v>
      </c>
      <c r="V447" s="2960">
        <f t="shared" si="113"/>
        <v>0</v>
      </c>
      <c r="W447" s="997"/>
      <c r="X447" s="2960">
        <f t="shared" si="114"/>
        <v>0</v>
      </c>
      <c r="Y447" s="2960">
        <f t="shared" si="115"/>
        <v>0</v>
      </c>
      <c r="Z447" s="997"/>
    </row>
    <row r="448" spans="1:26">
      <c r="A448" s="35"/>
      <c r="B448" s="20"/>
      <c r="C448" s="13">
        <f t="shared" si="104"/>
        <v>1</v>
      </c>
      <c r="D448" s="600"/>
      <c r="E448" s="13">
        <f t="shared" si="105"/>
        <v>0</v>
      </c>
      <c r="F448" s="600"/>
      <c r="G448" s="13">
        <f t="shared" si="106"/>
        <v>0</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60">
        <f t="shared" si="112"/>
        <v>0</v>
      </c>
      <c r="V448" s="2960">
        <f t="shared" si="113"/>
        <v>0</v>
      </c>
      <c r="W448" s="997"/>
      <c r="X448" s="2960">
        <f t="shared" si="114"/>
        <v>0</v>
      </c>
      <c r="Y448" s="2960">
        <f t="shared" si="115"/>
        <v>0</v>
      </c>
      <c r="Z448" s="997"/>
    </row>
    <row r="449" spans="1:26">
      <c r="A449" s="35"/>
      <c r="B449" s="20"/>
      <c r="C449" s="13">
        <f t="shared" si="104"/>
        <v>1</v>
      </c>
      <c r="D449" s="600"/>
      <c r="E449" s="13">
        <f t="shared" si="105"/>
        <v>0</v>
      </c>
      <c r="F449" s="600"/>
      <c r="G449" s="13">
        <f t="shared" si="106"/>
        <v>0</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60">
        <f t="shared" si="112"/>
        <v>0</v>
      </c>
      <c r="V449" s="2960">
        <f t="shared" si="113"/>
        <v>0</v>
      </c>
      <c r="W449" s="997"/>
      <c r="X449" s="2960">
        <f t="shared" si="114"/>
        <v>0</v>
      </c>
      <c r="Y449" s="2960">
        <f t="shared" si="115"/>
        <v>0</v>
      </c>
      <c r="Z449" s="997"/>
    </row>
    <row r="450" spans="1:26">
      <c r="A450" s="35"/>
      <c r="B450" s="20"/>
      <c r="C450" s="13">
        <f t="shared" si="104"/>
        <v>1</v>
      </c>
      <c r="D450" s="600"/>
      <c r="E450" s="13">
        <f t="shared" si="105"/>
        <v>0</v>
      </c>
      <c r="F450" s="600"/>
      <c r="G450" s="13">
        <f t="shared" si="106"/>
        <v>0</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60">
        <f t="shared" si="112"/>
        <v>0</v>
      </c>
      <c r="V450" s="2960">
        <f t="shared" si="113"/>
        <v>0</v>
      </c>
      <c r="W450" s="997"/>
      <c r="X450" s="2960">
        <f t="shared" si="114"/>
        <v>0</v>
      </c>
      <c r="Y450" s="2960">
        <f t="shared" si="115"/>
        <v>0</v>
      </c>
      <c r="Z450" s="997"/>
    </row>
    <row r="451" spans="1:26">
      <c r="A451" s="35"/>
      <c r="B451" s="20"/>
      <c r="C451" s="13">
        <f t="shared" si="104"/>
        <v>1</v>
      </c>
      <c r="D451" s="600"/>
      <c r="E451" s="13">
        <f t="shared" si="105"/>
        <v>0</v>
      </c>
      <c r="F451" s="600"/>
      <c r="G451" s="13">
        <f t="shared" si="106"/>
        <v>0</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60">
        <f t="shared" si="112"/>
        <v>0</v>
      </c>
      <c r="V451" s="2960">
        <f t="shared" si="113"/>
        <v>0</v>
      </c>
      <c r="W451" s="997"/>
      <c r="X451" s="2960">
        <f t="shared" si="114"/>
        <v>0</v>
      </c>
      <c r="Y451" s="2960">
        <f t="shared" si="115"/>
        <v>0</v>
      </c>
      <c r="Z451" s="997"/>
    </row>
    <row r="452" spans="1:26">
      <c r="A452" s="35"/>
      <c r="B452" s="20"/>
      <c r="C452" s="13">
        <f t="shared" si="104"/>
        <v>1</v>
      </c>
      <c r="D452" s="600"/>
      <c r="E452" s="13">
        <f t="shared" si="105"/>
        <v>0</v>
      </c>
      <c r="F452" s="600"/>
      <c r="G452" s="13">
        <f t="shared" si="106"/>
        <v>0</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60">
        <f t="shared" si="112"/>
        <v>0</v>
      </c>
      <c r="V452" s="2960">
        <f t="shared" si="113"/>
        <v>0</v>
      </c>
      <c r="W452" s="997"/>
      <c r="X452" s="2960">
        <f t="shared" si="114"/>
        <v>0</v>
      </c>
      <c r="Y452" s="2960">
        <f t="shared" si="115"/>
        <v>0</v>
      </c>
      <c r="Z452" s="997"/>
    </row>
    <row r="453" spans="1:26">
      <c r="A453" s="35"/>
      <c r="B453" s="20"/>
      <c r="C453" s="13">
        <f t="shared" si="104"/>
        <v>1</v>
      </c>
      <c r="D453" s="600"/>
      <c r="E453" s="13">
        <f t="shared" si="105"/>
        <v>0</v>
      </c>
      <c r="F453" s="600"/>
      <c r="G453" s="13">
        <f t="shared" si="106"/>
        <v>0</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60">
        <f t="shared" si="112"/>
        <v>0</v>
      </c>
      <c r="V453" s="2960">
        <f t="shared" si="113"/>
        <v>0</v>
      </c>
      <c r="W453" s="997"/>
      <c r="X453" s="2960">
        <f t="shared" si="114"/>
        <v>0</v>
      </c>
      <c r="Y453" s="2960">
        <f t="shared" si="115"/>
        <v>0</v>
      </c>
      <c r="Z453" s="997"/>
    </row>
    <row r="454" spans="1:26">
      <c r="A454" s="35"/>
      <c r="B454" s="20"/>
      <c r="C454" s="13">
        <f t="shared" si="104"/>
        <v>1</v>
      </c>
      <c r="D454" s="600"/>
      <c r="E454" s="13">
        <f t="shared" si="105"/>
        <v>0</v>
      </c>
      <c r="F454" s="600"/>
      <c r="G454" s="13">
        <f t="shared" si="106"/>
        <v>0</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60">
        <f t="shared" si="112"/>
        <v>0</v>
      </c>
      <c r="V454" s="2960">
        <f t="shared" si="113"/>
        <v>0</v>
      </c>
      <c r="W454" s="997"/>
      <c r="X454" s="2960">
        <f t="shared" si="114"/>
        <v>0</v>
      </c>
      <c r="Y454" s="2960">
        <f t="shared" si="115"/>
        <v>0</v>
      </c>
      <c r="Z454" s="997"/>
    </row>
    <row r="455" spans="1:26">
      <c r="A455" s="35"/>
      <c r="B455" s="20"/>
      <c r="C455" s="13">
        <f t="shared" si="104"/>
        <v>1</v>
      </c>
      <c r="D455" s="600"/>
      <c r="E455" s="13">
        <f t="shared" si="105"/>
        <v>0</v>
      </c>
      <c r="F455" s="600"/>
      <c r="G455" s="13">
        <f t="shared" si="106"/>
        <v>0</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60">
        <f t="shared" si="112"/>
        <v>0</v>
      </c>
      <c r="V455" s="2960">
        <f t="shared" si="113"/>
        <v>0</v>
      </c>
      <c r="W455" s="997"/>
      <c r="X455" s="2960">
        <f t="shared" si="114"/>
        <v>0</v>
      </c>
      <c r="Y455" s="2960">
        <f t="shared" si="115"/>
        <v>0</v>
      </c>
      <c r="Z455" s="997"/>
    </row>
    <row r="456" spans="1:26">
      <c r="A456" s="35"/>
      <c r="B456" s="20"/>
      <c r="C456" s="13">
        <f t="shared" si="104"/>
        <v>1</v>
      </c>
      <c r="D456" s="600"/>
      <c r="E456" s="13">
        <f t="shared" si="105"/>
        <v>0</v>
      </c>
      <c r="F456" s="600"/>
      <c r="G456" s="13">
        <f t="shared" si="106"/>
        <v>0</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60">
        <f t="shared" si="112"/>
        <v>0</v>
      </c>
      <c r="V456" s="2960">
        <f t="shared" si="113"/>
        <v>0</v>
      </c>
      <c r="W456" s="997"/>
      <c r="X456" s="2960">
        <f t="shared" si="114"/>
        <v>0</v>
      </c>
      <c r="Y456" s="2960">
        <f t="shared" si="115"/>
        <v>0</v>
      </c>
      <c r="Z456" s="997"/>
    </row>
    <row r="457" spans="1:26">
      <c r="A457" s="35"/>
      <c r="B457" s="20"/>
      <c r="C457" s="13">
        <f t="shared" si="104"/>
        <v>1</v>
      </c>
      <c r="D457" s="600"/>
      <c r="E457" s="13">
        <f t="shared" si="105"/>
        <v>0</v>
      </c>
      <c r="F457" s="600"/>
      <c r="G457" s="13">
        <f t="shared" si="106"/>
        <v>0</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60">
        <f t="shared" si="112"/>
        <v>0</v>
      </c>
      <c r="V457" s="2960">
        <f t="shared" si="113"/>
        <v>0</v>
      </c>
      <c r="W457" s="997"/>
      <c r="X457" s="2960">
        <f t="shared" si="114"/>
        <v>0</v>
      </c>
      <c r="Y457" s="2960">
        <f t="shared" si="115"/>
        <v>0</v>
      </c>
      <c r="Z457" s="997"/>
    </row>
    <row r="458" spans="1:26">
      <c r="A458" s="35"/>
      <c r="B458" s="20"/>
      <c r="C458" s="13">
        <f t="shared" si="104"/>
        <v>1</v>
      </c>
      <c r="D458" s="600"/>
      <c r="E458" s="13">
        <f t="shared" si="105"/>
        <v>0</v>
      </c>
      <c r="F458" s="600"/>
      <c r="G458" s="13">
        <f t="shared" si="106"/>
        <v>0</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60">
        <f t="shared" si="112"/>
        <v>0</v>
      </c>
      <c r="V458" s="2960">
        <f t="shared" si="113"/>
        <v>0</v>
      </c>
      <c r="W458" s="997"/>
      <c r="X458" s="2960">
        <f t="shared" si="114"/>
        <v>0</v>
      </c>
      <c r="Y458" s="2960">
        <f t="shared" si="115"/>
        <v>0</v>
      </c>
      <c r="Z458" s="997"/>
    </row>
    <row r="459" spans="1:26">
      <c r="A459" s="35"/>
      <c r="B459" s="20"/>
      <c r="C459" s="13">
        <f t="shared" si="104"/>
        <v>1</v>
      </c>
      <c r="D459" s="600"/>
      <c r="E459" s="13">
        <f t="shared" si="105"/>
        <v>0</v>
      </c>
      <c r="F459" s="600"/>
      <c r="G459" s="13">
        <f t="shared" si="106"/>
        <v>0</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60">
        <f t="shared" si="112"/>
        <v>0</v>
      </c>
      <c r="V459" s="2960">
        <f t="shared" si="113"/>
        <v>0</v>
      </c>
      <c r="W459" s="997"/>
      <c r="X459" s="2960">
        <f t="shared" si="114"/>
        <v>0</v>
      </c>
      <c r="Y459" s="2960">
        <f t="shared" si="115"/>
        <v>0</v>
      </c>
      <c r="Z459" s="997"/>
    </row>
    <row r="460" spans="1:26">
      <c r="A460" s="35"/>
      <c r="B460" s="20"/>
      <c r="C460" s="13">
        <f t="shared" si="104"/>
        <v>1</v>
      </c>
      <c r="D460" s="600"/>
      <c r="E460" s="13">
        <f t="shared" si="105"/>
        <v>0</v>
      </c>
      <c r="F460" s="600"/>
      <c r="G460" s="13">
        <f t="shared" si="106"/>
        <v>0</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60">
        <f t="shared" si="112"/>
        <v>0</v>
      </c>
      <c r="V460" s="2960">
        <f t="shared" si="113"/>
        <v>0</v>
      </c>
      <c r="W460" s="997"/>
      <c r="X460" s="2960">
        <f t="shared" si="114"/>
        <v>0</v>
      </c>
      <c r="Y460" s="2960">
        <f t="shared" si="115"/>
        <v>0</v>
      </c>
      <c r="Z460" s="997"/>
    </row>
    <row r="461" spans="1:26">
      <c r="A461" s="35"/>
      <c r="B461" s="20"/>
      <c r="C461" s="13">
        <f t="shared" si="104"/>
        <v>1</v>
      </c>
      <c r="D461" s="600"/>
      <c r="E461" s="13">
        <f t="shared" si="105"/>
        <v>0</v>
      </c>
      <c r="F461" s="600"/>
      <c r="G461" s="13">
        <f t="shared" si="106"/>
        <v>0</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60">
        <f t="shared" si="112"/>
        <v>0</v>
      </c>
      <c r="V461" s="2960">
        <f t="shared" si="113"/>
        <v>0</v>
      </c>
      <c r="W461" s="997"/>
      <c r="X461" s="2960">
        <f t="shared" si="114"/>
        <v>0</v>
      </c>
      <c r="Y461" s="2960">
        <f t="shared" si="115"/>
        <v>0</v>
      </c>
      <c r="Z461" s="997"/>
    </row>
    <row r="462" spans="1:26">
      <c r="A462" s="35"/>
      <c r="B462" s="20"/>
      <c r="C462" s="13">
        <f t="shared" si="104"/>
        <v>1</v>
      </c>
      <c r="D462" s="600"/>
      <c r="E462" s="13">
        <f t="shared" si="105"/>
        <v>0</v>
      </c>
      <c r="F462" s="600"/>
      <c r="G462" s="13">
        <f t="shared" si="106"/>
        <v>0</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60">
        <f t="shared" si="112"/>
        <v>0</v>
      </c>
      <c r="V462" s="2960">
        <f t="shared" si="113"/>
        <v>0</v>
      </c>
      <c r="W462" s="997"/>
      <c r="X462" s="2960">
        <f t="shared" si="114"/>
        <v>0</v>
      </c>
      <c r="Y462" s="2960">
        <f t="shared" si="115"/>
        <v>0</v>
      </c>
      <c r="Z462" s="997"/>
    </row>
    <row r="463" spans="1:26">
      <c r="A463" s="35"/>
      <c r="B463" s="20"/>
      <c r="C463" s="13">
        <f t="shared" si="104"/>
        <v>1</v>
      </c>
      <c r="D463" s="600"/>
      <c r="E463" s="13">
        <f t="shared" si="105"/>
        <v>0</v>
      </c>
      <c r="F463" s="600"/>
      <c r="G463" s="13">
        <f t="shared" si="106"/>
        <v>0</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60">
        <f t="shared" si="112"/>
        <v>0</v>
      </c>
      <c r="V463" s="2960">
        <f t="shared" si="113"/>
        <v>0</v>
      </c>
      <c r="W463" s="997"/>
      <c r="X463" s="2960">
        <f t="shared" si="114"/>
        <v>0</v>
      </c>
      <c r="Y463" s="2960">
        <f t="shared" si="115"/>
        <v>0</v>
      </c>
      <c r="Z463" s="997"/>
    </row>
    <row r="464" spans="1:26">
      <c r="A464" s="35"/>
      <c r="B464" s="20"/>
      <c r="C464" s="13">
        <f t="shared" si="104"/>
        <v>1</v>
      </c>
      <c r="D464" s="600"/>
      <c r="E464" s="13">
        <f t="shared" si="105"/>
        <v>0</v>
      </c>
      <c r="F464" s="600"/>
      <c r="G464" s="13">
        <f t="shared" si="106"/>
        <v>0</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60">
        <f t="shared" si="112"/>
        <v>0</v>
      </c>
      <c r="V464" s="2960">
        <f t="shared" si="113"/>
        <v>0</v>
      </c>
      <c r="W464" s="997"/>
      <c r="X464" s="2960">
        <f t="shared" si="114"/>
        <v>0</v>
      </c>
      <c r="Y464" s="2960">
        <f t="shared" si="115"/>
        <v>0</v>
      </c>
      <c r="Z464" s="997"/>
    </row>
    <row r="465" spans="1:26">
      <c r="A465" s="35"/>
      <c r="B465" s="20"/>
      <c r="C465" s="13">
        <f t="shared" si="104"/>
        <v>1</v>
      </c>
      <c r="D465" s="600"/>
      <c r="E465" s="13">
        <f t="shared" si="105"/>
        <v>0</v>
      </c>
      <c r="F465" s="600"/>
      <c r="G465" s="13">
        <f t="shared" si="106"/>
        <v>0</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60">
        <f t="shared" si="112"/>
        <v>0</v>
      </c>
      <c r="V465" s="2960">
        <f t="shared" si="113"/>
        <v>0</v>
      </c>
      <c r="W465" s="997"/>
      <c r="X465" s="2960">
        <f t="shared" si="114"/>
        <v>0</v>
      </c>
      <c r="Y465" s="2960">
        <f t="shared" si="115"/>
        <v>0</v>
      </c>
      <c r="Z465" s="997"/>
    </row>
    <row r="466" spans="1:26">
      <c r="A466" s="35"/>
      <c r="B466" s="20"/>
      <c r="C466" s="13">
        <f t="shared" si="104"/>
        <v>1</v>
      </c>
      <c r="D466" s="600"/>
      <c r="E466" s="13">
        <f t="shared" si="105"/>
        <v>0</v>
      </c>
      <c r="F466" s="600"/>
      <c r="G466" s="13">
        <f t="shared" si="106"/>
        <v>0</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60">
        <f t="shared" si="112"/>
        <v>0</v>
      </c>
      <c r="V466" s="2960">
        <f t="shared" si="113"/>
        <v>0</v>
      </c>
      <c r="W466" s="997"/>
      <c r="X466" s="2960">
        <f t="shared" si="114"/>
        <v>0</v>
      </c>
      <c r="Y466" s="2960">
        <f t="shared" si="115"/>
        <v>0</v>
      </c>
      <c r="Z466" s="997"/>
    </row>
    <row r="467" spans="1:26">
      <c r="A467" s="35"/>
      <c r="B467" s="20"/>
      <c r="C467" s="13">
        <f t="shared" si="104"/>
        <v>1</v>
      </c>
      <c r="D467" s="600"/>
      <c r="E467" s="13">
        <f t="shared" si="105"/>
        <v>0</v>
      </c>
      <c r="F467" s="600"/>
      <c r="G467" s="13">
        <f t="shared" si="106"/>
        <v>0</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60">
        <f t="shared" si="112"/>
        <v>0</v>
      </c>
      <c r="V467" s="2960">
        <f t="shared" si="113"/>
        <v>0</v>
      </c>
      <c r="W467" s="997"/>
      <c r="X467" s="2960">
        <f t="shared" si="114"/>
        <v>0</v>
      </c>
      <c r="Y467" s="2960">
        <f t="shared" si="115"/>
        <v>0</v>
      </c>
      <c r="Z467" s="997"/>
    </row>
    <row r="468" spans="1:26">
      <c r="A468" s="35"/>
      <c r="B468" s="20"/>
      <c r="C468" s="13">
        <f t="shared" si="104"/>
        <v>1</v>
      </c>
      <c r="D468" s="600"/>
      <c r="E468" s="13">
        <f t="shared" si="105"/>
        <v>0</v>
      </c>
      <c r="F468" s="600"/>
      <c r="G468" s="13">
        <f t="shared" si="106"/>
        <v>0</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60">
        <f t="shared" si="112"/>
        <v>0</v>
      </c>
      <c r="V468" s="2960">
        <f t="shared" si="113"/>
        <v>0</v>
      </c>
      <c r="W468" s="997"/>
      <c r="X468" s="2960">
        <f t="shared" si="114"/>
        <v>0</v>
      </c>
      <c r="Y468" s="2960">
        <f t="shared" si="115"/>
        <v>0</v>
      </c>
      <c r="Z468" s="997"/>
    </row>
    <row r="469" spans="1:26">
      <c r="A469" s="35"/>
      <c r="B469" s="20"/>
      <c r="C469" s="13">
        <f t="shared" si="104"/>
        <v>1</v>
      </c>
      <c r="D469" s="600"/>
      <c r="E469" s="13">
        <f t="shared" si="105"/>
        <v>0</v>
      </c>
      <c r="F469" s="600"/>
      <c r="G469" s="13">
        <f t="shared" si="106"/>
        <v>0</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60">
        <f t="shared" si="112"/>
        <v>0</v>
      </c>
      <c r="V469" s="2960">
        <f t="shared" si="113"/>
        <v>0</v>
      </c>
      <c r="W469" s="997"/>
      <c r="X469" s="2960">
        <f t="shared" si="114"/>
        <v>0</v>
      </c>
      <c r="Y469" s="2960">
        <f t="shared" si="115"/>
        <v>0</v>
      </c>
      <c r="Z469" s="997"/>
    </row>
    <row r="470" spans="1:26">
      <c r="A470" s="35"/>
      <c r="B470" s="20"/>
      <c r="C470" s="13">
        <f t="shared" si="104"/>
        <v>1</v>
      </c>
      <c r="D470" s="600"/>
      <c r="E470" s="13">
        <f t="shared" si="105"/>
        <v>0</v>
      </c>
      <c r="F470" s="600"/>
      <c r="G470" s="13">
        <f t="shared" si="106"/>
        <v>0</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60">
        <f t="shared" si="112"/>
        <v>0</v>
      </c>
      <c r="V470" s="2960">
        <f t="shared" si="113"/>
        <v>0</v>
      </c>
      <c r="W470" s="997"/>
      <c r="X470" s="2960">
        <f t="shared" si="114"/>
        <v>0</v>
      </c>
      <c r="Y470" s="2960">
        <f t="shared" si="115"/>
        <v>0</v>
      </c>
      <c r="Z470" s="997"/>
    </row>
    <row r="471" spans="1:26">
      <c r="A471" s="35"/>
      <c r="B471" s="20"/>
      <c r="C471" s="13">
        <f t="shared" si="104"/>
        <v>1</v>
      </c>
      <c r="D471" s="600"/>
      <c r="E471" s="13">
        <f t="shared" si="105"/>
        <v>0</v>
      </c>
      <c r="F471" s="600"/>
      <c r="G471" s="13">
        <f t="shared" si="106"/>
        <v>0</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60">
        <f t="shared" si="112"/>
        <v>0</v>
      </c>
      <c r="V471" s="2960">
        <f t="shared" si="113"/>
        <v>0</v>
      </c>
      <c r="W471" s="997"/>
      <c r="X471" s="2960">
        <f t="shared" si="114"/>
        <v>0</v>
      </c>
      <c r="Y471" s="2960">
        <f t="shared" si="115"/>
        <v>0</v>
      </c>
      <c r="Z471" s="997"/>
    </row>
    <row r="472" spans="1:26">
      <c r="A472" s="35"/>
      <c r="B472" s="20"/>
      <c r="C472" s="13">
        <f t="shared" si="104"/>
        <v>1</v>
      </c>
      <c r="D472" s="600"/>
      <c r="E472" s="13">
        <f t="shared" si="105"/>
        <v>0</v>
      </c>
      <c r="F472" s="600"/>
      <c r="G472" s="13">
        <f t="shared" si="106"/>
        <v>0</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60">
        <f t="shared" si="112"/>
        <v>0</v>
      </c>
      <c r="V472" s="2960">
        <f t="shared" si="113"/>
        <v>0</v>
      </c>
      <c r="W472" s="997"/>
      <c r="X472" s="2960">
        <f t="shared" si="114"/>
        <v>0</v>
      </c>
      <c r="Y472" s="2960">
        <f t="shared" si="115"/>
        <v>0</v>
      </c>
      <c r="Z472" s="997"/>
    </row>
    <row r="473" spans="1:26">
      <c r="A473" s="35"/>
      <c r="B473" s="20"/>
      <c r="C473" s="13">
        <f t="shared" si="104"/>
        <v>1</v>
      </c>
      <c r="D473" s="600"/>
      <c r="E473" s="13">
        <f t="shared" si="105"/>
        <v>0</v>
      </c>
      <c r="F473" s="600"/>
      <c r="G473" s="13">
        <f t="shared" si="106"/>
        <v>0</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60">
        <f t="shared" si="112"/>
        <v>0</v>
      </c>
      <c r="V473" s="2960">
        <f t="shared" si="113"/>
        <v>0</v>
      </c>
      <c r="W473" s="997"/>
      <c r="X473" s="2960">
        <f t="shared" si="114"/>
        <v>0</v>
      </c>
      <c r="Y473" s="2960">
        <f t="shared" si="115"/>
        <v>0</v>
      </c>
      <c r="Z473" s="997"/>
    </row>
    <row r="474" spans="1:26">
      <c r="A474" s="35"/>
      <c r="B474" s="20"/>
      <c r="C474" s="13">
        <f t="shared" si="104"/>
        <v>1</v>
      </c>
      <c r="D474" s="600"/>
      <c r="E474" s="13">
        <f t="shared" si="105"/>
        <v>0</v>
      </c>
      <c r="F474" s="600"/>
      <c r="G474" s="13">
        <f t="shared" si="106"/>
        <v>0</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60">
        <f t="shared" si="112"/>
        <v>0</v>
      </c>
      <c r="V474" s="2960">
        <f t="shared" si="113"/>
        <v>0</v>
      </c>
      <c r="W474" s="997"/>
      <c r="X474" s="2960">
        <f t="shared" si="114"/>
        <v>0</v>
      </c>
      <c r="Y474" s="2960">
        <f t="shared" si="115"/>
        <v>0</v>
      </c>
      <c r="Z474" s="997"/>
    </row>
    <row r="475" spans="1:26">
      <c r="A475" s="35"/>
      <c r="B475" s="20"/>
      <c r="C475" s="13">
        <f t="shared" si="104"/>
        <v>1</v>
      </c>
      <c r="D475" s="600"/>
      <c r="E475" s="13">
        <f t="shared" si="105"/>
        <v>0</v>
      </c>
      <c r="F475" s="600"/>
      <c r="G475" s="13">
        <f t="shared" si="106"/>
        <v>0</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60">
        <f t="shared" si="112"/>
        <v>0</v>
      </c>
      <c r="V475" s="2960">
        <f t="shared" si="113"/>
        <v>0</v>
      </c>
      <c r="W475" s="997"/>
      <c r="X475" s="2960">
        <f t="shared" si="114"/>
        <v>0</v>
      </c>
      <c r="Y475" s="2960">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60">
        <f t="shared" ref="U476:U527" si="127">ROUND(W476*B476,0)</f>
        <v>0</v>
      </c>
      <c r="V476" s="2960">
        <f t="shared" ref="V476:V527" si="128">ROUND(W476*B476/10000,0)</f>
        <v>0</v>
      </c>
      <c r="W476" s="997"/>
      <c r="X476" s="2960">
        <f t="shared" ref="X476:X527" si="129">ROUND(Z476*B476,0)</f>
        <v>0</v>
      </c>
      <c r="Y476" s="2960">
        <f t="shared" ref="Y476:Y527" si="130">ROUND(Z476*B476/10000,0)</f>
        <v>0</v>
      </c>
      <c r="Z476" s="997"/>
    </row>
    <row r="477" spans="1:26">
      <c r="A477" s="35"/>
      <c r="B477" s="20"/>
      <c r="C477" s="13">
        <f t="shared" si="119"/>
        <v>1</v>
      </c>
      <c r="D477" s="600"/>
      <c r="E477" s="13">
        <f t="shared" si="120"/>
        <v>0</v>
      </c>
      <c r="F477" s="600"/>
      <c r="G477" s="13">
        <f t="shared" si="121"/>
        <v>0</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60">
        <f t="shared" si="127"/>
        <v>0</v>
      </c>
      <c r="V477" s="2960">
        <f t="shared" si="128"/>
        <v>0</v>
      </c>
      <c r="W477" s="997"/>
      <c r="X477" s="2960">
        <f t="shared" si="129"/>
        <v>0</v>
      </c>
      <c r="Y477" s="2960">
        <f t="shared" si="130"/>
        <v>0</v>
      </c>
      <c r="Z477" s="997"/>
    </row>
    <row r="478" spans="1:26">
      <c r="A478" s="35"/>
      <c r="B478" s="20"/>
      <c r="C478" s="13">
        <f t="shared" si="119"/>
        <v>1</v>
      </c>
      <c r="D478" s="600"/>
      <c r="E478" s="13">
        <f t="shared" si="120"/>
        <v>0</v>
      </c>
      <c r="F478" s="600"/>
      <c r="G478" s="13">
        <f t="shared" si="121"/>
        <v>0</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60">
        <f t="shared" si="127"/>
        <v>0</v>
      </c>
      <c r="V478" s="2960">
        <f t="shared" si="128"/>
        <v>0</v>
      </c>
      <c r="W478" s="997"/>
      <c r="X478" s="2960">
        <f t="shared" si="129"/>
        <v>0</v>
      </c>
      <c r="Y478" s="2960">
        <f t="shared" si="130"/>
        <v>0</v>
      </c>
      <c r="Z478" s="997"/>
    </row>
    <row r="479" spans="1:26">
      <c r="A479" s="35"/>
      <c r="B479" s="20"/>
      <c r="C479" s="13">
        <f t="shared" si="119"/>
        <v>1</v>
      </c>
      <c r="D479" s="600"/>
      <c r="E479" s="13">
        <f t="shared" si="120"/>
        <v>0</v>
      </c>
      <c r="F479" s="600"/>
      <c r="G479" s="13">
        <f t="shared" si="121"/>
        <v>0</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60">
        <f t="shared" si="127"/>
        <v>0</v>
      </c>
      <c r="V479" s="2960">
        <f t="shared" si="128"/>
        <v>0</v>
      </c>
      <c r="W479" s="997"/>
      <c r="X479" s="2960">
        <f t="shared" si="129"/>
        <v>0</v>
      </c>
      <c r="Y479" s="2960">
        <f t="shared" si="130"/>
        <v>0</v>
      </c>
      <c r="Z479" s="997"/>
    </row>
    <row r="480" spans="1:26">
      <c r="A480" s="35"/>
      <c r="B480" s="20"/>
      <c r="C480" s="13">
        <f t="shared" si="119"/>
        <v>1</v>
      </c>
      <c r="D480" s="600"/>
      <c r="E480" s="13">
        <f t="shared" si="120"/>
        <v>0</v>
      </c>
      <c r="F480" s="600"/>
      <c r="G480" s="13">
        <f t="shared" si="121"/>
        <v>0</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60">
        <f t="shared" si="127"/>
        <v>0</v>
      </c>
      <c r="V480" s="2960">
        <f t="shared" si="128"/>
        <v>0</v>
      </c>
      <c r="W480" s="997"/>
      <c r="X480" s="2960">
        <f t="shared" si="129"/>
        <v>0</v>
      </c>
      <c r="Y480" s="2960">
        <f t="shared" si="130"/>
        <v>0</v>
      </c>
      <c r="Z480" s="997"/>
    </row>
    <row r="481" spans="1:26">
      <c r="A481" s="35"/>
      <c r="B481" s="20"/>
      <c r="C481" s="13">
        <f t="shared" si="119"/>
        <v>1</v>
      </c>
      <c r="D481" s="600"/>
      <c r="E481" s="13">
        <f t="shared" si="120"/>
        <v>0</v>
      </c>
      <c r="F481" s="600"/>
      <c r="G481" s="13">
        <f t="shared" si="121"/>
        <v>0</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60">
        <f t="shared" si="127"/>
        <v>0</v>
      </c>
      <c r="V481" s="2960">
        <f t="shared" si="128"/>
        <v>0</v>
      </c>
      <c r="W481" s="997"/>
      <c r="X481" s="2960">
        <f t="shared" si="129"/>
        <v>0</v>
      </c>
      <c r="Y481" s="2960">
        <f t="shared" si="130"/>
        <v>0</v>
      </c>
      <c r="Z481" s="997"/>
    </row>
    <row r="482" spans="1:26">
      <c r="A482" s="35"/>
      <c r="B482" s="20"/>
      <c r="C482" s="13">
        <f t="shared" si="119"/>
        <v>1</v>
      </c>
      <c r="D482" s="600"/>
      <c r="E482" s="13">
        <f t="shared" si="120"/>
        <v>0</v>
      </c>
      <c r="F482" s="600"/>
      <c r="G482" s="13">
        <f t="shared" si="121"/>
        <v>0</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60">
        <f t="shared" si="127"/>
        <v>0</v>
      </c>
      <c r="V482" s="2960">
        <f t="shared" si="128"/>
        <v>0</v>
      </c>
      <c r="W482" s="997"/>
      <c r="X482" s="2960">
        <f t="shared" si="129"/>
        <v>0</v>
      </c>
      <c r="Y482" s="2960">
        <f t="shared" si="130"/>
        <v>0</v>
      </c>
      <c r="Z482" s="997"/>
    </row>
    <row r="483" spans="1:26">
      <c r="A483" s="35"/>
      <c r="B483" s="20"/>
      <c r="C483" s="13">
        <f t="shared" si="119"/>
        <v>1</v>
      </c>
      <c r="D483" s="600"/>
      <c r="E483" s="13">
        <f t="shared" si="120"/>
        <v>0</v>
      </c>
      <c r="F483" s="600"/>
      <c r="G483" s="13">
        <f t="shared" si="121"/>
        <v>0</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60">
        <f t="shared" si="127"/>
        <v>0</v>
      </c>
      <c r="V483" s="2960">
        <f t="shared" si="128"/>
        <v>0</v>
      </c>
      <c r="W483" s="997"/>
      <c r="X483" s="2960">
        <f t="shared" si="129"/>
        <v>0</v>
      </c>
      <c r="Y483" s="2960">
        <f t="shared" si="130"/>
        <v>0</v>
      </c>
      <c r="Z483" s="997"/>
    </row>
    <row r="484" spans="1:26">
      <c r="A484" s="35"/>
      <c r="B484" s="20"/>
      <c r="C484" s="13">
        <f t="shared" si="119"/>
        <v>1</v>
      </c>
      <c r="D484" s="600"/>
      <c r="E484" s="13">
        <f t="shared" si="120"/>
        <v>0</v>
      </c>
      <c r="F484" s="600"/>
      <c r="G484" s="13">
        <f t="shared" si="121"/>
        <v>0</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60">
        <f t="shared" si="127"/>
        <v>0</v>
      </c>
      <c r="V484" s="2960">
        <f t="shared" si="128"/>
        <v>0</v>
      </c>
      <c r="W484" s="997"/>
      <c r="X484" s="2960">
        <f t="shared" si="129"/>
        <v>0</v>
      </c>
      <c r="Y484" s="2960">
        <f t="shared" si="130"/>
        <v>0</v>
      </c>
      <c r="Z484" s="997"/>
    </row>
    <row r="485" spans="1:26">
      <c r="A485" s="35"/>
      <c r="B485" s="20"/>
      <c r="C485" s="13">
        <f t="shared" si="119"/>
        <v>1</v>
      </c>
      <c r="D485" s="600"/>
      <c r="E485" s="13">
        <f t="shared" si="120"/>
        <v>0</v>
      </c>
      <c r="F485" s="600"/>
      <c r="G485" s="13">
        <f t="shared" si="121"/>
        <v>0</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60">
        <f t="shared" si="127"/>
        <v>0</v>
      </c>
      <c r="V485" s="2960">
        <f t="shared" si="128"/>
        <v>0</v>
      </c>
      <c r="W485" s="997"/>
      <c r="X485" s="2960">
        <f t="shared" si="129"/>
        <v>0</v>
      </c>
      <c r="Y485" s="2960">
        <f t="shared" si="130"/>
        <v>0</v>
      </c>
      <c r="Z485" s="997"/>
    </row>
    <row r="486" spans="1:26">
      <c r="A486" s="35"/>
      <c r="B486" s="20"/>
      <c r="C486" s="13">
        <f t="shared" si="119"/>
        <v>1</v>
      </c>
      <c r="D486" s="600"/>
      <c r="E486" s="13">
        <f t="shared" si="120"/>
        <v>0</v>
      </c>
      <c r="F486" s="600"/>
      <c r="G486" s="13">
        <f t="shared" si="121"/>
        <v>0</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60">
        <f t="shared" si="127"/>
        <v>0</v>
      </c>
      <c r="V486" s="2960">
        <f t="shared" si="128"/>
        <v>0</v>
      </c>
      <c r="W486" s="997"/>
      <c r="X486" s="2960">
        <f t="shared" si="129"/>
        <v>0</v>
      </c>
      <c r="Y486" s="2960">
        <f t="shared" si="130"/>
        <v>0</v>
      </c>
      <c r="Z486" s="997"/>
    </row>
    <row r="487" spans="1:26">
      <c r="A487" s="35"/>
      <c r="B487" s="20"/>
      <c r="C487" s="13">
        <f t="shared" si="119"/>
        <v>1</v>
      </c>
      <c r="D487" s="600"/>
      <c r="E487" s="13">
        <f t="shared" si="120"/>
        <v>0</v>
      </c>
      <c r="F487" s="600"/>
      <c r="G487" s="13">
        <f t="shared" si="121"/>
        <v>0</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60">
        <f t="shared" si="127"/>
        <v>0</v>
      </c>
      <c r="V487" s="2960">
        <f t="shared" si="128"/>
        <v>0</v>
      </c>
      <c r="W487" s="997"/>
      <c r="X487" s="2960">
        <f t="shared" si="129"/>
        <v>0</v>
      </c>
      <c r="Y487" s="2960">
        <f t="shared" si="130"/>
        <v>0</v>
      </c>
      <c r="Z487" s="997"/>
    </row>
    <row r="488" spans="1:26">
      <c r="A488" s="35"/>
      <c r="B488" s="20"/>
      <c r="C488" s="13">
        <f t="shared" si="119"/>
        <v>1</v>
      </c>
      <c r="D488" s="600"/>
      <c r="E488" s="13">
        <f t="shared" si="120"/>
        <v>0</v>
      </c>
      <c r="F488" s="600"/>
      <c r="G488" s="13">
        <f t="shared" si="121"/>
        <v>0</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60">
        <f t="shared" si="127"/>
        <v>0</v>
      </c>
      <c r="V488" s="2960">
        <f t="shared" si="128"/>
        <v>0</v>
      </c>
      <c r="W488" s="997"/>
      <c r="X488" s="2960">
        <f t="shared" si="129"/>
        <v>0</v>
      </c>
      <c r="Y488" s="2960">
        <f t="shared" si="130"/>
        <v>0</v>
      </c>
      <c r="Z488" s="997"/>
    </row>
    <row r="489" spans="1:26">
      <c r="A489" s="35"/>
      <c r="B489" s="20"/>
      <c r="C489" s="13">
        <f t="shared" si="119"/>
        <v>1</v>
      </c>
      <c r="D489" s="600"/>
      <c r="E489" s="13">
        <f t="shared" si="120"/>
        <v>0</v>
      </c>
      <c r="F489" s="600"/>
      <c r="G489" s="13">
        <f t="shared" si="121"/>
        <v>0</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60">
        <f t="shared" si="127"/>
        <v>0</v>
      </c>
      <c r="V489" s="2960">
        <f t="shared" si="128"/>
        <v>0</v>
      </c>
      <c r="W489" s="997"/>
      <c r="X489" s="2960">
        <f t="shared" si="129"/>
        <v>0</v>
      </c>
      <c r="Y489" s="2960">
        <f t="shared" si="130"/>
        <v>0</v>
      </c>
      <c r="Z489" s="997"/>
    </row>
    <row r="490" spans="1:26">
      <c r="A490" s="35"/>
      <c r="B490" s="20"/>
      <c r="C490" s="13">
        <f t="shared" si="119"/>
        <v>1</v>
      </c>
      <c r="D490" s="600"/>
      <c r="E490" s="13">
        <f t="shared" si="120"/>
        <v>0</v>
      </c>
      <c r="F490" s="600"/>
      <c r="G490" s="13">
        <f t="shared" si="121"/>
        <v>0</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60">
        <f t="shared" si="127"/>
        <v>0</v>
      </c>
      <c r="V490" s="2960">
        <f t="shared" si="128"/>
        <v>0</v>
      </c>
      <c r="W490" s="997"/>
      <c r="X490" s="2960">
        <f t="shared" si="129"/>
        <v>0</v>
      </c>
      <c r="Y490" s="2960">
        <f t="shared" si="130"/>
        <v>0</v>
      </c>
      <c r="Z490" s="997"/>
    </row>
    <row r="491" spans="1:26">
      <c r="A491" s="35"/>
      <c r="B491" s="20"/>
      <c r="C491" s="13">
        <f t="shared" si="119"/>
        <v>1</v>
      </c>
      <c r="D491" s="600"/>
      <c r="E491" s="13">
        <f t="shared" si="120"/>
        <v>0</v>
      </c>
      <c r="F491" s="600"/>
      <c r="G491" s="13">
        <f t="shared" si="121"/>
        <v>0</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60">
        <f t="shared" si="127"/>
        <v>0</v>
      </c>
      <c r="V491" s="2960">
        <f t="shared" si="128"/>
        <v>0</v>
      </c>
      <c r="W491" s="997"/>
      <c r="X491" s="2960">
        <f t="shared" si="129"/>
        <v>0</v>
      </c>
      <c r="Y491" s="2960">
        <f t="shared" si="130"/>
        <v>0</v>
      </c>
      <c r="Z491" s="997"/>
    </row>
    <row r="492" spans="1:26">
      <c r="A492" s="35"/>
      <c r="B492" s="20"/>
      <c r="C492" s="13">
        <f t="shared" si="119"/>
        <v>1</v>
      </c>
      <c r="D492" s="600"/>
      <c r="E492" s="13">
        <f t="shared" si="120"/>
        <v>0</v>
      </c>
      <c r="F492" s="600"/>
      <c r="G492" s="13">
        <f t="shared" si="121"/>
        <v>0</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60">
        <f t="shared" si="127"/>
        <v>0</v>
      </c>
      <c r="V492" s="2960">
        <f t="shared" si="128"/>
        <v>0</v>
      </c>
      <c r="W492" s="997"/>
      <c r="X492" s="2960">
        <f t="shared" si="129"/>
        <v>0</v>
      </c>
      <c r="Y492" s="2960">
        <f t="shared" si="130"/>
        <v>0</v>
      </c>
      <c r="Z492" s="997"/>
    </row>
    <row r="493" spans="1:26">
      <c r="A493" s="35"/>
      <c r="B493" s="20"/>
      <c r="C493" s="13">
        <f t="shared" si="119"/>
        <v>1</v>
      </c>
      <c r="D493" s="600"/>
      <c r="E493" s="13">
        <f t="shared" si="120"/>
        <v>0</v>
      </c>
      <c r="F493" s="600"/>
      <c r="G493" s="13">
        <f t="shared" si="121"/>
        <v>0</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60">
        <f t="shared" si="127"/>
        <v>0</v>
      </c>
      <c r="V493" s="2960">
        <f t="shared" si="128"/>
        <v>0</v>
      </c>
      <c r="W493" s="997"/>
      <c r="X493" s="2960">
        <f t="shared" si="129"/>
        <v>0</v>
      </c>
      <c r="Y493" s="2960">
        <f t="shared" si="130"/>
        <v>0</v>
      </c>
      <c r="Z493" s="997"/>
    </row>
    <row r="494" spans="1:26">
      <c r="A494" s="35"/>
      <c r="B494" s="20"/>
      <c r="C494" s="13">
        <f t="shared" si="119"/>
        <v>1</v>
      </c>
      <c r="D494" s="600"/>
      <c r="E494" s="13">
        <f t="shared" si="120"/>
        <v>0</v>
      </c>
      <c r="F494" s="600"/>
      <c r="G494" s="13">
        <f t="shared" si="121"/>
        <v>0</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60">
        <f t="shared" si="127"/>
        <v>0</v>
      </c>
      <c r="V494" s="2960">
        <f t="shared" si="128"/>
        <v>0</v>
      </c>
      <c r="W494" s="997"/>
      <c r="X494" s="2960">
        <f t="shared" si="129"/>
        <v>0</v>
      </c>
      <c r="Y494" s="2960">
        <f t="shared" si="130"/>
        <v>0</v>
      </c>
      <c r="Z494" s="997"/>
    </row>
    <row r="495" spans="1:26">
      <c r="A495" s="35"/>
      <c r="B495" s="20"/>
      <c r="C495" s="13">
        <f t="shared" si="119"/>
        <v>1</v>
      </c>
      <c r="D495" s="600"/>
      <c r="E495" s="13">
        <f t="shared" si="120"/>
        <v>0</v>
      </c>
      <c r="F495" s="600"/>
      <c r="G495" s="13">
        <f t="shared" si="121"/>
        <v>0</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60">
        <f t="shared" si="127"/>
        <v>0</v>
      </c>
      <c r="V495" s="2960">
        <f t="shared" si="128"/>
        <v>0</v>
      </c>
      <c r="W495" s="997"/>
      <c r="X495" s="2960">
        <f t="shared" si="129"/>
        <v>0</v>
      </c>
      <c r="Y495" s="2960">
        <f t="shared" si="130"/>
        <v>0</v>
      </c>
      <c r="Z495" s="997"/>
    </row>
    <row r="496" spans="1:26">
      <c r="A496" s="35"/>
      <c r="B496" s="20"/>
      <c r="C496" s="13">
        <f t="shared" si="119"/>
        <v>1</v>
      </c>
      <c r="D496" s="600"/>
      <c r="E496" s="13">
        <f t="shared" si="120"/>
        <v>0</v>
      </c>
      <c r="F496" s="600"/>
      <c r="G496" s="13">
        <f t="shared" si="121"/>
        <v>0</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60">
        <f t="shared" si="127"/>
        <v>0</v>
      </c>
      <c r="V496" s="2960">
        <f t="shared" si="128"/>
        <v>0</v>
      </c>
      <c r="W496" s="997"/>
      <c r="X496" s="2960">
        <f t="shared" si="129"/>
        <v>0</v>
      </c>
      <c r="Y496" s="2960">
        <f t="shared" si="130"/>
        <v>0</v>
      </c>
      <c r="Z496" s="997"/>
    </row>
    <row r="497" spans="1:26">
      <c r="A497" s="35"/>
      <c r="B497" s="20"/>
      <c r="C497" s="13">
        <f t="shared" si="119"/>
        <v>1</v>
      </c>
      <c r="D497" s="600"/>
      <c r="E497" s="13">
        <f t="shared" si="120"/>
        <v>0</v>
      </c>
      <c r="F497" s="600"/>
      <c r="G497" s="13">
        <f t="shared" si="121"/>
        <v>0</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60">
        <f t="shared" si="127"/>
        <v>0</v>
      </c>
      <c r="V497" s="2960">
        <f t="shared" si="128"/>
        <v>0</v>
      </c>
      <c r="W497" s="997"/>
      <c r="X497" s="2960">
        <f t="shared" si="129"/>
        <v>0</v>
      </c>
      <c r="Y497" s="2960">
        <f t="shared" si="130"/>
        <v>0</v>
      </c>
      <c r="Z497" s="997"/>
    </row>
    <row r="498" spans="1:26">
      <c r="A498" s="35"/>
      <c r="B498" s="20"/>
      <c r="C498" s="13">
        <f t="shared" si="119"/>
        <v>1</v>
      </c>
      <c r="D498" s="600"/>
      <c r="E498" s="13">
        <f t="shared" si="120"/>
        <v>0</v>
      </c>
      <c r="F498" s="600"/>
      <c r="G498" s="13">
        <f t="shared" si="121"/>
        <v>0</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60">
        <f t="shared" si="127"/>
        <v>0</v>
      </c>
      <c r="V498" s="2960">
        <f t="shared" si="128"/>
        <v>0</v>
      </c>
      <c r="W498" s="997"/>
      <c r="X498" s="2960">
        <f t="shared" si="129"/>
        <v>0</v>
      </c>
      <c r="Y498" s="2960">
        <f t="shared" si="130"/>
        <v>0</v>
      </c>
      <c r="Z498" s="997"/>
    </row>
    <row r="499" spans="1:26">
      <c r="A499" s="35"/>
      <c r="B499" s="20"/>
      <c r="C499" s="13">
        <f t="shared" si="119"/>
        <v>1</v>
      </c>
      <c r="D499" s="600"/>
      <c r="E499" s="13">
        <f t="shared" si="120"/>
        <v>0</v>
      </c>
      <c r="F499" s="600"/>
      <c r="G499" s="13">
        <f t="shared" si="121"/>
        <v>0</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60">
        <f t="shared" si="127"/>
        <v>0</v>
      </c>
      <c r="V499" s="2960">
        <f t="shared" si="128"/>
        <v>0</v>
      </c>
      <c r="W499" s="997"/>
      <c r="X499" s="2960">
        <f t="shared" si="129"/>
        <v>0</v>
      </c>
      <c r="Y499" s="2960">
        <f t="shared" si="130"/>
        <v>0</v>
      </c>
      <c r="Z499" s="997"/>
    </row>
    <row r="500" spans="1:26">
      <c r="A500" s="35"/>
      <c r="B500" s="20"/>
      <c r="C500" s="13">
        <f t="shared" si="119"/>
        <v>1</v>
      </c>
      <c r="D500" s="600"/>
      <c r="E500" s="13">
        <f t="shared" si="120"/>
        <v>0</v>
      </c>
      <c r="F500" s="600"/>
      <c r="G500" s="13">
        <f t="shared" si="121"/>
        <v>0</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60">
        <f t="shared" si="127"/>
        <v>0</v>
      </c>
      <c r="V500" s="2960">
        <f t="shared" si="128"/>
        <v>0</v>
      </c>
      <c r="W500" s="997"/>
      <c r="X500" s="2960">
        <f t="shared" si="129"/>
        <v>0</v>
      </c>
      <c r="Y500" s="2960">
        <f t="shared" si="130"/>
        <v>0</v>
      </c>
      <c r="Z500" s="997"/>
    </row>
    <row r="501" spans="1:26">
      <c r="A501" s="35"/>
      <c r="B501" s="20"/>
      <c r="C501" s="13">
        <f t="shared" si="119"/>
        <v>1</v>
      </c>
      <c r="D501" s="600"/>
      <c r="E501" s="13">
        <f t="shared" si="120"/>
        <v>0</v>
      </c>
      <c r="F501" s="600"/>
      <c r="G501" s="13">
        <f t="shared" si="121"/>
        <v>0</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60">
        <f t="shared" si="127"/>
        <v>0</v>
      </c>
      <c r="V501" s="2960">
        <f t="shared" si="128"/>
        <v>0</v>
      </c>
      <c r="W501" s="997"/>
      <c r="X501" s="2960">
        <f t="shared" si="129"/>
        <v>0</v>
      </c>
      <c r="Y501" s="2960">
        <f t="shared" si="130"/>
        <v>0</v>
      </c>
      <c r="Z501" s="997"/>
    </row>
    <row r="502" spans="1:26">
      <c r="A502" s="35"/>
      <c r="B502" s="20"/>
      <c r="C502" s="13">
        <f t="shared" si="119"/>
        <v>1</v>
      </c>
      <c r="D502" s="600"/>
      <c r="E502" s="13">
        <f t="shared" si="120"/>
        <v>0</v>
      </c>
      <c r="F502" s="600"/>
      <c r="G502" s="13">
        <f t="shared" si="121"/>
        <v>0</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60">
        <f t="shared" si="127"/>
        <v>0</v>
      </c>
      <c r="V502" s="2960">
        <f t="shared" si="128"/>
        <v>0</v>
      </c>
      <c r="W502" s="997"/>
      <c r="X502" s="2960">
        <f t="shared" si="129"/>
        <v>0</v>
      </c>
      <c r="Y502" s="2960">
        <f t="shared" si="130"/>
        <v>0</v>
      </c>
      <c r="Z502" s="997"/>
    </row>
    <row r="503" spans="1:26">
      <c r="A503" s="35"/>
      <c r="B503" s="20"/>
      <c r="C503" s="13">
        <f t="shared" si="119"/>
        <v>1</v>
      </c>
      <c r="D503" s="600"/>
      <c r="E503" s="13">
        <f t="shared" si="120"/>
        <v>0</v>
      </c>
      <c r="F503" s="600"/>
      <c r="G503" s="13">
        <f t="shared" si="121"/>
        <v>0</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60">
        <f t="shared" si="127"/>
        <v>0</v>
      </c>
      <c r="V503" s="2960">
        <f t="shared" si="128"/>
        <v>0</v>
      </c>
      <c r="W503" s="997"/>
      <c r="X503" s="2960">
        <f t="shared" si="129"/>
        <v>0</v>
      </c>
      <c r="Y503" s="2960">
        <f t="shared" si="130"/>
        <v>0</v>
      </c>
      <c r="Z503" s="997"/>
    </row>
    <row r="504" spans="1:26">
      <c r="A504" s="35"/>
      <c r="B504" s="20"/>
      <c r="C504" s="13">
        <f t="shared" si="119"/>
        <v>1</v>
      </c>
      <c r="D504" s="600"/>
      <c r="E504" s="13">
        <f t="shared" si="120"/>
        <v>0</v>
      </c>
      <c r="F504" s="600"/>
      <c r="G504" s="13">
        <f t="shared" si="121"/>
        <v>0</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60">
        <f t="shared" si="127"/>
        <v>0</v>
      </c>
      <c r="V504" s="2960">
        <f t="shared" si="128"/>
        <v>0</v>
      </c>
      <c r="W504" s="997"/>
      <c r="X504" s="2960">
        <f t="shared" si="129"/>
        <v>0</v>
      </c>
      <c r="Y504" s="2960">
        <f t="shared" si="130"/>
        <v>0</v>
      </c>
      <c r="Z504" s="997"/>
    </row>
    <row r="505" spans="1:26">
      <c r="A505" s="35"/>
      <c r="B505" s="20"/>
      <c r="C505" s="13">
        <f t="shared" si="119"/>
        <v>1</v>
      </c>
      <c r="D505" s="600"/>
      <c r="E505" s="13">
        <f t="shared" si="120"/>
        <v>0</v>
      </c>
      <c r="F505" s="600"/>
      <c r="G505" s="13">
        <f t="shared" si="121"/>
        <v>0</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60">
        <f t="shared" si="127"/>
        <v>0</v>
      </c>
      <c r="V505" s="2960">
        <f t="shared" si="128"/>
        <v>0</v>
      </c>
      <c r="W505" s="997"/>
      <c r="X505" s="2960">
        <f t="shared" si="129"/>
        <v>0</v>
      </c>
      <c r="Y505" s="2960">
        <f t="shared" si="130"/>
        <v>0</v>
      </c>
      <c r="Z505" s="997"/>
    </row>
    <row r="506" spans="1:26">
      <c r="A506" s="35"/>
      <c r="B506" s="20"/>
      <c r="C506" s="13">
        <f t="shared" si="119"/>
        <v>1</v>
      </c>
      <c r="D506" s="600"/>
      <c r="E506" s="13">
        <f t="shared" si="120"/>
        <v>0</v>
      </c>
      <c r="F506" s="600"/>
      <c r="G506" s="13">
        <f t="shared" si="121"/>
        <v>0</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60">
        <f t="shared" si="127"/>
        <v>0</v>
      </c>
      <c r="V506" s="2960">
        <f t="shared" si="128"/>
        <v>0</v>
      </c>
      <c r="W506" s="997"/>
      <c r="X506" s="2960">
        <f t="shared" si="129"/>
        <v>0</v>
      </c>
      <c r="Y506" s="2960">
        <f t="shared" si="130"/>
        <v>0</v>
      </c>
      <c r="Z506" s="997"/>
    </row>
    <row r="507" spans="1:26">
      <c r="A507" s="35"/>
      <c r="B507" s="20"/>
      <c r="C507" s="13">
        <f t="shared" si="119"/>
        <v>1</v>
      </c>
      <c r="D507" s="600"/>
      <c r="E507" s="13">
        <f t="shared" si="120"/>
        <v>0</v>
      </c>
      <c r="F507" s="600"/>
      <c r="G507" s="13">
        <f t="shared" si="121"/>
        <v>0</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60">
        <f t="shared" si="127"/>
        <v>0</v>
      </c>
      <c r="V507" s="2960">
        <f t="shared" si="128"/>
        <v>0</v>
      </c>
      <c r="W507" s="997"/>
      <c r="X507" s="2960">
        <f t="shared" si="129"/>
        <v>0</v>
      </c>
      <c r="Y507" s="2960">
        <f t="shared" si="130"/>
        <v>0</v>
      </c>
      <c r="Z507" s="997"/>
    </row>
    <row r="508" spans="1:26">
      <c r="A508" s="35"/>
      <c r="B508" s="20"/>
      <c r="C508" s="13">
        <f t="shared" si="119"/>
        <v>1</v>
      </c>
      <c r="D508" s="600"/>
      <c r="E508" s="13">
        <f t="shared" si="120"/>
        <v>0</v>
      </c>
      <c r="F508" s="600"/>
      <c r="G508" s="13">
        <f t="shared" si="121"/>
        <v>0</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60">
        <f t="shared" si="127"/>
        <v>0</v>
      </c>
      <c r="V508" s="2960">
        <f t="shared" si="128"/>
        <v>0</v>
      </c>
      <c r="W508" s="997"/>
      <c r="X508" s="2960">
        <f t="shared" si="129"/>
        <v>0</v>
      </c>
      <c r="Y508" s="2960">
        <f t="shared" si="130"/>
        <v>0</v>
      </c>
      <c r="Z508" s="997"/>
    </row>
    <row r="509" spans="1:26">
      <c r="A509" s="35"/>
      <c r="B509" s="20"/>
      <c r="C509" s="13">
        <f t="shared" si="119"/>
        <v>1</v>
      </c>
      <c r="D509" s="600"/>
      <c r="E509" s="13">
        <f t="shared" si="120"/>
        <v>0</v>
      </c>
      <c r="F509" s="600"/>
      <c r="G509" s="13">
        <f t="shared" si="121"/>
        <v>0</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60">
        <f t="shared" si="127"/>
        <v>0</v>
      </c>
      <c r="V509" s="2960">
        <f t="shared" si="128"/>
        <v>0</v>
      </c>
      <c r="W509" s="997"/>
      <c r="X509" s="2960">
        <f t="shared" si="129"/>
        <v>0</v>
      </c>
      <c r="Y509" s="2960">
        <f t="shared" si="130"/>
        <v>0</v>
      </c>
      <c r="Z509" s="997"/>
    </row>
    <row r="510" spans="1:26">
      <c r="A510" s="35"/>
      <c r="B510" s="20"/>
      <c r="C510" s="13">
        <f t="shared" si="119"/>
        <v>1</v>
      </c>
      <c r="D510" s="600"/>
      <c r="E510" s="13">
        <f t="shared" si="120"/>
        <v>0</v>
      </c>
      <c r="F510" s="600"/>
      <c r="G510" s="13">
        <f t="shared" si="121"/>
        <v>0</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60">
        <f t="shared" si="127"/>
        <v>0</v>
      </c>
      <c r="V510" s="2960">
        <f t="shared" si="128"/>
        <v>0</v>
      </c>
      <c r="W510" s="997"/>
      <c r="X510" s="2960">
        <f t="shared" si="129"/>
        <v>0</v>
      </c>
      <c r="Y510" s="2960">
        <f t="shared" si="130"/>
        <v>0</v>
      </c>
      <c r="Z510" s="997"/>
    </row>
    <row r="511" spans="1:26">
      <c r="A511" s="35"/>
      <c r="B511" s="20"/>
      <c r="C511" s="13">
        <f t="shared" si="119"/>
        <v>1</v>
      </c>
      <c r="D511" s="600"/>
      <c r="E511" s="13">
        <f t="shared" si="120"/>
        <v>0</v>
      </c>
      <c r="F511" s="600"/>
      <c r="G511" s="13">
        <f t="shared" si="121"/>
        <v>0</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60">
        <f t="shared" si="127"/>
        <v>0</v>
      </c>
      <c r="V511" s="2960">
        <f t="shared" si="128"/>
        <v>0</v>
      </c>
      <c r="W511" s="997"/>
      <c r="X511" s="2960">
        <f t="shared" si="129"/>
        <v>0</v>
      </c>
      <c r="Y511" s="2960">
        <f t="shared" si="130"/>
        <v>0</v>
      </c>
      <c r="Z511" s="997"/>
    </row>
    <row r="512" spans="1:26">
      <c r="A512" s="35"/>
      <c r="B512" s="20"/>
      <c r="C512" s="13">
        <f t="shared" si="119"/>
        <v>1</v>
      </c>
      <c r="D512" s="600"/>
      <c r="E512" s="13">
        <f t="shared" si="120"/>
        <v>0</v>
      </c>
      <c r="F512" s="600"/>
      <c r="G512" s="13">
        <f t="shared" si="121"/>
        <v>0</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60">
        <f t="shared" si="127"/>
        <v>0</v>
      </c>
      <c r="V512" s="2960">
        <f t="shared" si="128"/>
        <v>0</v>
      </c>
      <c r="W512" s="997"/>
      <c r="X512" s="2960">
        <f t="shared" si="129"/>
        <v>0</v>
      </c>
      <c r="Y512" s="2960">
        <f t="shared" si="130"/>
        <v>0</v>
      </c>
      <c r="Z512" s="997"/>
    </row>
    <row r="513" spans="1:26">
      <c r="A513" s="35"/>
      <c r="B513" s="20"/>
      <c r="C513" s="13">
        <f t="shared" si="119"/>
        <v>1</v>
      </c>
      <c r="D513" s="600"/>
      <c r="E513" s="13">
        <f t="shared" si="120"/>
        <v>0</v>
      </c>
      <c r="F513" s="600"/>
      <c r="G513" s="13">
        <f t="shared" si="121"/>
        <v>0</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60">
        <f t="shared" si="127"/>
        <v>0</v>
      </c>
      <c r="V513" s="2960">
        <f t="shared" si="128"/>
        <v>0</v>
      </c>
      <c r="W513" s="997"/>
      <c r="X513" s="2960">
        <f t="shared" si="129"/>
        <v>0</v>
      </c>
      <c r="Y513" s="2960">
        <f t="shared" si="130"/>
        <v>0</v>
      </c>
      <c r="Z513" s="997"/>
    </row>
    <row r="514" spans="1:26">
      <c r="A514" s="35"/>
      <c r="B514" s="20"/>
      <c r="C514" s="13">
        <f t="shared" si="119"/>
        <v>1</v>
      </c>
      <c r="D514" s="600"/>
      <c r="E514" s="13">
        <f t="shared" si="120"/>
        <v>0</v>
      </c>
      <c r="F514" s="600"/>
      <c r="G514" s="13">
        <f t="shared" si="121"/>
        <v>0</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60">
        <f t="shared" si="127"/>
        <v>0</v>
      </c>
      <c r="V514" s="2960">
        <f t="shared" si="128"/>
        <v>0</v>
      </c>
      <c r="W514" s="997"/>
      <c r="X514" s="2960">
        <f t="shared" si="129"/>
        <v>0</v>
      </c>
      <c r="Y514" s="2960">
        <f t="shared" si="130"/>
        <v>0</v>
      </c>
      <c r="Z514" s="997"/>
    </row>
    <row r="515" spans="1:26">
      <c r="A515" s="35"/>
      <c r="B515" s="20"/>
      <c r="C515" s="13">
        <f t="shared" si="119"/>
        <v>1</v>
      </c>
      <c r="D515" s="600"/>
      <c r="E515" s="13">
        <f t="shared" si="120"/>
        <v>0</v>
      </c>
      <c r="F515" s="600"/>
      <c r="G515" s="13">
        <f t="shared" si="121"/>
        <v>0</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60">
        <f t="shared" si="127"/>
        <v>0</v>
      </c>
      <c r="V515" s="2960">
        <f t="shared" si="128"/>
        <v>0</v>
      </c>
      <c r="W515" s="997"/>
      <c r="X515" s="2960">
        <f t="shared" si="129"/>
        <v>0</v>
      </c>
      <c r="Y515" s="2960">
        <f t="shared" si="130"/>
        <v>0</v>
      </c>
      <c r="Z515" s="997"/>
    </row>
    <row r="516" spans="1:26">
      <c r="A516" s="35"/>
      <c r="B516" s="20"/>
      <c r="C516" s="13">
        <f t="shared" si="119"/>
        <v>1</v>
      </c>
      <c r="D516" s="600"/>
      <c r="E516" s="13">
        <f t="shared" si="120"/>
        <v>0</v>
      </c>
      <c r="F516" s="600"/>
      <c r="G516" s="13">
        <f t="shared" si="121"/>
        <v>0</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60">
        <f t="shared" si="127"/>
        <v>0</v>
      </c>
      <c r="V516" s="2960">
        <f t="shared" si="128"/>
        <v>0</v>
      </c>
      <c r="W516" s="997"/>
      <c r="X516" s="2960">
        <f t="shared" si="129"/>
        <v>0</v>
      </c>
      <c r="Y516" s="2960">
        <f t="shared" si="130"/>
        <v>0</v>
      </c>
      <c r="Z516" s="997"/>
    </row>
    <row r="517" spans="1:26">
      <c r="A517" s="35"/>
      <c r="B517" s="20"/>
      <c r="C517" s="13">
        <f t="shared" si="119"/>
        <v>1</v>
      </c>
      <c r="D517" s="600"/>
      <c r="E517" s="13">
        <f t="shared" si="120"/>
        <v>0</v>
      </c>
      <c r="F517" s="600"/>
      <c r="G517" s="13">
        <f t="shared" si="121"/>
        <v>0</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60">
        <f t="shared" si="127"/>
        <v>0</v>
      </c>
      <c r="V517" s="2960">
        <f t="shared" si="128"/>
        <v>0</v>
      </c>
      <c r="W517" s="997"/>
      <c r="X517" s="2960">
        <f t="shared" si="129"/>
        <v>0</v>
      </c>
      <c r="Y517" s="2960">
        <f t="shared" si="130"/>
        <v>0</v>
      </c>
      <c r="Z517" s="997"/>
    </row>
    <row r="518" spans="1:26">
      <c r="A518" s="35"/>
      <c r="B518" s="20"/>
      <c r="C518" s="13">
        <f t="shared" si="119"/>
        <v>1</v>
      </c>
      <c r="D518" s="600"/>
      <c r="E518" s="13">
        <f t="shared" si="120"/>
        <v>0</v>
      </c>
      <c r="F518" s="600"/>
      <c r="G518" s="13">
        <f t="shared" si="121"/>
        <v>0</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60">
        <f t="shared" si="127"/>
        <v>0</v>
      </c>
      <c r="V518" s="2960">
        <f t="shared" si="128"/>
        <v>0</v>
      </c>
      <c r="W518" s="997"/>
      <c r="X518" s="2960">
        <f t="shared" si="129"/>
        <v>0</v>
      </c>
      <c r="Y518" s="2960">
        <f t="shared" si="130"/>
        <v>0</v>
      </c>
      <c r="Z518" s="997"/>
    </row>
    <row r="519" spans="1:26">
      <c r="A519" s="35"/>
      <c r="B519" s="20"/>
      <c r="C519" s="13">
        <f t="shared" si="119"/>
        <v>1</v>
      </c>
      <c r="D519" s="600"/>
      <c r="E519" s="13">
        <f t="shared" si="120"/>
        <v>0</v>
      </c>
      <c r="F519" s="600"/>
      <c r="G519" s="13">
        <f t="shared" si="121"/>
        <v>0</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60">
        <f t="shared" si="127"/>
        <v>0</v>
      </c>
      <c r="V519" s="2960">
        <f t="shared" si="128"/>
        <v>0</v>
      </c>
      <c r="W519" s="997"/>
      <c r="X519" s="2960">
        <f t="shared" si="129"/>
        <v>0</v>
      </c>
      <c r="Y519" s="2960">
        <f t="shared" si="130"/>
        <v>0</v>
      </c>
      <c r="Z519" s="997"/>
    </row>
    <row r="520" spans="1:26">
      <c r="A520" s="35"/>
      <c r="B520" s="20"/>
      <c r="C520" s="13">
        <f t="shared" si="119"/>
        <v>1</v>
      </c>
      <c r="D520" s="600"/>
      <c r="E520" s="13">
        <f t="shared" si="120"/>
        <v>0</v>
      </c>
      <c r="F520" s="600"/>
      <c r="G520" s="13">
        <f t="shared" si="121"/>
        <v>0</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60">
        <f t="shared" si="127"/>
        <v>0</v>
      </c>
      <c r="V520" s="2960">
        <f t="shared" si="128"/>
        <v>0</v>
      </c>
      <c r="W520" s="997"/>
      <c r="X520" s="2960">
        <f t="shared" si="129"/>
        <v>0</v>
      </c>
      <c r="Y520" s="2960">
        <f t="shared" si="130"/>
        <v>0</v>
      </c>
      <c r="Z520" s="997"/>
    </row>
    <row r="521" spans="1:26">
      <c r="A521" s="35"/>
      <c r="B521" s="20"/>
      <c r="C521" s="13">
        <f t="shared" si="119"/>
        <v>1</v>
      </c>
      <c r="D521" s="600"/>
      <c r="E521" s="13">
        <f t="shared" si="120"/>
        <v>0</v>
      </c>
      <c r="F521" s="600"/>
      <c r="G521" s="13">
        <f t="shared" si="121"/>
        <v>0</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60">
        <f t="shared" si="127"/>
        <v>0</v>
      </c>
      <c r="V521" s="2960">
        <f t="shared" si="128"/>
        <v>0</v>
      </c>
      <c r="W521" s="997"/>
      <c r="X521" s="2960">
        <f t="shared" si="129"/>
        <v>0</v>
      </c>
      <c r="Y521" s="2960">
        <f t="shared" si="130"/>
        <v>0</v>
      </c>
      <c r="Z521" s="997"/>
    </row>
    <row r="522" spans="1:26">
      <c r="A522" s="35"/>
      <c r="B522" s="20"/>
      <c r="C522" s="13">
        <f t="shared" si="119"/>
        <v>1</v>
      </c>
      <c r="D522" s="600"/>
      <c r="E522" s="13">
        <f t="shared" si="120"/>
        <v>0</v>
      </c>
      <c r="F522" s="600"/>
      <c r="G522" s="13">
        <f t="shared" si="121"/>
        <v>0</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60">
        <f t="shared" si="127"/>
        <v>0</v>
      </c>
      <c r="V522" s="2960">
        <f t="shared" si="128"/>
        <v>0</v>
      </c>
      <c r="W522" s="997"/>
      <c r="X522" s="2960">
        <f t="shared" si="129"/>
        <v>0</v>
      </c>
      <c r="Y522" s="2960">
        <f t="shared" si="130"/>
        <v>0</v>
      </c>
      <c r="Z522" s="997"/>
    </row>
    <row r="523" spans="1:26">
      <c r="A523" s="35"/>
      <c r="B523" s="20"/>
      <c r="C523" s="13">
        <f t="shared" si="119"/>
        <v>1</v>
      </c>
      <c r="D523" s="600"/>
      <c r="E523" s="13">
        <f t="shared" si="120"/>
        <v>0</v>
      </c>
      <c r="F523" s="600"/>
      <c r="G523" s="13">
        <f t="shared" si="121"/>
        <v>0</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60">
        <f t="shared" si="127"/>
        <v>0</v>
      </c>
      <c r="V523" s="2960">
        <f t="shared" si="128"/>
        <v>0</v>
      </c>
      <c r="W523" s="997"/>
      <c r="X523" s="2960">
        <f t="shared" si="129"/>
        <v>0</v>
      </c>
      <c r="Y523" s="2960">
        <f t="shared" si="130"/>
        <v>0</v>
      </c>
      <c r="Z523" s="997"/>
    </row>
    <row r="524" spans="1:26">
      <c r="A524" s="35"/>
      <c r="B524" s="20"/>
      <c r="C524" s="13">
        <f t="shared" si="119"/>
        <v>1</v>
      </c>
      <c r="D524" s="600"/>
      <c r="E524" s="13">
        <f t="shared" si="120"/>
        <v>0</v>
      </c>
      <c r="F524" s="600"/>
      <c r="G524" s="13">
        <f t="shared" si="121"/>
        <v>0</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60">
        <f t="shared" si="127"/>
        <v>0</v>
      </c>
      <c r="V524" s="2960">
        <f t="shared" si="128"/>
        <v>0</v>
      </c>
      <c r="W524" s="997"/>
      <c r="X524" s="2960">
        <f t="shared" si="129"/>
        <v>0</v>
      </c>
      <c r="Y524" s="2960">
        <f t="shared" si="130"/>
        <v>0</v>
      </c>
      <c r="Z524" s="997"/>
    </row>
    <row r="525" spans="1:26">
      <c r="A525" s="35"/>
      <c r="B525" s="20"/>
      <c r="C525" s="13">
        <f t="shared" si="119"/>
        <v>1</v>
      </c>
      <c r="D525" s="600"/>
      <c r="E525" s="13">
        <f t="shared" si="120"/>
        <v>0</v>
      </c>
      <c r="F525" s="600"/>
      <c r="G525" s="13">
        <f t="shared" si="121"/>
        <v>0</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60">
        <f t="shared" si="127"/>
        <v>0</v>
      </c>
      <c r="V525" s="2960">
        <f t="shared" si="128"/>
        <v>0</v>
      </c>
      <c r="W525" s="997"/>
      <c r="X525" s="2960">
        <f t="shared" si="129"/>
        <v>0</v>
      </c>
      <c r="Y525" s="2960">
        <f t="shared" si="130"/>
        <v>0</v>
      </c>
      <c r="Z525" s="997"/>
    </row>
    <row r="526" spans="1:26">
      <c r="A526" s="35"/>
      <c r="B526" s="20"/>
      <c r="C526" s="13">
        <f t="shared" si="119"/>
        <v>1</v>
      </c>
      <c r="D526" s="600"/>
      <c r="E526" s="13">
        <f t="shared" si="120"/>
        <v>0</v>
      </c>
      <c r="F526" s="600"/>
      <c r="G526" s="13">
        <f t="shared" si="121"/>
        <v>0</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60">
        <f t="shared" si="127"/>
        <v>0</v>
      </c>
      <c r="V526" s="2960">
        <f t="shared" si="128"/>
        <v>0</v>
      </c>
      <c r="W526" s="997"/>
      <c r="X526" s="2960">
        <f t="shared" si="129"/>
        <v>0</v>
      </c>
      <c r="Y526" s="2960">
        <f t="shared" si="130"/>
        <v>0</v>
      </c>
      <c r="Z526" s="997"/>
    </row>
    <row r="527" spans="1:26">
      <c r="A527" s="35"/>
      <c r="B527" s="20"/>
      <c r="C527" s="13">
        <f t="shared" si="119"/>
        <v>1</v>
      </c>
      <c r="D527" s="600"/>
      <c r="E527" s="13">
        <f t="shared" si="120"/>
        <v>0</v>
      </c>
      <c r="F527" s="600"/>
      <c r="G527" s="13">
        <f t="shared" si="121"/>
        <v>0</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60">
        <f t="shared" si="127"/>
        <v>0</v>
      </c>
      <c r="V527" s="2960">
        <f t="shared" si="128"/>
        <v>0</v>
      </c>
      <c r="W527" s="997"/>
      <c r="X527" s="2960">
        <f t="shared" si="129"/>
        <v>0</v>
      </c>
      <c r="Y527" s="296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2183</v>
      </c>
      <c r="C1" s="1608"/>
      <c r="D1" s="1609"/>
      <c r="E1" s="1610" t="s">
        <v>1167</v>
      </c>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2185</v>
      </c>
      <c r="D3" s="1629">
        <f>IF(C1="仅计算典型户型",'数据-取费表'!E5,'数据-取费表'!B5)</f>
        <v>447.86</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2186</v>
      </c>
      <c r="B4" s="1633"/>
      <c r="C4" s="3617" t="s">
        <v>2187</v>
      </c>
      <c r="D4" s="3618"/>
      <c r="E4" s="3619" t="s">
        <v>2188</v>
      </c>
      <c r="F4" s="3620"/>
      <c r="G4" s="3617" t="s">
        <v>2189</v>
      </c>
      <c r="H4" s="3618"/>
      <c r="I4" s="3617" t="s">
        <v>2190</v>
      </c>
      <c r="J4" s="3618"/>
      <c r="K4" s="1634" t="s">
        <v>2191</v>
      </c>
      <c r="L4" s="2966"/>
      <c r="M4" s="2967"/>
      <c r="N4" s="2967"/>
      <c r="O4" s="2967"/>
      <c r="P4" s="3621" t="s">
        <v>2192</v>
      </c>
      <c r="Q4" s="3622"/>
      <c r="R4" s="3606" t="s">
        <v>2188</v>
      </c>
      <c r="S4" s="3607"/>
      <c r="T4" s="3606" t="s">
        <v>2189</v>
      </c>
      <c r="U4" s="3607"/>
      <c r="V4" s="3627" t="s">
        <v>2190</v>
      </c>
      <c r="W4" s="3627"/>
      <c r="X4" s="1635"/>
      <c r="Y4" s="3606" t="s">
        <v>2192</v>
      </c>
      <c r="Z4" s="3607"/>
      <c r="AA4" s="3614" t="s">
        <v>2188</v>
      </c>
      <c r="AB4" s="3614" t="s">
        <v>2189</v>
      </c>
      <c r="AC4" s="3614" t="s">
        <v>2190</v>
      </c>
    </row>
    <row r="5" spans="1:29" ht="15">
      <c r="A5" s="1637"/>
      <c r="B5" s="1638"/>
      <c r="C5" s="3602" t="s">
        <v>2193</v>
      </c>
      <c r="D5" s="3603"/>
      <c r="E5" s="3628" t="s">
        <v>2194</v>
      </c>
      <c r="F5" s="3629"/>
      <c r="G5" s="3602" t="s">
        <v>2195</v>
      </c>
      <c r="H5" s="3603"/>
      <c r="I5" s="3602" t="s">
        <v>2196</v>
      </c>
      <c r="J5" s="3603"/>
      <c r="K5" s="1639"/>
      <c r="L5" s="2966"/>
      <c r="M5" s="2967"/>
      <c r="N5" s="2967"/>
      <c r="O5" s="2967"/>
      <c r="P5" s="3623"/>
      <c r="Q5" s="3624"/>
      <c r="R5" s="3608"/>
      <c r="S5" s="3609"/>
      <c r="T5" s="3608"/>
      <c r="U5" s="3609"/>
      <c r="V5" s="3627"/>
      <c r="W5" s="3627"/>
      <c r="X5" s="1635"/>
      <c r="Y5" s="3608"/>
      <c r="Z5" s="3609"/>
      <c r="AA5" s="3615"/>
      <c r="AB5" s="3615"/>
      <c r="AC5" s="3615"/>
    </row>
    <row r="6" spans="1:29" ht="15.75" thickBot="1">
      <c r="A6" s="1640"/>
      <c r="B6" s="1641"/>
      <c r="C6" s="3600" t="s">
        <v>2197</v>
      </c>
      <c r="D6" s="3601"/>
      <c r="E6" s="3630" t="s">
        <v>2197</v>
      </c>
      <c r="F6" s="3631"/>
      <c r="G6" s="3600" t="s">
        <v>2197</v>
      </c>
      <c r="H6" s="3601"/>
      <c r="I6" s="3600" t="s">
        <v>2197</v>
      </c>
      <c r="J6" s="3601"/>
      <c r="K6" s="1639" t="s">
        <v>2198</v>
      </c>
      <c r="L6" s="2966"/>
      <c r="M6" s="2967"/>
      <c r="N6" s="2967"/>
      <c r="O6" s="2967"/>
      <c r="P6" s="3625"/>
      <c r="Q6" s="3626"/>
      <c r="R6" s="3608"/>
      <c r="S6" s="3609"/>
      <c r="T6" s="3610"/>
      <c r="U6" s="3611"/>
      <c r="V6" s="3627"/>
      <c r="W6" s="3627"/>
      <c r="X6" s="1635"/>
      <c r="Y6" s="3610"/>
      <c r="Z6" s="3611"/>
      <c r="AA6" s="3616"/>
      <c r="AB6" s="3616"/>
      <c r="AC6" s="3616"/>
    </row>
    <row r="7" spans="1:29" s="1654" customFormat="1" ht="15.75" thickBot="1">
      <c r="A7" s="1642" t="s">
        <v>2199</v>
      </c>
      <c r="B7" s="1643"/>
      <c r="C7" s="1644">
        <f>'数据-取费表'!B2</f>
        <v>44644</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04" t="s">
        <v>2200</v>
      </c>
      <c r="Q7" s="3612"/>
      <c r="R7" s="1650" t="s">
        <v>34</v>
      </c>
      <c r="S7" s="1651">
        <f t="shared" ref="S7:S15" si="0">F7</f>
        <v>0</v>
      </c>
      <c r="T7" s="1650" t="s">
        <v>34</v>
      </c>
      <c r="U7" s="1651">
        <f t="shared" ref="U7:U15" si="1">H7</f>
        <v>0</v>
      </c>
      <c r="V7" s="1650" t="s">
        <v>34</v>
      </c>
      <c r="W7" s="1651">
        <f t="shared" ref="W7:W15" si="2">J7</f>
        <v>0</v>
      </c>
      <c r="X7" s="1652"/>
      <c r="Y7" s="3604" t="s">
        <v>2200</v>
      </c>
      <c r="Z7" s="3605"/>
      <c r="AA7" s="1653" t="e">
        <f>D7/F7</f>
        <v>#DIV/0!</v>
      </c>
      <c r="AB7" s="1653" t="e">
        <f>D7/H7</f>
        <v>#DIV/0!</v>
      </c>
      <c r="AC7" s="1653" t="e">
        <f>D7/J7</f>
        <v>#DIV/0!</v>
      </c>
    </row>
    <row r="8" spans="1:29" s="1654" customFormat="1" ht="15.75" thickBot="1">
      <c r="A8" s="1642" t="s">
        <v>2201</v>
      </c>
      <c r="B8" s="1643"/>
      <c r="C8" s="1655" t="s">
        <v>2202</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04" t="s">
        <v>2203</v>
      </c>
      <c r="Q8" s="3605"/>
      <c r="R8" s="1650" t="s">
        <v>34</v>
      </c>
      <c r="S8" s="1651">
        <f t="shared" si="0"/>
        <v>0</v>
      </c>
      <c r="T8" s="1650" t="s">
        <v>34</v>
      </c>
      <c r="U8" s="1651">
        <f t="shared" si="1"/>
        <v>0</v>
      </c>
      <c r="V8" s="1650" t="s">
        <v>34</v>
      </c>
      <c r="W8" s="1651">
        <f t="shared" si="2"/>
        <v>0</v>
      </c>
      <c r="X8" s="1652"/>
      <c r="Y8" s="3604" t="s">
        <v>2203</v>
      </c>
      <c r="Z8" s="3605"/>
      <c r="AA8" s="1653" t="e">
        <f t="shared" ref="AA8:AA46" si="3">D8/F8</f>
        <v>#DIV/0!</v>
      </c>
      <c r="AB8" s="1653" t="e">
        <f t="shared" ref="AB8:AB46" si="4">D8/H8</f>
        <v>#DIV/0!</v>
      </c>
      <c r="AC8" s="1653" t="e">
        <f t="shared" ref="AC8:AC46" si="5">D8/J8</f>
        <v>#DIV/0!</v>
      </c>
    </row>
    <row r="9" spans="1:29" s="1654" customFormat="1">
      <c r="A9" s="1605" t="s">
        <v>2204</v>
      </c>
      <c r="B9" s="1657" t="s">
        <v>2205</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13" t="s">
        <v>2206</v>
      </c>
      <c r="Q9" s="1604" t="str">
        <f t="shared" ref="Q9:Q15" si="6">B9</f>
        <v>用途</v>
      </c>
      <c r="R9" s="1650" t="s">
        <v>25</v>
      </c>
      <c r="S9" s="1651">
        <f t="shared" si="0"/>
        <v>100</v>
      </c>
      <c r="T9" s="1650" t="s">
        <v>25</v>
      </c>
      <c r="U9" s="1651">
        <f t="shared" si="1"/>
        <v>100</v>
      </c>
      <c r="V9" s="1650" t="s">
        <v>25</v>
      </c>
      <c r="W9" s="1651">
        <f t="shared" si="2"/>
        <v>100</v>
      </c>
      <c r="X9" s="1652"/>
      <c r="Y9" s="3450"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13"/>
      <c r="Q10" s="1604" t="str">
        <f t="shared" si="6"/>
        <v>土地使用年限（年）</v>
      </c>
      <c r="R10" s="1650" t="s">
        <v>25</v>
      </c>
      <c r="S10" s="1651">
        <f t="shared" si="0"/>
        <v>100</v>
      </c>
      <c r="T10" s="1650" t="s">
        <v>25</v>
      </c>
      <c r="U10" s="1651">
        <f t="shared" si="1"/>
        <v>100</v>
      </c>
      <c r="V10" s="1650" t="s">
        <v>25</v>
      </c>
      <c r="W10" s="1651">
        <f t="shared" si="2"/>
        <v>100</v>
      </c>
      <c r="X10" s="1652"/>
      <c r="Y10" s="3450"/>
      <c r="Z10" s="1663" t="str">
        <f t="shared" si="7"/>
        <v>土地使用年限（年）</v>
      </c>
      <c r="AA10" s="1653">
        <f t="shared" si="3"/>
        <v>1</v>
      </c>
      <c r="AB10" s="1653">
        <f t="shared" si="4"/>
        <v>1</v>
      </c>
      <c r="AC10" s="1653">
        <f t="shared" si="5"/>
        <v>1</v>
      </c>
    </row>
    <row r="11" spans="1:29" ht="15">
      <c r="A11" s="1672"/>
      <c r="B11" s="1665" t="s">
        <v>2209</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13"/>
      <c r="Q11" s="1604" t="str">
        <f t="shared" si="6"/>
        <v>容积率</v>
      </c>
      <c r="R11" s="1650" t="s">
        <v>28</v>
      </c>
      <c r="S11" s="1651" t="e">
        <f t="shared" si="0"/>
        <v>#N/A</v>
      </c>
      <c r="T11" s="1650" t="s">
        <v>28</v>
      </c>
      <c r="U11" s="1651" t="e">
        <f t="shared" si="1"/>
        <v>#N/A</v>
      </c>
      <c r="V11" s="1650" t="s">
        <v>28</v>
      </c>
      <c r="W11" s="1651" t="e">
        <f t="shared" si="2"/>
        <v>#N/A</v>
      </c>
      <c r="X11" s="1652"/>
      <c r="Y11" s="3450"/>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13"/>
      <c r="Q12" s="1604">
        <f t="shared" si="6"/>
        <v>111</v>
      </c>
      <c r="R12" s="1650" t="s">
        <v>28</v>
      </c>
      <c r="S12" s="1651">
        <f t="shared" si="0"/>
        <v>100</v>
      </c>
      <c r="T12" s="1650" t="s">
        <v>28</v>
      </c>
      <c r="U12" s="1651">
        <f t="shared" si="1"/>
        <v>100</v>
      </c>
      <c r="V12" s="1650" t="s">
        <v>28</v>
      </c>
      <c r="W12" s="1651">
        <f t="shared" si="2"/>
        <v>100</v>
      </c>
      <c r="X12" s="1652"/>
      <c r="Y12" s="3450"/>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13"/>
      <c r="Q13" s="1604">
        <f t="shared" si="6"/>
        <v>111</v>
      </c>
      <c r="R13" s="1650" t="s">
        <v>28</v>
      </c>
      <c r="S13" s="1651">
        <f t="shared" si="0"/>
        <v>100</v>
      </c>
      <c r="T13" s="1650" t="s">
        <v>28</v>
      </c>
      <c r="U13" s="1651">
        <f t="shared" si="1"/>
        <v>100</v>
      </c>
      <c r="V13" s="1650" t="s">
        <v>28</v>
      </c>
      <c r="W13" s="1651">
        <f t="shared" si="2"/>
        <v>100</v>
      </c>
      <c r="X13" s="1652"/>
      <c r="Y13" s="3450"/>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13"/>
      <c r="Q14" s="1604">
        <f t="shared" si="6"/>
        <v>111</v>
      </c>
      <c r="R14" s="1650" t="s">
        <v>28</v>
      </c>
      <c r="S14" s="1651">
        <f t="shared" si="0"/>
        <v>100</v>
      </c>
      <c r="T14" s="1650" t="s">
        <v>28</v>
      </c>
      <c r="U14" s="1651">
        <f t="shared" si="1"/>
        <v>100</v>
      </c>
      <c r="V14" s="1650" t="s">
        <v>28</v>
      </c>
      <c r="W14" s="1651">
        <f t="shared" si="2"/>
        <v>100</v>
      </c>
      <c r="X14" s="1652"/>
      <c r="Y14" s="3450"/>
      <c r="Z14" s="1663">
        <f t="shared" si="7"/>
        <v>111</v>
      </c>
      <c r="AA14" s="1653">
        <f t="shared" si="3"/>
        <v>1</v>
      </c>
      <c r="AB14" s="1653">
        <f t="shared" si="4"/>
        <v>1</v>
      </c>
      <c r="AC14" s="1653">
        <f t="shared" si="5"/>
        <v>1</v>
      </c>
    </row>
    <row r="15" spans="1:29" ht="99.75">
      <c r="A15" s="1687" t="s">
        <v>2210</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591" t="s">
        <v>2211</v>
      </c>
      <c r="Q15" s="1585" t="str">
        <f t="shared" si="6"/>
        <v>居住社区成熟度</v>
      </c>
      <c r="R15" s="1695" t="s">
        <v>28</v>
      </c>
      <c r="S15" s="1696">
        <f t="shared" si="0"/>
        <v>100</v>
      </c>
      <c r="T15" s="1695" t="s">
        <v>28</v>
      </c>
      <c r="U15" s="1696">
        <f t="shared" si="1"/>
        <v>100</v>
      </c>
      <c r="V15" s="1695" t="s">
        <v>28</v>
      </c>
      <c r="W15" s="1696">
        <f t="shared" si="2"/>
        <v>100</v>
      </c>
      <c r="X15" s="1635"/>
      <c r="Y15" s="3593" t="s">
        <v>2211</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592"/>
      <c r="Q16" s="1585"/>
      <c r="R16" s="1695"/>
      <c r="S16" s="1696"/>
      <c r="T16" s="1695"/>
      <c r="U16" s="1696"/>
      <c r="V16" s="1695"/>
      <c r="W16" s="1696"/>
      <c r="X16" s="1635"/>
      <c r="Y16" s="3594"/>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592"/>
      <c r="Q17" s="1585" t="str">
        <f>B17</f>
        <v>交通便捷度</v>
      </c>
      <c r="R17" s="1695" t="s">
        <v>28</v>
      </c>
      <c r="S17" s="1696">
        <f>F17</f>
        <v>100</v>
      </c>
      <c r="T17" s="1695" t="s">
        <v>28</v>
      </c>
      <c r="U17" s="1696">
        <f>H17</f>
        <v>100</v>
      </c>
      <c r="V17" s="1695" t="s">
        <v>28</v>
      </c>
      <c r="W17" s="1696">
        <f>J17</f>
        <v>100</v>
      </c>
      <c r="X17" s="1635"/>
      <c r="Y17" s="3594"/>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592"/>
      <c r="Q18" s="1585"/>
      <c r="R18" s="1695"/>
      <c r="S18" s="1696"/>
      <c r="T18" s="1695"/>
      <c r="U18" s="1696"/>
      <c r="V18" s="1695"/>
      <c r="W18" s="1696"/>
      <c r="X18" s="1635"/>
      <c r="Y18" s="3594"/>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592"/>
      <c r="Q19" s="1585" t="str">
        <f>B19</f>
        <v>公共配套设施</v>
      </c>
      <c r="R19" s="1695" t="s">
        <v>28</v>
      </c>
      <c r="S19" s="1696">
        <f>F19</f>
        <v>100</v>
      </c>
      <c r="T19" s="1695" t="s">
        <v>28</v>
      </c>
      <c r="U19" s="1696">
        <f>H19</f>
        <v>100</v>
      </c>
      <c r="V19" s="1695" t="s">
        <v>28</v>
      </c>
      <c r="W19" s="1696">
        <f>J19</f>
        <v>100</v>
      </c>
      <c r="X19" s="1635"/>
      <c r="Y19" s="3594"/>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592"/>
      <c r="Q20" s="1585"/>
      <c r="R20" s="1695"/>
      <c r="S20" s="1696"/>
      <c r="T20" s="1695"/>
      <c r="U20" s="1696"/>
      <c r="V20" s="1695"/>
      <c r="W20" s="1696"/>
      <c r="X20" s="1635"/>
      <c r="Y20" s="3594"/>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592"/>
      <c r="Q21" s="1585" t="str">
        <f>B21</f>
        <v>基础设施水平</v>
      </c>
      <c r="R21" s="1695" t="s">
        <v>28</v>
      </c>
      <c r="S21" s="1696">
        <f>F21</f>
        <v>100</v>
      </c>
      <c r="T21" s="1695" t="s">
        <v>28</v>
      </c>
      <c r="U21" s="1696">
        <f>H21</f>
        <v>100</v>
      </c>
      <c r="V21" s="1695" t="s">
        <v>28</v>
      </c>
      <c r="W21" s="1696">
        <f>J21</f>
        <v>100</v>
      </c>
      <c r="X21" s="1635"/>
      <c r="Y21" s="3594"/>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592"/>
      <c r="Q22" s="1585"/>
      <c r="R22" s="1695"/>
      <c r="S22" s="1696"/>
      <c r="T22" s="1695"/>
      <c r="U22" s="1696"/>
      <c r="V22" s="1695"/>
      <c r="W22" s="1696"/>
      <c r="X22" s="1635"/>
      <c r="Y22" s="3594"/>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592"/>
      <c r="Q23" s="1585" t="str">
        <f>B23</f>
        <v>自然及人文环境</v>
      </c>
      <c r="R23" s="1695" t="s">
        <v>28</v>
      </c>
      <c r="S23" s="1696">
        <f>F23</f>
        <v>100</v>
      </c>
      <c r="T23" s="1695" t="s">
        <v>28</v>
      </c>
      <c r="U23" s="1696">
        <f>H23</f>
        <v>100</v>
      </c>
      <c r="V23" s="1695" t="s">
        <v>28</v>
      </c>
      <c r="W23" s="1696">
        <f>J23</f>
        <v>100</v>
      </c>
      <c r="X23" s="1635"/>
      <c r="Y23" s="3594"/>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592"/>
      <c r="Q24" s="1585"/>
      <c r="R24" s="1695"/>
      <c r="S24" s="1696"/>
      <c r="T24" s="1695"/>
      <c r="U24" s="1696"/>
      <c r="V24" s="1695"/>
      <c r="W24" s="1696"/>
      <c r="X24" s="1635"/>
      <c r="Y24" s="3594"/>
      <c r="Z24" s="1697"/>
      <c r="AA24" s="1698">
        <v>1</v>
      </c>
      <c r="AB24" s="1698">
        <v>1</v>
      </c>
      <c r="AC24" s="1698">
        <v>1</v>
      </c>
    </row>
    <row r="25" spans="1:29" ht="15">
      <c r="A25" s="1672"/>
      <c r="B25" s="1665" t="s">
        <v>2212</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592"/>
      <c r="Q25" s="1585" t="str">
        <f t="shared" ref="Q25:Q46" si="11">B25</f>
        <v>楼层-1</v>
      </c>
      <c r="R25" s="1695" t="s">
        <v>28</v>
      </c>
      <c r="S25" s="1696">
        <f>F25</f>
        <v>100</v>
      </c>
      <c r="T25" s="1695" t="s">
        <v>28</v>
      </c>
      <c r="U25" s="1696">
        <f>H25</f>
        <v>100</v>
      </c>
      <c r="V25" s="1695" t="s">
        <v>28</v>
      </c>
      <c r="W25" s="1696">
        <f>J25</f>
        <v>100</v>
      </c>
      <c r="X25" s="1635"/>
      <c r="Y25" s="3594"/>
      <c r="Z25" s="1697" t="str">
        <f>Q25</f>
        <v>楼层-1</v>
      </c>
      <c r="AA25" s="1698">
        <f t="shared" si="3"/>
        <v>1</v>
      </c>
      <c r="AB25" s="1698">
        <f t="shared" si="4"/>
        <v>1</v>
      </c>
      <c r="AC25" s="1698">
        <f t="shared" si="5"/>
        <v>1</v>
      </c>
    </row>
    <row r="26" spans="1:29" ht="15">
      <c r="A26" s="1672"/>
      <c r="B26" s="1665" t="s">
        <v>2213</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592"/>
      <c r="Q26" s="1585" t="str">
        <f t="shared" si="11"/>
        <v>朝向</v>
      </c>
      <c r="R26" s="1695" t="s">
        <v>28</v>
      </c>
      <c r="S26" s="1696">
        <f>F26</f>
        <v>100</v>
      </c>
      <c r="T26" s="1695" t="s">
        <v>28</v>
      </c>
      <c r="U26" s="1696">
        <f>H26</f>
        <v>100</v>
      </c>
      <c r="V26" s="1695" t="s">
        <v>28</v>
      </c>
      <c r="W26" s="1696">
        <f>J26</f>
        <v>100</v>
      </c>
      <c r="X26" s="1635"/>
      <c r="Y26" s="3594"/>
      <c r="Z26" s="1697" t="str">
        <f>Q26</f>
        <v>朝向</v>
      </c>
      <c r="AA26" s="1698">
        <f t="shared" si="3"/>
        <v>1</v>
      </c>
      <c r="AB26" s="1698">
        <f t="shared" si="4"/>
        <v>1</v>
      </c>
      <c r="AC26" s="1698">
        <f t="shared" si="5"/>
        <v>1</v>
      </c>
    </row>
    <row r="27" spans="1:29" s="1654" customFormat="1" ht="15">
      <c r="A27" s="1675"/>
      <c r="B27" s="1676" t="s">
        <v>2214</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592"/>
      <c r="Q27" s="1604" t="str">
        <f t="shared" si="11"/>
        <v>道路级别</v>
      </c>
      <c r="R27" s="1650" t="s">
        <v>28</v>
      </c>
      <c r="S27" s="1651">
        <f>F27</f>
        <v>100</v>
      </c>
      <c r="T27" s="1650" t="s">
        <v>28</v>
      </c>
      <c r="U27" s="1651">
        <f>H27</f>
        <v>100</v>
      </c>
      <c r="V27" s="1650" t="s">
        <v>28</v>
      </c>
      <c r="W27" s="1651">
        <f>J27</f>
        <v>100</v>
      </c>
      <c r="X27" s="1652"/>
      <c r="Y27" s="3594"/>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592"/>
      <c r="Q28" s="1585">
        <f t="shared" si="11"/>
        <v>111</v>
      </c>
      <c r="R28" s="1695" t="s">
        <v>28</v>
      </c>
      <c r="S28" s="1696">
        <f t="shared" ref="S28:S46" si="12">F28</f>
        <v>100</v>
      </c>
      <c r="T28" s="1695" t="s">
        <v>28</v>
      </c>
      <c r="U28" s="1696">
        <f t="shared" ref="U28:U46" si="13">H28</f>
        <v>100</v>
      </c>
      <c r="V28" s="1695" t="s">
        <v>28</v>
      </c>
      <c r="W28" s="1696">
        <f t="shared" ref="W28:W46" si="14">J28</f>
        <v>100</v>
      </c>
      <c r="X28" s="1635"/>
      <c r="Y28" s="3594"/>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592"/>
      <c r="Q29" s="1585">
        <f t="shared" si="11"/>
        <v>111</v>
      </c>
      <c r="R29" s="1695" t="s">
        <v>28</v>
      </c>
      <c r="S29" s="1696">
        <f t="shared" si="12"/>
        <v>100</v>
      </c>
      <c r="T29" s="1695" t="s">
        <v>28</v>
      </c>
      <c r="U29" s="1696">
        <f t="shared" si="13"/>
        <v>100</v>
      </c>
      <c r="V29" s="1695" t="s">
        <v>28</v>
      </c>
      <c r="W29" s="1696">
        <f t="shared" si="14"/>
        <v>100</v>
      </c>
      <c r="X29" s="1635"/>
      <c r="Y29" s="3594"/>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592"/>
      <c r="Q30" s="1585">
        <f t="shared" si="11"/>
        <v>111</v>
      </c>
      <c r="R30" s="1695" t="s">
        <v>28</v>
      </c>
      <c r="S30" s="1696">
        <f t="shared" si="12"/>
        <v>100</v>
      </c>
      <c r="T30" s="1695" t="s">
        <v>28</v>
      </c>
      <c r="U30" s="1696">
        <f t="shared" si="13"/>
        <v>100</v>
      </c>
      <c r="V30" s="1695" t="s">
        <v>28</v>
      </c>
      <c r="W30" s="1696">
        <f t="shared" si="14"/>
        <v>100</v>
      </c>
      <c r="X30" s="1635"/>
      <c r="Y30" s="3594"/>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592"/>
      <c r="Q31" s="1585">
        <f t="shared" si="11"/>
        <v>111</v>
      </c>
      <c r="R31" s="1695" t="s">
        <v>28</v>
      </c>
      <c r="S31" s="1696">
        <f t="shared" si="12"/>
        <v>100</v>
      </c>
      <c r="T31" s="1695" t="s">
        <v>28</v>
      </c>
      <c r="U31" s="1696">
        <f t="shared" si="13"/>
        <v>100</v>
      </c>
      <c r="V31" s="1695" t="s">
        <v>28</v>
      </c>
      <c r="W31" s="1696">
        <f t="shared" si="14"/>
        <v>100</v>
      </c>
      <c r="X31" s="1635"/>
      <c r="Y31" s="3594"/>
      <c r="Z31" s="1697">
        <f t="shared" si="15"/>
        <v>111</v>
      </c>
      <c r="AA31" s="1698">
        <f t="shared" si="3"/>
        <v>1</v>
      </c>
      <c r="AB31" s="1698">
        <f t="shared" si="4"/>
        <v>1</v>
      </c>
      <c r="AC31" s="1698">
        <f t="shared" si="5"/>
        <v>1</v>
      </c>
    </row>
    <row r="32" spans="1:29" ht="15">
      <c r="A32" s="1687" t="s">
        <v>2215</v>
      </c>
      <c r="B32" s="1657" t="s">
        <v>2216</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595" t="s">
        <v>2217</v>
      </c>
      <c r="Q32" s="1585" t="str">
        <f t="shared" si="11"/>
        <v>建筑类型</v>
      </c>
      <c r="R32" s="1695" t="s">
        <v>28</v>
      </c>
      <c r="S32" s="1696">
        <f t="shared" si="12"/>
        <v>100</v>
      </c>
      <c r="T32" s="1695" t="s">
        <v>28</v>
      </c>
      <c r="U32" s="1696">
        <f t="shared" si="13"/>
        <v>100</v>
      </c>
      <c r="V32" s="1695" t="s">
        <v>28</v>
      </c>
      <c r="W32" s="1696">
        <f t="shared" si="14"/>
        <v>100</v>
      </c>
      <c r="X32" s="1635"/>
      <c r="Y32" s="3598" t="s">
        <v>2217</v>
      </c>
      <c r="Z32" s="1697" t="str">
        <f t="shared" si="15"/>
        <v>建筑类型</v>
      </c>
      <c r="AA32" s="1698">
        <f t="shared" si="3"/>
        <v>1</v>
      </c>
      <c r="AB32" s="1698">
        <f t="shared" si="4"/>
        <v>1</v>
      </c>
      <c r="AC32" s="1698">
        <f t="shared" si="5"/>
        <v>1</v>
      </c>
    </row>
    <row r="33" spans="1:29" s="1741" customFormat="1" ht="15">
      <c r="A33" s="1734"/>
      <c r="B33" s="1665" t="s">
        <v>2218</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596"/>
      <c r="Q33" s="1736" t="str">
        <f t="shared" si="11"/>
        <v>项目建筑规模</v>
      </c>
      <c r="R33" s="1737" t="s">
        <v>28</v>
      </c>
      <c r="S33" s="1738" t="e">
        <f t="shared" si="12"/>
        <v>#N/A</v>
      </c>
      <c r="T33" s="1737" t="s">
        <v>28</v>
      </c>
      <c r="U33" s="1738" t="e">
        <f t="shared" si="13"/>
        <v>#N/A</v>
      </c>
      <c r="V33" s="1737" t="s">
        <v>28</v>
      </c>
      <c r="W33" s="1738" t="e">
        <f t="shared" si="14"/>
        <v>#N/A</v>
      </c>
      <c r="X33" s="1739"/>
      <c r="Y33" s="3598"/>
      <c r="Z33" s="1740" t="str">
        <f t="shared" si="15"/>
        <v>项目建筑规模</v>
      </c>
      <c r="AA33" s="1698" t="e">
        <f t="shared" si="3"/>
        <v>#N/A</v>
      </c>
      <c r="AB33" s="1698" t="e">
        <f t="shared" si="4"/>
        <v>#N/A</v>
      </c>
      <c r="AC33" s="1698" t="e">
        <f t="shared" si="5"/>
        <v>#N/A</v>
      </c>
    </row>
    <row r="34" spans="1:29" ht="15">
      <c r="A34" s="1742"/>
      <c r="B34" s="1665" t="s">
        <v>2219</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596"/>
      <c r="Q34" s="1585" t="str">
        <f t="shared" si="11"/>
        <v>建筑结构</v>
      </c>
      <c r="R34" s="1695" t="s">
        <v>28</v>
      </c>
      <c r="S34" s="1696">
        <f t="shared" si="12"/>
        <v>100</v>
      </c>
      <c r="T34" s="1695" t="s">
        <v>28</v>
      </c>
      <c r="U34" s="1696">
        <f t="shared" si="13"/>
        <v>100</v>
      </c>
      <c r="V34" s="1695" t="s">
        <v>28</v>
      </c>
      <c r="W34" s="1696">
        <f t="shared" si="14"/>
        <v>100</v>
      </c>
      <c r="X34" s="1635"/>
      <c r="Y34" s="3598"/>
      <c r="Z34" s="1697" t="str">
        <f t="shared" si="15"/>
        <v>建筑结构</v>
      </c>
      <c r="AA34" s="1698">
        <f t="shared" si="3"/>
        <v>1</v>
      </c>
      <c r="AB34" s="1698">
        <f t="shared" si="4"/>
        <v>1</v>
      </c>
      <c r="AC34" s="1698">
        <f t="shared" si="5"/>
        <v>1</v>
      </c>
    </row>
    <row r="35" spans="1:29" ht="15">
      <c r="A35" s="1742"/>
      <c r="B35" s="1665" t="s">
        <v>2220</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596"/>
      <c r="Q35" s="1585" t="str">
        <f t="shared" si="11"/>
        <v>建筑品质</v>
      </c>
      <c r="R35" s="1695" t="s">
        <v>28</v>
      </c>
      <c r="S35" s="1696">
        <f t="shared" si="12"/>
        <v>100</v>
      </c>
      <c r="T35" s="1695" t="s">
        <v>28</v>
      </c>
      <c r="U35" s="1696">
        <f t="shared" si="13"/>
        <v>100</v>
      </c>
      <c r="V35" s="1695" t="s">
        <v>28</v>
      </c>
      <c r="W35" s="1696">
        <f t="shared" si="14"/>
        <v>100</v>
      </c>
      <c r="X35" s="1635"/>
      <c r="Y35" s="3598"/>
      <c r="Z35" s="1697" t="str">
        <f t="shared" si="15"/>
        <v>建筑品质</v>
      </c>
      <c r="AA35" s="1698">
        <f t="shared" si="3"/>
        <v>1</v>
      </c>
      <c r="AB35" s="1698">
        <f t="shared" si="4"/>
        <v>1</v>
      </c>
      <c r="AC35" s="1698">
        <f t="shared" si="5"/>
        <v>1</v>
      </c>
    </row>
    <row r="36" spans="1:29" ht="15">
      <c r="A36" s="1742"/>
      <c r="B36" s="1665" t="s">
        <v>2221</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596"/>
      <c r="Q36" s="1585" t="str">
        <f t="shared" si="11"/>
        <v>公共部分装修</v>
      </c>
      <c r="R36" s="1695" t="s">
        <v>28</v>
      </c>
      <c r="S36" s="1696">
        <f t="shared" si="12"/>
        <v>100</v>
      </c>
      <c r="T36" s="1695" t="s">
        <v>28</v>
      </c>
      <c r="U36" s="1696">
        <f t="shared" si="13"/>
        <v>100</v>
      </c>
      <c r="V36" s="1695" t="s">
        <v>28</v>
      </c>
      <c r="W36" s="1696">
        <f t="shared" si="14"/>
        <v>100</v>
      </c>
      <c r="X36" s="1635"/>
      <c r="Y36" s="3598"/>
      <c r="Z36" s="1697" t="str">
        <f t="shared" si="15"/>
        <v>公共部分装修</v>
      </c>
      <c r="AA36" s="1698">
        <f t="shared" si="3"/>
        <v>1</v>
      </c>
      <c r="AB36" s="1698">
        <f t="shared" si="4"/>
        <v>1</v>
      </c>
      <c r="AC36" s="1698">
        <f t="shared" si="5"/>
        <v>1</v>
      </c>
    </row>
    <row r="37" spans="1:29" s="1654" customFormat="1" ht="15">
      <c r="A37" s="1745"/>
      <c r="B37" s="1665" t="s">
        <v>2222</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596"/>
      <c r="Q37" s="1604" t="str">
        <f t="shared" si="11"/>
        <v>成新度</v>
      </c>
      <c r="R37" s="1650" t="s">
        <v>28</v>
      </c>
      <c r="S37" s="1651" t="e">
        <f t="shared" si="12"/>
        <v>#N/A</v>
      </c>
      <c r="T37" s="1650" t="s">
        <v>28</v>
      </c>
      <c r="U37" s="1651" t="e">
        <f t="shared" si="13"/>
        <v>#N/A</v>
      </c>
      <c r="V37" s="1650" t="s">
        <v>28</v>
      </c>
      <c r="W37" s="1651" t="e">
        <f t="shared" si="14"/>
        <v>#N/A</v>
      </c>
      <c r="X37" s="1652"/>
      <c r="Y37" s="3598"/>
      <c r="Z37" s="1663" t="str">
        <f t="shared" si="15"/>
        <v>成新度</v>
      </c>
      <c r="AA37" s="1653" t="e">
        <f t="shared" si="3"/>
        <v>#N/A</v>
      </c>
      <c r="AB37" s="1653" t="e">
        <f t="shared" si="4"/>
        <v>#N/A</v>
      </c>
      <c r="AC37" s="1653" t="e">
        <f t="shared" si="5"/>
        <v>#N/A</v>
      </c>
    </row>
    <row r="38" spans="1:29" ht="15">
      <c r="A38" s="1742"/>
      <c r="B38" s="1665" t="s">
        <v>2223</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596" t="s">
        <v>2217</v>
      </c>
      <c r="Q38" s="1585" t="str">
        <f t="shared" si="11"/>
        <v>物业管理</v>
      </c>
      <c r="R38" s="1695" t="s">
        <v>28</v>
      </c>
      <c r="S38" s="1696">
        <f t="shared" si="12"/>
        <v>100</v>
      </c>
      <c r="T38" s="1695" t="s">
        <v>28</v>
      </c>
      <c r="U38" s="1696">
        <f t="shared" si="13"/>
        <v>100</v>
      </c>
      <c r="V38" s="1695" t="s">
        <v>28</v>
      </c>
      <c r="W38" s="1696">
        <f t="shared" si="14"/>
        <v>100</v>
      </c>
      <c r="X38" s="1635"/>
      <c r="Y38" s="3598" t="s">
        <v>2217</v>
      </c>
      <c r="Z38" s="1697" t="str">
        <f t="shared" si="15"/>
        <v>物业管理</v>
      </c>
      <c r="AA38" s="1698">
        <f t="shared" si="3"/>
        <v>1</v>
      </c>
      <c r="AB38" s="1698">
        <f t="shared" si="4"/>
        <v>1</v>
      </c>
      <c r="AC38" s="1698">
        <f t="shared" si="5"/>
        <v>1</v>
      </c>
    </row>
    <row r="39" spans="1:29" ht="15">
      <c r="A39" s="1742"/>
      <c r="B39" s="1665" t="s">
        <v>2224</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596"/>
      <c r="Q39" s="1585" t="str">
        <f t="shared" si="11"/>
        <v>市政基础设施</v>
      </c>
      <c r="R39" s="1695" t="s">
        <v>28</v>
      </c>
      <c r="S39" s="1696">
        <f t="shared" si="12"/>
        <v>100</v>
      </c>
      <c r="T39" s="1695" t="s">
        <v>28</v>
      </c>
      <c r="U39" s="1696">
        <f t="shared" si="13"/>
        <v>100</v>
      </c>
      <c r="V39" s="1695" t="s">
        <v>28</v>
      </c>
      <c r="W39" s="1696">
        <f t="shared" si="14"/>
        <v>100</v>
      </c>
      <c r="X39" s="1635"/>
      <c r="Y39" s="3598"/>
      <c r="Z39" s="1697" t="str">
        <f t="shared" si="15"/>
        <v>市政基础设施</v>
      </c>
      <c r="AA39" s="1698">
        <f t="shared" si="3"/>
        <v>1</v>
      </c>
      <c r="AB39" s="1698">
        <f t="shared" si="4"/>
        <v>1</v>
      </c>
      <c r="AC39" s="1698">
        <f t="shared" si="5"/>
        <v>1</v>
      </c>
    </row>
    <row r="40" spans="1:29" ht="15">
      <c r="A40" s="1742"/>
      <c r="B40" s="1665" t="s">
        <v>2225</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596"/>
      <c r="Q40" s="1585" t="str">
        <f t="shared" si="11"/>
        <v>房型</v>
      </c>
      <c r="R40" s="1695" t="s">
        <v>28</v>
      </c>
      <c r="S40" s="1696">
        <f t="shared" si="12"/>
        <v>100</v>
      </c>
      <c r="T40" s="1695" t="s">
        <v>28</v>
      </c>
      <c r="U40" s="1696">
        <f t="shared" si="13"/>
        <v>100</v>
      </c>
      <c r="V40" s="1695" t="s">
        <v>28</v>
      </c>
      <c r="W40" s="1696">
        <f t="shared" si="14"/>
        <v>100</v>
      </c>
      <c r="X40" s="1635"/>
      <c r="Y40" s="3598"/>
      <c r="Z40" s="1697" t="str">
        <f t="shared" si="15"/>
        <v>房型</v>
      </c>
      <c r="AA40" s="1698">
        <f t="shared" si="3"/>
        <v>1</v>
      </c>
      <c r="AB40" s="1698">
        <f t="shared" si="4"/>
        <v>1</v>
      </c>
      <c r="AC40" s="1698">
        <f t="shared" si="5"/>
        <v>1</v>
      </c>
    </row>
    <row r="41" spans="1:29" s="1741" customFormat="1" ht="28.5">
      <c r="A41" s="1734"/>
      <c r="B41" s="1665" t="s">
        <v>2226</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596"/>
      <c r="Q41" s="1736" t="str">
        <f t="shared" si="11"/>
        <v>单套/主力户型建筑面积</v>
      </c>
      <c r="R41" s="1737" t="s">
        <v>28</v>
      </c>
      <c r="S41" s="1738">
        <f t="shared" si="12"/>
        <v>100</v>
      </c>
      <c r="T41" s="1737" t="s">
        <v>28</v>
      </c>
      <c r="U41" s="1738">
        <f t="shared" si="13"/>
        <v>100</v>
      </c>
      <c r="V41" s="1737" t="s">
        <v>28</v>
      </c>
      <c r="W41" s="1738">
        <f t="shared" si="14"/>
        <v>100</v>
      </c>
      <c r="X41" s="1739"/>
      <c r="Y41" s="3598"/>
      <c r="Z41" s="1740" t="str">
        <f t="shared" si="15"/>
        <v>单套/主力户型建筑面积</v>
      </c>
      <c r="AA41" s="1698">
        <f t="shared" si="3"/>
        <v>1</v>
      </c>
      <c r="AB41" s="1698">
        <f t="shared" si="4"/>
        <v>1</v>
      </c>
      <c r="AC41" s="1698">
        <f t="shared" si="5"/>
        <v>1</v>
      </c>
    </row>
    <row r="42" spans="1:29" ht="15">
      <c r="A42" s="1742"/>
      <c r="B42" s="1665" t="s">
        <v>2227</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596"/>
      <c r="Q42" s="1585" t="str">
        <f t="shared" si="11"/>
        <v>内部装修</v>
      </c>
      <c r="R42" s="1695" t="s">
        <v>28</v>
      </c>
      <c r="S42" s="1696">
        <f t="shared" si="12"/>
        <v>100</v>
      </c>
      <c r="T42" s="1695" t="s">
        <v>28</v>
      </c>
      <c r="U42" s="1696">
        <f t="shared" si="13"/>
        <v>100</v>
      </c>
      <c r="V42" s="1695" t="s">
        <v>28</v>
      </c>
      <c r="W42" s="1696">
        <f t="shared" si="14"/>
        <v>100</v>
      </c>
      <c r="X42" s="1635"/>
      <c r="Y42" s="3598"/>
      <c r="Z42" s="1697" t="str">
        <f t="shared" si="15"/>
        <v>内部装修</v>
      </c>
      <c r="AA42" s="1698">
        <f t="shared" si="3"/>
        <v>1</v>
      </c>
      <c r="AB42" s="1698">
        <f t="shared" si="4"/>
        <v>1</v>
      </c>
      <c r="AC42" s="1698">
        <f t="shared" si="5"/>
        <v>1</v>
      </c>
    </row>
    <row r="43" spans="1:29" ht="15">
      <c r="A43" s="1742"/>
      <c r="B43" s="1665" t="s">
        <v>2228</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596"/>
      <c r="Q43" s="1585" t="str">
        <f t="shared" si="11"/>
        <v>内部装修维护情况</v>
      </c>
      <c r="R43" s="1695" t="s">
        <v>28</v>
      </c>
      <c r="S43" s="1696">
        <f t="shared" si="12"/>
        <v>100</v>
      </c>
      <c r="T43" s="1695" t="s">
        <v>28</v>
      </c>
      <c r="U43" s="1696">
        <f t="shared" si="13"/>
        <v>100</v>
      </c>
      <c r="V43" s="1695" t="s">
        <v>28</v>
      </c>
      <c r="W43" s="1696">
        <f t="shared" si="14"/>
        <v>100</v>
      </c>
      <c r="X43" s="1635"/>
      <c r="Y43" s="3598"/>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596"/>
      <c r="Q44" s="1604">
        <f t="shared" si="11"/>
        <v>111</v>
      </c>
      <c r="R44" s="1650" t="s">
        <v>28</v>
      </c>
      <c r="S44" s="1651">
        <f t="shared" si="12"/>
        <v>100</v>
      </c>
      <c r="T44" s="1650" t="s">
        <v>28</v>
      </c>
      <c r="U44" s="1651">
        <f t="shared" si="13"/>
        <v>100</v>
      </c>
      <c r="V44" s="1650" t="s">
        <v>28</v>
      </c>
      <c r="W44" s="1651">
        <f t="shared" si="14"/>
        <v>100</v>
      </c>
      <c r="X44" s="1652"/>
      <c r="Y44" s="359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596"/>
      <c r="Q45" s="1585">
        <f t="shared" si="11"/>
        <v>111</v>
      </c>
      <c r="R45" s="1695" t="s">
        <v>28</v>
      </c>
      <c r="S45" s="1696">
        <f t="shared" si="12"/>
        <v>100</v>
      </c>
      <c r="T45" s="1695" t="s">
        <v>28</v>
      </c>
      <c r="U45" s="1696">
        <f t="shared" si="13"/>
        <v>100</v>
      </c>
      <c r="V45" s="1695" t="s">
        <v>28</v>
      </c>
      <c r="W45" s="1696">
        <f t="shared" si="14"/>
        <v>100</v>
      </c>
      <c r="X45" s="1635"/>
      <c r="Y45" s="3598"/>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597"/>
      <c r="Q46" s="1585">
        <f t="shared" si="11"/>
        <v>111</v>
      </c>
      <c r="R46" s="1695" t="s">
        <v>27</v>
      </c>
      <c r="S46" s="1696">
        <f t="shared" si="12"/>
        <v>100</v>
      </c>
      <c r="T46" s="1695" t="s">
        <v>27</v>
      </c>
      <c r="U46" s="1696">
        <f t="shared" si="13"/>
        <v>100</v>
      </c>
      <c r="V46" s="1695" t="s">
        <v>27</v>
      </c>
      <c r="W46" s="1696">
        <f t="shared" si="14"/>
        <v>100</v>
      </c>
      <c r="X46" s="1635"/>
      <c r="Y46" s="3599"/>
      <c r="Z46" s="1697">
        <f t="shared" si="15"/>
        <v>111</v>
      </c>
      <c r="AA46" s="1698">
        <f t="shared" si="3"/>
        <v>1</v>
      </c>
      <c r="AB46" s="1698">
        <f t="shared" si="4"/>
        <v>1</v>
      </c>
      <c r="AC46" s="1698">
        <f t="shared" si="5"/>
        <v>1</v>
      </c>
    </row>
    <row r="47" spans="1:29" ht="15">
      <c r="A47" s="1751" t="s">
        <v>2229</v>
      </c>
      <c r="B47" s="1752"/>
      <c r="C47" s="1753" t="s">
        <v>26</v>
      </c>
      <c r="D47" s="1754"/>
      <c r="E47" s="1755"/>
      <c r="F47" s="1756"/>
      <c r="G47" s="1757"/>
      <c r="H47" s="1758"/>
      <c r="I47" s="1755"/>
      <c r="J47" s="1758"/>
      <c r="K47" s="1759"/>
      <c r="L47" s="2972"/>
      <c r="N47" s="2967"/>
      <c r="P47" s="3590" t="str">
        <f>A47</f>
        <v>成交单价（元/平方米）</v>
      </c>
      <c r="Q47" s="3590"/>
      <c r="R47" s="3586">
        <f>E47</f>
        <v>0</v>
      </c>
      <c r="S47" s="3586"/>
      <c r="T47" s="3586">
        <f>G47</f>
        <v>0</v>
      </c>
      <c r="U47" s="3586"/>
      <c r="V47" s="3586">
        <f>I47</f>
        <v>0</v>
      </c>
      <c r="W47" s="3586"/>
      <c r="X47" s="1761"/>
      <c r="Y47" s="1762"/>
      <c r="Z47" s="1761"/>
      <c r="AA47" s="1761"/>
      <c r="AB47" s="1761"/>
      <c r="AC47" s="1761"/>
    </row>
    <row r="48" spans="1:29" ht="15.75" thickBot="1">
      <c r="A48" s="1763" t="s">
        <v>2230</v>
      </c>
      <c r="B48" s="1764"/>
      <c r="C48" s="1765" t="e">
        <f>R49</f>
        <v>#DIV/0!</v>
      </c>
      <c r="D48" s="1766" t="s">
        <v>2685</v>
      </c>
      <c r="E48" s="1767" t="e">
        <f>R48</f>
        <v>#DIV/0!</v>
      </c>
      <c r="F48" s="1768"/>
      <c r="G48" s="1765" t="e">
        <f>T48</f>
        <v>#DIV/0!</v>
      </c>
      <c r="H48" s="1768"/>
      <c r="I48" s="1767" t="e">
        <f>V48</f>
        <v>#DIV/0!</v>
      </c>
      <c r="J48" s="1768"/>
      <c r="K48" s="2481">
        <f>F48+H48+J48</f>
        <v>0</v>
      </c>
      <c r="L48" s="2972"/>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61"/>
      <c r="Y48" s="1761"/>
      <c r="Z48" s="1761"/>
      <c r="AA48" s="1761"/>
      <c r="AB48" s="1761"/>
      <c r="AC48" s="1761"/>
    </row>
    <row r="49" spans="1:29" ht="15.75" thickBot="1">
      <c r="A49" s="1769" t="s">
        <v>2231</v>
      </c>
      <c r="B49" s="1770"/>
      <c r="C49" s="1771" t="e">
        <f>R49</f>
        <v>#DIV/0!</v>
      </c>
      <c r="D49" s="1772"/>
      <c r="E49" s="1772"/>
      <c r="F49" s="1772"/>
      <c r="G49" s="1772"/>
      <c r="H49" s="1772"/>
      <c r="I49" s="1772"/>
      <c r="J49" s="1772"/>
      <c r="K49" s="1773"/>
      <c r="L49" s="2972"/>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61"/>
      <c r="Y49" s="1761"/>
      <c r="Z49" s="1761"/>
      <c r="AA49" s="1761"/>
      <c r="AB49" s="1761"/>
      <c r="AC49" s="1761"/>
    </row>
    <row r="50" spans="1:29">
      <c r="G50" s="2976"/>
    </row>
    <row r="52" spans="1:29" ht="13.5" customHeight="1">
      <c r="C52" s="383" t="s">
        <v>2232</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2233</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2234</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2235</v>
      </c>
      <c r="B57" s="1761"/>
      <c r="C57" s="1787"/>
      <c r="D57" s="1787"/>
      <c r="E57" s="1787"/>
      <c r="F57" s="1787"/>
      <c r="G57" s="1787"/>
      <c r="H57" s="1787"/>
      <c r="I57" s="1787"/>
      <c r="J57" s="1787"/>
      <c r="K57" s="1788"/>
      <c r="L57" s="2974"/>
      <c r="M57" s="2975"/>
      <c r="N57" s="2975"/>
      <c r="O57" s="2975"/>
      <c r="P57" s="1790"/>
      <c r="Q57" s="1791"/>
    </row>
    <row r="58" spans="1:29" s="1797" customFormat="1" ht="15">
      <c r="A58" s="1792" t="s">
        <v>2236</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2237</v>
      </c>
      <c r="B60" s="1805"/>
      <c r="C60" s="1806"/>
      <c r="D60" s="1807"/>
      <c r="E60" s="1807"/>
      <c r="F60" s="1807"/>
      <c r="G60" s="1807"/>
      <c r="H60" s="1807"/>
      <c r="I60" s="1807"/>
      <c r="J60" s="1807"/>
      <c r="K60" s="1807"/>
      <c r="L60" s="1807"/>
      <c r="M60" s="1808"/>
      <c r="N60" s="1807"/>
      <c r="O60" s="1808"/>
      <c r="P60" s="1803"/>
      <c r="Q60" s="1791"/>
    </row>
    <row r="61" spans="1:29" s="1654" customFormat="1" ht="15">
      <c r="A61" s="1809" t="s">
        <v>2238</v>
      </c>
      <c r="B61" s="1799"/>
      <c r="C61" s="1810" t="s">
        <v>2239</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2240</v>
      </c>
      <c r="B63" s="1817" t="s">
        <v>2205</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2208</v>
      </c>
      <c r="C65" s="1829" t="s">
        <v>2241</v>
      </c>
      <c r="D65" s="1829" t="s">
        <v>2242</v>
      </c>
      <c r="E65" s="1829" t="s">
        <v>2243</v>
      </c>
      <c r="F65" s="1829" t="s">
        <v>2244</v>
      </c>
      <c r="G65" s="1829" t="s">
        <v>2245</v>
      </c>
      <c r="H65" s="1829" t="s">
        <v>2246</v>
      </c>
      <c r="I65" s="1829" t="s">
        <v>2247</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2209</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2210</v>
      </c>
      <c r="B76" s="1817" t="s">
        <v>2248</v>
      </c>
      <c r="C76" s="1855" t="s">
        <v>2249</v>
      </c>
      <c r="D76" s="1855" t="s">
        <v>2250</v>
      </c>
      <c r="E76" s="1855" t="s">
        <v>2251</v>
      </c>
      <c r="F76" s="1855" t="s">
        <v>2252</v>
      </c>
      <c r="G76" s="1855" t="s">
        <v>2253</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2254</v>
      </c>
      <c r="C78" s="579" t="s">
        <v>2249</v>
      </c>
      <c r="D78" s="579" t="s">
        <v>2250</v>
      </c>
      <c r="E78" s="579" t="s">
        <v>2251</v>
      </c>
      <c r="F78" s="579" t="s">
        <v>2252</v>
      </c>
      <c r="G78" s="579" t="s">
        <v>2253</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2255</v>
      </c>
      <c r="C80" s="579" t="s">
        <v>2249</v>
      </c>
      <c r="D80" s="579" t="s">
        <v>2250</v>
      </c>
      <c r="E80" s="579" t="s">
        <v>2251</v>
      </c>
      <c r="F80" s="579" t="s">
        <v>2252</v>
      </c>
      <c r="G80" s="579" t="s">
        <v>2253</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2256</v>
      </c>
      <c r="D82" s="1829" t="s">
        <v>2257</v>
      </c>
      <c r="E82" s="1829" t="s">
        <v>2258</v>
      </c>
      <c r="F82" s="1829" t="s">
        <v>2259</v>
      </c>
      <c r="G82" s="1829" t="s">
        <v>2260</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2261</v>
      </c>
      <c r="C84" s="579" t="s">
        <v>2249</v>
      </c>
      <c r="D84" s="579" t="s">
        <v>2250</v>
      </c>
      <c r="E84" s="579" t="s">
        <v>2251</v>
      </c>
      <c r="F84" s="579" t="s">
        <v>2252</v>
      </c>
      <c r="G84" s="579" t="s">
        <v>2253</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2262</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2263</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2215</v>
      </c>
      <c r="B100" s="1817" t="s">
        <v>2264</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2266</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2267</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2268</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2270</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2271</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2272</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2226</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2273</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2274</v>
      </c>
      <c r="C124" s="579" t="s">
        <v>2249</v>
      </c>
      <c r="D124" s="579" t="s">
        <v>2250</v>
      </c>
      <c r="E124" s="579" t="s">
        <v>2251</v>
      </c>
      <c r="F124" s="579" t="s">
        <v>2252</v>
      </c>
      <c r="G124" s="579" t="s">
        <v>2253</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2275</v>
      </c>
    </row>
    <row r="137" spans="1:17" ht="15">
      <c r="B137" s="1881" t="s">
        <v>2276</v>
      </c>
      <c r="C137" s="1882"/>
      <c r="D137" s="1882"/>
      <c r="E137" s="1882"/>
      <c r="F137" s="1882"/>
      <c r="G137" s="1883"/>
      <c r="H137" s="1884"/>
      <c r="I137" s="1885" t="s">
        <v>2277</v>
      </c>
      <c r="J137" s="1882"/>
      <c r="K137" s="1886"/>
    </row>
    <row r="138" spans="1:17" ht="15">
      <c r="B138" s="1887"/>
      <c r="C138" s="1888" t="s">
        <v>2278</v>
      </c>
      <c r="D138" s="1888" t="s">
        <v>2279</v>
      </c>
      <c r="E138" s="1889" t="s">
        <v>2280</v>
      </c>
      <c r="F138" s="1890" t="s">
        <v>2281</v>
      </c>
      <c r="G138" s="1888" t="s">
        <v>2279</v>
      </c>
      <c r="H138" s="1891" t="s">
        <v>2280</v>
      </c>
      <c r="I138" s="1892"/>
      <c r="J138" s="1888" t="s">
        <v>2282</v>
      </c>
      <c r="K138" s="1891" t="s">
        <v>2283</v>
      </c>
    </row>
    <row r="139" spans="1:17" ht="15">
      <c r="B139" s="1893">
        <v>6</v>
      </c>
      <c r="C139" s="1894">
        <v>96</v>
      </c>
      <c r="D139" s="1895" t="s">
        <v>2284</v>
      </c>
      <c r="E139" s="1896">
        <v>100</v>
      </c>
      <c r="F139" s="1897">
        <v>102.5</v>
      </c>
      <c r="G139" s="1895" t="s">
        <v>2284</v>
      </c>
      <c r="H139" s="1898">
        <v>105</v>
      </c>
      <c r="I139" s="1899" t="s">
        <v>2285</v>
      </c>
      <c r="J139" s="1894">
        <v>20</v>
      </c>
      <c r="K139" s="1900">
        <f>C145/(J139-2)</f>
        <v>4.0555555555555553E-3</v>
      </c>
    </row>
    <row r="140" spans="1:17" ht="15">
      <c r="B140" s="1901">
        <v>5</v>
      </c>
      <c r="C140" s="1902">
        <v>100</v>
      </c>
      <c r="D140" s="1902"/>
      <c r="E140" s="1903"/>
      <c r="F140" s="1904">
        <v>102</v>
      </c>
      <c r="G140" s="1902"/>
      <c r="H140" s="1905"/>
      <c r="I140" s="1906" t="s">
        <v>2286</v>
      </c>
      <c r="J140" s="1907">
        <f>ROUNDUP((J139-1)/2,0)</f>
        <v>10</v>
      </c>
      <c r="K140" s="1908">
        <v>100</v>
      </c>
    </row>
    <row r="141" spans="1:17" ht="15">
      <c r="B141" s="1901">
        <v>4</v>
      </c>
      <c r="C141" s="1902">
        <v>102</v>
      </c>
      <c r="D141" s="1902"/>
      <c r="E141" s="1903"/>
      <c r="F141" s="1904">
        <v>101.5</v>
      </c>
      <c r="G141" s="1902"/>
      <c r="H141" s="1905"/>
      <c r="I141" s="1906" t="s">
        <v>2287</v>
      </c>
      <c r="J141" s="1907">
        <v>1</v>
      </c>
      <c r="K141" s="1909">
        <f>ROUND(100+(J141-J140)*K139*100,1)</f>
        <v>96.4</v>
      </c>
    </row>
    <row r="142" spans="1:17" ht="15">
      <c r="B142" s="1901">
        <v>3</v>
      </c>
      <c r="C142" s="1902">
        <v>103</v>
      </c>
      <c r="D142" s="1902"/>
      <c r="E142" s="1903"/>
      <c r="F142" s="1904">
        <v>101</v>
      </c>
      <c r="G142" s="1902"/>
      <c r="H142" s="1905"/>
      <c r="I142" s="1906" t="s">
        <v>2288</v>
      </c>
      <c r="J142" s="1907">
        <f>J139</f>
        <v>20</v>
      </c>
      <c r="K142" s="1910">
        <v>95</v>
      </c>
    </row>
    <row r="143" spans="1:17" ht="15">
      <c r="B143" s="1901">
        <v>2</v>
      </c>
      <c r="C143" s="1902">
        <v>100</v>
      </c>
      <c r="D143" s="1902"/>
      <c r="E143" s="1903"/>
      <c r="F143" s="1904">
        <v>100.5</v>
      </c>
      <c r="G143" s="1902"/>
      <c r="H143" s="1905"/>
      <c r="I143" s="1906" t="s">
        <v>2289</v>
      </c>
      <c r="J143" s="1902">
        <v>15</v>
      </c>
      <c r="K143" s="1909">
        <f>ROUND(100+(J143-J140)*K139*100,1)</f>
        <v>102</v>
      </c>
    </row>
    <row r="144" spans="1:17" ht="15">
      <c r="B144" s="1901">
        <v>1</v>
      </c>
      <c r="C144" s="1902">
        <v>98</v>
      </c>
      <c r="D144" s="1389" t="s">
        <v>2290</v>
      </c>
      <c r="E144" s="1903">
        <v>102</v>
      </c>
      <c r="F144" s="1911">
        <v>100</v>
      </c>
      <c r="G144" s="1389" t="s">
        <v>2290</v>
      </c>
      <c r="H144" s="1905">
        <v>105</v>
      </c>
      <c r="I144" s="1906" t="s">
        <v>2289</v>
      </c>
      <c r="J144" s="1902">
        <v>18</v>
      </c>
      <c r="K144" s="1909">
        <f>ROUND(100+(J144-J140)*K139*100,1)</f>
        <v>103.2</v>
      </c>
    </row>
    <row r="145" spans="2:11" ht="15.75" thickBot="1">
      <c r="B145" s="1912" t="s">
        <v>2291</v>
      </c>
      <c r="C145" s="1913">
        <f>ROUND(MAX(C139:C144)/MIN(C139:C144)-1,3)</f>
        <v>7.2999999999999995E-2</v>
      </c>
      <c r="D145" s="1914"/>
      <c r="E145" s="1914"/>
      <c r="F145" s="1543" t="s">
        <v>2292</v>
      </c>
      <c r="G145" s="1915"/>
      <c r="H145" s="1916"/>
      <c r="I145" s="1917" t="s">
        <v>2289</v>
      </c>
      <c r="J145" s="1918">
        <v>8</v>
      </c>
      <c r="K145" s="1919">
        <f>ROUND(100+(J145-J140)*K139*100,1)</f>
        <v>99.2</v>
      </c>
    </row>
    <row r="147" spans="2:11">
      <c r="B147" s="1542" t="s">
        <v>2293</v>
      </c>
    </row>
    <row r="148" spans="2:11">
      <c r="B148" s="1542"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2295</v>
      </c>
      <c r="C1" s="1608"/>
      <c r="D1" s="2439"/>
      <c r="E1" s="1610"/>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40" t="e">
        <f ca="1">SUMIF(INDIRECT("'"&amp;G2&amp;"'"&amp;"!A:A"),"承租人权益价值",INDIRECT("'"&amp;G2&amp;"'"&amp;"!c:c"))</f>
        <v>#REF!</v>
      </c>
      <c r="F2" s="1623" t="str">
        <f>C2</f>
        <v>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2185</v>
      </c>
      <c r="D3" s="1629">
        <f>IF(C1="仅计算典型户型",'数据-取费表'!E5,'数据-取费表'!B5)</f>
        <v>447.86</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2186</v>
      </c>
      <c r="B4" s="1633"/>
      <c r="C4" s="3617" t="s">
        <v>2187</v>
      </c>
      <c r="D4" s="3618"/>
      <c r="E4" s="3619" t="s">
        <v>2188</v>
      </c>
      <c r="F4" s="3620"/>
      <c r="G4" s="3617" t="s">
        <v>2189</v>
      </c>
      <c r="H4" s="3618"/>
      <c r="I4" s="3617" t="s">
        <v>2190</v>
      </c>
      <c r="J4" s="3618"/>
      <c r="K4" s="1935" t="s">
        <v>2191</v>
      </c>
      <c r="L4" s="2966"/>
      <c r="M4" s="2967"/>
      <c r="N4" s="2967"/>
      <c r="O4" s="2967"/>
      <c r="P4" s="3621" t="s">
        <v>2192</v>
      </c>
      <c r="Q4" s="3622"/>
      <c r="R4" s="3606" t="s">
        <v>2188</v>
      </c>
      <c r="S4" s="3607"/>
      <c r="T4" s="3606" t="s">
        <v>2189</v>
      </c>
      <c r="U4" s="3607"/>
      <c r="V4" s="3627" t="s">
        <v>2190</v>
      </c>
      <c r="W4" s="3627"/>
      <c r="X4" s="2044"/>
      <c r="Y4" s="3606" t="s">
        <v>2192</v>
      </c>
      <c r="Z4" s="3607"/>
      <c r="AA4" s="3614" t="s">
        <v>2188</v>
      </c>
      <c r="AB4" s="3627" t="s">
        <v>2189</v>
      </c>
      <c r="AC4" s="3614" t="s">
        <v>2190</v>
      </c>
    </row>
    <row r="5" spans="1:29" ht="15">
      <c r="A5" s="1637"/>
      <c r="B5" s="1638"/>
      <c r="C5" s="3602" t="s">
        <v>2193</v>
      </c>
      <c r="D5" s="3603"/>
      <c r="E5" s="3628" t="s">
        <v>2194</v>
      </c>
      <c r="F5" s="3629"/>
      <c r="G5" s="3602" t="s">
        <v>2195</v>
      </c>
      <c r="H5" s="3603"/>
      <c r="I5" s="3602" t="s">
        <v>2196</v>
      </c>
      <c r="J5" s="3603"/>
      <c r="K5" s="1935"/>
      <c r="L5" s="2966"/>
      <c r="M5" s="2967"/>
      <c r="N5" s="2967"/>
      <c r="O5" s="2967"/>
      <c r="P5" s="3623"/>
      <c r="Q5" s="3624"/>
      <c r="R5" s="3608"/>
      <c r="S5" s="3609"/>
      <c r="T5" s="3608"/>
      <c r="U5" s="3609"/>
      <c r="V5" s="3627"/>
      <c r="W5" s="3627"/>
      <c r="X5" s="2044"/>
      <c r="Y5" s="3608"/>
      <c r="Z5" s="3609"/>
      <c r="AA5" s="3615"/>
      <c r="AB5" s="3627"/>
      <c r="AC5" s="3615"/>
    </row>
    <row r="6" spans="1:29" ht="15.75" thickBot="1">
      <c r="A6" s="1640"/>
      <c r="B6" s="1641"/>
      <c r="C6" s="3600" t="s">
        <v>2197</v>
      </c>
      <c r="D6" s="3601"/>
      <c r="E6" s="3630" t="s">
        <v>2197</v>
      </c>
      <c r="F6" s="3631"/>
      <c r="G6" s="3600" t="s">
        <v>2197</v>
      </c>
      <c r="H6" s="3601"/>
      <c r="I6" s="3600" t="s">
        <v>2197</v>
      </c>
      <c r="J6" s="3601"/>
      <c r="K6" s="1935" t="s">
        <v>2198</v>
      </c>
      <c r="L6" s="2966"/>
      <c r="M6" s="2967"/>
      <c r="N6" s="2967"/>
      <c r="O6" s="2967"/>
      <c r="P6" s="3625"/>
      <c r="Q6" s="3626"/>
      <c r="R6" s="3608"/>
      <c r="S6" s="3609"/>
      <c r="T6" s="3610"/>
      <c r="U6" s="3611"/>
      <c r="V6" s="3627"/>
      <c r="W6" s="3627"/>
      <c r="X6" s="2044"/>
      <c r="Y6" s="3610"/>
      <c r="Z6" s="3611"/>
      <c r="AA6" s="3616"/>
      <c r="AB6" s="3627"/>
      <c r="AC6" s="3616"/>
    </row>
    <row r="7" spans="1:29" s="1654" customFormat="1" ht="15.75" thickBot="1">
      <c r="A7" s="1642" t="s">
        <v>2199</v>
      </c>
      <c r="B7" s="1643"/>
      <c r="C7" s="1644">
        <f>'数据-取费表'!B2</f>
        <v>44644</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04" t="s">
        <v>2200</v>
      </c>
      <c r="Q7" s="3612"/>
      <c r="R7" s="1650" t="s">
        <v>25</v>
      </c>
      <c r="S7" s="1651">
        <f t="shared" ref="S7:S15" si="0">F7</f>
        <v>0</v>
      </c>
      <c r="T7" s="1650" t="s">
        <v>25</v>
      </c>
      <c r="U7" s="1651">
        <f t="shared" ref="U7:U15" si="1">H7</f>
        <v>0</v>
      </c>
      <c r="V7" s="1650" t="s">
        <v>25</v>
      </c>
      <c r="W7" s="1651">
        <f t="shared" ref="W7:W15" si="2">J7</f>
        <v>0</v>
      </c>
      <c r="X7" s="1652"/>
      <c r="Y7" s="3604" t="s">
        <v>2200</v>
      </c>
      <c r="Z7" s="3605"/>
      <c r="AA7" s="1653" t="e">
        <f>D7/F7</f>
        <v>#DIV/0!</v>
      </c>
      <c r="AB7" s="1653" t="e">
        <f>D7/H7</f>
        <v>#DIV/0!</v>
      </c>
      <c r="AC7" s="1653" t="e">
        <f>D7/J7</f>
        <v>#DIV/0!</v>
      </c>
    </row>
    <row r="8" spans="1:29" s="1654" customFormat="1" ht="15.75" thickBot="1">
      <c r="A8" s="1642" t="s">
        <v>2201</v>
      </c>
      <c r="B8" s="1643"/>
      <c r="C8" s="1655" t="s">
        <v>2202</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04" t="s">
        <v>2203</v>
      </c>
      <c r="Q8" s="3605"/>
      <c r="R8" s="1650" t="s">
        <v>25</v>
      </c>
      <c r="S8" s="1651">
        <f t="shared" si="0"/>
        <v>0</v>
      </c>
      <c r="T8" s="1650" t="s">
        <v>25</v>
      </c>
      <c r="U8" s="1651">
        <f t="shared" si="1"/>
        <v>0</v>
      </c>
      <c r="V8" s="1650" t="s">
        <v>25</v>
      </c>
      <c r="W8" s="1651">
        <f t="shared" si="2"/>
        <v>0</v>
      </c>
      <c r="X8" s="1652"/>
      <c r="Y8" s="3604" t="s">
        <v>2203</v>
      </c>
      <c r="Z8" s="3605"/>
      <c r="AA8" s="1653" t="e">
        <f t="shared" ref="AA8:AA46" si="3">D8/F8</f>
        <v>#DIV/0!</v>
      </c>
      <c r="AB8" s="1653" t="e">
        <f t="shared" ref="AB8:AB46" si="4">D8/H8</f>
        <v>#DIV/0!</v>
      </c>
      <c r="AC8" s="1653" t="e">
        <f t="shared" ref="AC8:AC46" si="5">D8/J8</f>
        <v>#DIV/0!</v>
      </c>
    </row>
    <row r="9" spans="1:29" s="1654" customFormat="1">
      <c r="A9" s="2036" t="s">
        <v>2204</v>
      </c>
      <c r="B9" s="1657" t="s">
        <v>2205</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13" t="s">
        <v>2206</v>
      </c>
      <c r="Q9" s="2035" t="str">
        <f t="shared" ref="Q9:Q15" si="6">B9</f>
        <v>用途</v>
      </c>
      <c r="R9" s="1650" t="s">
        <v>25</v>
      </c>
      <c r="S9" s="1651">
        <f t="shared" si="0"/>
        <v>100</v>
      </c>
      <c r="T9" s="1650" t="s">
        <v>25</v>
      </c>
      <c r="U9" s="1651">
        <f t="shared" si="1"/>
        <v>100</v>
      </c>
      <c r="V9" s="1650" t="s">
        <v>25</v>
      </c>
      <c r="W9" s="1651">
        <f t="shared" si="2"/>
        <v>100</v>
      </c>
      <c r="X9" s="1652"/>
      <c r="Y9" s="3450"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13"/>
      <c r="Q10" s="2035" t="str">
        <f t="shared" si="6"/>
        <v>土地使用年限（年）</v>
      </c>
      <c r="R10" s="1650" t="s">
        <v>25</v>
      </c>
      <c r="S10" s="1651">
        <f t="shared" si="0"/>
        <v>100</v>
      </c>
      <c r="T10" s="1650" t="s">
        <v>25</v>
      </c>
      <c r="U10" s="1651">
        <f t="shared" si="1"/>
        <v>100</v>
      </c>
      <c r="V10" s="1650" t="s">
        <v>25</v>
      </c>
      <c r="W10" s="1651">
        <f t="shared" si="2"/>
        <v>100</v>
      </c>
      <c r="X10" s="1652"/>
      <c r="Y10" s="3450"/>
      <c r="Z10" s="1663" t="str">
        <f t="shared" si="7"/>
        <v>土地使用年限（年）</v>
      </c>
      <c r="AA10" s="1653">
        <f t="shared" si="3"/>
        <v>1</v>
      </c>
      <c r="AB10" s="1653">
        <f t="shared" si="4"/>
        <v>1</v>
      </c>
      <c r="AC10" s="1653">
        <f t="shared" si="5"/>
        <v>1</v>
      </c>
    </row>
    <row r="11" spans="1:29" ht="15">
      <c r="A11" s="1672"/>
      <c r="B11" s="1665" t="s">
        <v>2209</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13"/>
      <c r="Q11" s="2035" t="str">
        <f t="shared" si="6"/>
        <v>容积率</v>
      </c>
      <c r="R11" s="1650" t="s">
        <v>25</v>
      </c>
      <c r="S11" s="1651" t="e">
        <f t="shared" si="0"/>
        <v>#N/A</v>
      </c>
      <c r="T11" s="1650" t="s">
        <v>25</v>
      </c>
      <c r="U11" s="1651" t="e">
        <f t="shared" si="1"/>
        <v>#N/A</v>
      </c>
      <c r="V11" s="1650" t="s">
        <v>25</v>
      </c>
      <c r="W11" s="1651" t="e">
        <f t="shared" si="2"/>
        <v>#N/A</v>
      </c>
      <c r="X11" s="1652"/>
      <c r="Y11" s="3450"/>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13"/>
      <c r="Q12" s="2035">
        <f t="shared" si="6"/>
        <v>111</v>
      </c>
      <c r="R12" s="1650" t="s">
        <v>25</v>
      </c>
      <c r="S12" s="1651">
        <f t="shared" si="0"/>
        <v>100</v>
      </c>
      <c r="T12" s="1650" t="s">
        <v>25</v>
      </c>
      <c r="U12" s="1651">
        <f t="shared" si="1"/>
        <v>100</v>
      </c>
      <c r="V12" s="1650" t="s">
        <v>25</v>
      </c>
      <c r="W12" s="1651">
        <f t="shared" si="2"/>
        <v>100</v>
      </c>
      <c r="X12" s="1652"/>
      <c r="Y12" s="3450"/>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13"/>
      <c r="Q13" s="2035">
        <f t="shared" si="6"/>
        <v>111</v>
      </c>
      <c r="R13" s="1650" t="s">
        <v>25</v>
      </c>
      <c r="S13" s="1651">
        <f t="shared" si="0"/>
        <v>100</v>
      </c>
      <c r="T13" s="1650" t="s">
        <v>25</v>
      </c>
      <c r="U13" s="1651">
        <f t="shared" si="1"/>
        <v>100</v>
      </c>
      <c r="V13" s="1650" t="s">
        <v>25</v>
      </c>
      <c r="W13" s="1651">
        <f t="shared" si="2"/>
        <v>100</v>
      </c>
      <c r="X13" s="1652"/>
      <c r="Y13" s="3450"/>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13"/>
      <c r="Q14" s="2035">
        <f t="shared" si="6"/>
        <v>111</v>
      </c>
      <c r="R14" s="1650" t="s">
        <v>25</v>
      </c>
      <c r="S14" s="1651">
        <f t="shared" si="0"/>
        <v>100</v>
      </c>
      <c r="T14" s="1650" t="s">
        <v>25</v>
      </c>
      <c r="U14" s="1651">
        <f t="shared" si="1"/>
        <v>100</v>
      </c>
      <c r="V14" s="1650" t="s">
        <v>25</v>
      </c>
      <c r="W14" s="1651">
        <f t="shared" si="2"/>
        <v>100</v>
      </c>
      <c r="X14" s="1652"/>
      <c r="Y14" s="3450"/>
      <c r="Z14" s="1663">
        <f t="shared" si="7"/>
        <v>111</v>
      </c>
      <c r="AA14" s="1653">
        <f t="shared" si="3"/>
        <v>1</v>
      </c>
      <c r="AB14" s="1653">
        <f t="shared" si="4"/>
        <v>1</v>
      </c>
      <c r="AC14" s="1653">
        <f t="shared" si="5"/>
        <v>1</v>
      </c>
    </row>
    <row r="15" spans="1:29" ht="71.25">
      <c r="A15" s="1687" t="s">
        <v>2210</v>
      </c>
      <c r="B15" s="1688" t="s">
        <v>2296</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591" t="s">
        <v>2211</v>
      </c>
      <c r="Q15" s="2041" t="str">
        <f t="shared" si="6"/>
        <v>商业繁华度</v>
      </c>
      <c r="R15" s="1695" t="s">
        <v>25</v>
      </c>
      <c r="S15" s="1696">
        <f t="shared" si="0"/>
        <v>100</v>
      </c>
      <c r="T15" s="1695" t="s">
        <v>25</v>
      </c>
      <c r="U15" s="1696">
        <f t="shared" si="1"/>
        <v>100</v>
      </c>
      <c r="V15" s="1695" t="s">
        <v>25</v>
      </c>
      <c r="W15" s="1696">
        <f t="shared" si="2"/>
        <v>100</v>
      </c>
      <c r="X15" s="2044"/>
      <c r="Y15" s="3593" t="s">
        <v>2211</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592"/>
      <c r="Q16" s="2041"/>
      <c r="R16" s="1695"/>
      <c r="S16" s="1696"/>
      <c r="T16" s="1695"/>
      <c r="U16" s="1696"/>
      <c r="V16" s="1695"/>
      <c r="W16" s="1696"/>
      <c r="X16" s="2044"/>
      <c r="Y16" s="3594"/>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592"/>
      <c r="Q17" s="2041" t="str">
        <f>B17</f>
        <v>交通便捷度</v>
      </c>
      <c r="R17" s="1695" t="s">
        <v>25</v>
      </c>
      <c r="S17" s="1696">
        <f>F17</f>
        <v>100</v>
      </c>
      <c r="T17" s="1695" t="s">
        <v>25</v>
      </c>
      <c r="U17" s="1696">
        <f>H17</f>
        <v>100</v>
      </c>
      <c r="V17" s="1695" t="s">
        <v>25</v>
      </c>
      <c r="W17" s="1696">
        <f>J17</f>
        <v>100</v>
      </c>
      <c r="X17" s="2044"/>
      <c r="Y17" s="3594"/>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592"/>
      <c r="Q18" s="2041"/>
      <c r="R18" s="1695"/>
      <c r="S18" s="1696"/>
      <c r="T18" s="1695"/>
      <c r="U18" s="1696"/>
      <c r="V18" s="1695"/>
      <c r="W18" s="1696"/>
      <c r="X18" s="2044"/>
      <c r="Y18" s="3594"/>
      <c r="Z18" s="2048"/>
      <c r="AA18" s="2039">
        <v>1</v>
      </c>
      <c r="AB18" s="2039">
        <v>1</v>
      </c>
      <c r="AC18" s="2039">
        <v>1</v>
      </c>
    </row>
    <row r="19" spans="1:29" ht="42.75">
      <c r="A19" s="1672"/>
      <c r="B19" s="1707" t="s">
        <v>2297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592"/>
      <c r="Q19" s="2041" t="str">
        <f>B19</f>
        <v>公共配套设施</v>
      </c>
      <c r="R19" s="1695" t="s">
        <v>25</v>
      </c>
      <c r="S19" s="1696">
        <f>F19</f>
        <v>100</v>
      </c>
      <c r="T19" s="1695" t="s">
        <v>25</v>
      </c>
      <c r="U19" s="1696">
        <f>H19</f>
        <v>100</v>
      </c>
      <c r="V19" s="1695" t="s">
        <v>25</v>
      </c>
      <c r="W19" s="1696">
        <f>J19</f>
        <v>100</v>
      </c>
      <c r="X19" s="2044"/>
      <c r="Y19" s="3594"/>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592"/>
      <c r="Q20" s="2041"/>
      <c r="R20" s="1695"/>
      <c r="S20" s="1696"/>
      <c r="T20" s="1695"/>
      <c r="U20" s="1696"/>
      <c r="V20" s="1695"/>
      <c r="W20" s="1696"/>
      <c r="X20" s="2044"/>
      <c r="Y20" s="3594"/>
      <c r="Z20" s="2048"/>
      <c r="AA20" s="2039">
        <v>1</v>
      </c>
      <c r="AB20" s="2039">
        <v>1</v>
      </c>
      <c r="AC20" s="2039">
        <v>1</v>
      </c>
    </row>
    <row r="21" spans="1:29" ht="28.5">
      <c r="A21" s="1672"/>
      <c r="B21" s="1720" t="s">
        <v>2298</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592"/>
      <c r="Q21" s="2041" t="str">
        <f>B21</f>
        <v>基础设施水平</v>
      </c>
      <c r="R21" s="1695" t="s">
        <v>25</v>
      </c>
      <c r="S21" s="1696">
        <f>F21</f>
        <v>100</v>
      </c>
      <c r="T21" s="1695" t="s">
        <v>25</v>
      </c>
      <c r="U21" s="1696">
        <f>H21</f>
        <v>100</v>
      </c>
      <c r="V21" s="1695" t="s">
        <v>25</v>
      </c>
      <c r="W21" s="1696">
        <f>J21</f>
        <v>100</v>
      </c>
      <c r="X21" s="2044"/>
      <c r="Y21" s="3594"/>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592"/>
      <c r="Q22" s="2041"/>
      <c r="R22" s="1695"/>
      <c r="S22" s="1696"/>
      <c r="T22" s="1695"/>
      <c r="U22" s="1696"/>
      <c r="V22" s="1695"/>
      <c r="W22" s="1696"/>
      <c r="X22" s="2044"/>
      <c r="Y22" s="3594"/>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592"/>
      <c r="Q23" s="2041" t="str">
        <f>B23</f>
        <v>自然及人文环境</v>
      </c>
      <c r="R23" s="1695" t="s">
        <v>25</v>
      </c>
      <c r="S23" s="1696">
        <f>F23</f>
        <v>100</v>
      </c>
      <c r="T23" s="1695" t="s">
        <v>25</v>
      </c>
      <c r="U23" s="1696">
        <f>H23</f>
        <v>100</v>
      </c>
      <c r="V23" s="1695" t="s">
        <v>25</v>
      </c>
      <c r="W23" s="1696">
        <f>J23</f>
        <v>100</v>
      </c>
      <c r="X23" s="2044"/>
      <c r="Y23" s="3594"/>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592"/>
      <c r="Q24" s="2041"/>
      <c r="R24" s="1695"/>
      <c r="S24" s="1696"/>
      <c r="T24" s="1695"/>
      <c r="U24" s="1696"/>
      <c r="V24" s="1695"/>
      <c r="W24" s="1696"/>
      <c r="X24" s="2044"/>
      <c r="Y24" s="3594"/>
      <c r="Z24" s="2048"/>
      <c r="AA24" s="2039">
        <v>1</v>
      </c>
      <c r="AB24" s="2039">
        <v>1</v>
      </c>
      <c r="AC24" s="2039">
        <v>1</v>
      </c>
    </row>
    <row r="25" spans="1:29" ht="15">
      <c r="A25" s="1672"/>
      <c r="B25" s="1665" t="s">
        <v>2299</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592"/>
      <c r="Q25" s="2041" t="str">
        <f t="shared" ref="Q25:Q46" si="11">B25</f>
        <v>临街状况</v>
      </c>
      <c r="R25" s="1695" t="s">
        <v>25</v>
      </c>
      <c r="S25" s="1696">
        <f>F25</f>
        <v>100</v>
      </c>
      <c r="T25" s="1695" t="s">
        <v>25</v>
      </c>
      <c r="U25" s="1696">
        <f>H25</f>
        <v>100</v>
      </c>
      <c r="V25" s="1695" t="s">
        <v>25</v>
      </c>
      <c r="W25" s="1696">
        <f>J25</f>
        <v>100</v>
      </c>
      <c r="X25" s="2044"/>
      <c r="Y25" s="3594"/>
      <c r="Z25" s="2048" t="str">
        <f>Q25</f>
        <v>临街状况</v>
      </c>
      <c r="AA25" s="2039">
        <f t="shared" si="3"/>
        <v>1</v>
      </c>
      <c r="AB25" s="2039">
        <f t="shared" si="4"/>
        <v>1</v>
      </c>
      <c r="AC25" s="2039">
        <f t="shared" si="5"/>
        <v>1</v>
      </c>
    </row>
    <row r="26" spans="1:29" ht="15">
      <c r="A26" s="1672"/>
      <c r="B26" s="1730" t="s">
        <v>2300</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592"/>
      <c r="Q26" s="2041" t="str">
        <f t="shared" si="11"/>
        <v>平面位置/可视性</v>
      </c>
      <c r="R26" s="1695" t="s">
        <v>25</v>
      </c>
      <c r="S26" s="1696">
        <f>F26</f>
        <v>100</v>
      </c>
      <c r="T26" s="1695" t="s">
        <v>25</v>
      </c>
      <c r="U26" s="1696">
        <f>H26</f>
        <v>100</v>
      </c>
      <c r="V26" s="1695" t="s">
        <v>25</v>
      </c>
      <c r="W26" s="1696">
        <f>J26</f>
        <v>100</v>
      </c>
      <c r="X26" s="2044"/>
      <c r="Y26" s="3594"/>
      <c r="Z26" s="2048" t="str">
        <f>Q26</f>
        <v>平面位置/可视性</v>
      </c>
      <c r="AA26" s="2039">
        <f t="shared" si="3"/>
        <v>1</v>
      </c>
      <c r="AB26" s="2039">
        <f t="shared" si="4"/>
        <v>1</v>
      </c>
      <c r="AC26" s="2039">
        <f t="shared" si="5"/>
        <v>1</v>
      </c>
    </row>
    <row r="27" spans="1:29" s="1654" customFormat="1" ht="15">
      <c r="A27" s="1675"/>
      <c r="B27" s="1707" t="s">
        <v>2301</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592"/>
      <c r="Q27" s="2035" t="str">
        <f t="shared" si="11"/>
        <v>人流量</v>
      </c>
      <c r="R27" s="1650" t="s">
        <v>25</v>
      </c>
      <c r="S27" s="1651">
        <f>F27</f>
        <v>100</v>
      </c>
      <c r="T27" s="1650" t="s">
        <v>25</v>
      </c>
      <c r="U27" s="1651">
        <f>H27</f>
        <v>100</v>
      </c>
      <c r="V27" s="1650" t="s">
        <v>25</v>
      </c>
      <c r="W27" s="1651">
        <f>J27</f>
        <v>100</v>
      </c>
      <c r="X27" s="1652"/>
      <c r="Y27" s="3594"/>
      <c r="Z27" s="1663" t="str">
        <f>Q27</f>
        <v>人流量</v>
      </c>
      <c r="AA27" s="2039">
        <f>D27/F27</f>
        <v>1</v>
      </c>
      <c r="AB27" s="2039">
        <f>D27/H27</f>
        <v>1</v>
      </c>
      <c r="AC27" s="2039">
        <f>D27/J27</f>
        <v>1</v>
      </c>
    </row>
    <row r="28" spans="1:29" ht="15">
      <c r="A28" s="1672"/>
      <c r="B28" s="1665" t="s">
        <v>2302</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592"/>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94"/>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592"/>
      <c r="Q29" s="2041">
        <f t="shared" si="11"/>
        <v>111</v>
      </c>
      <c r="R29" s="1695" t="s">
        <v>25</v>
      </c>
      <c r="S29" s="1696">
        <f t="shared" si="12"/>
        <v>100</v>
      </c>
      <c r="T29" s="1695" t="s">
        <v>25</v>
      </c>
      <c r="U29" s="1696">
        <f t="shared" si="13"/>
        <v>100</v>
      </c>
      <c r="V29" s="1695" t="s">
        <v>25</v>
      </c>
      <c r="W29" s="1696">
        <f t="shared" si="14"/>
        <v>100</v>
      </c>
      <c r="X29" s="2044"/>
      <c r="Y29" s="3594"/>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592"/>
      <c r="Q30" s="2041">
        <f t="shared" si="11"/>
        <v>111</v>
      </c>
      <c r="R30" s="1695" t="s">
        <v>25</v>
      </c>
      <c r="S30" s="1696">
        <f t="shared" si="12"/>
        <v>100</v>
      </c>
      <c r="T30" s="1695" t="s">
        <v>25</v>
      </c>
      <c r="U30" s="1696">
        <f t="shared" si="13"/>
        <v>100</v>
      </c>
      <c r="V30" s="1695" t="s">
        <v>25</v>
      </c>
      <c r="W30" s="1696">
        <f t="shared" si="14"/>
        <v>100</v>
      </c>
      <c r="X30" s="2044"/>
      <c r="Y30" s="3594"/>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592"/>
      <c r="Q31" s="2041">
        <f t="shared" si="11"/>
        <v>111</v>
      </c>
      <c r="R31" s="1695" t="s">
        <v>25</v>
      </c>
      <c r="S31" s="1696">
        <f t="shared" si="12"/>
        <v>100</v>
      </c>
      <c r="T31" s="1695" t="s">
        <v>25</v>
      </c>
      <c r="U31" s="1696">
        <f t="shared" si="13"/>
        <v>100</v>
      </c>
      <c r="V31" s="1695" t="s">
        <v>25</v>
      </c>
      <c r="W31" s="1696">
        <f t="shared" si="14"/>
        <v>100</v>
      </c>
      <c r="X31" s="2044"/>
      <c r="Y31" s="3594"/>
      <c r="Z31" s="2048">
        <f t="shared" si="15"/>
        <v>111</v>
      </c>
      <c r="AA31" s="2039">
        <f t="shared" si="3"/>
        <v>1</v>
      </c>
      <c r="AB31" s="2039">
        <f t="shared" si="4"/>
        <v>1</v>
      </c>
      <c r="AC31" s="2039">
        <f t="shared" si="5"/>
        <v>1</v>
      </c>
    </row>
    <row r="32" spans="1:29" ht="15">
      <c r="A32" s="1687" t="s">
        <v>2215</v>
      </c>
      <c r="B32" s="1657" t="s">
        <v>2303</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595" t="s">
        <v>2217</v>
      </c>
      <c r="Q32" s="2041" t="str">
        <f t="shared" si="11"/>
        <v>商业类型</v>
      </c>
      <c r="R32" s="1695" t="s">
        <v>25</v>
      </c>
      <c r="S32" s="1696">
        <f t="shared" si="12"/>
        <v>100</v>
      </c>
      <c r="T32" s="1695" t="s">
        <v>25</v>
      </c>
      <c r="U32" s="1696">
        <f t="shared" si="13"/>
        <v>100</v>
      </c>
      <c r="V32" s="1695" t="s">
        <v>25</v>
      </c>
      <c r="W32" s="1696">
        <f t="shared" si="14"/>
        <v>100</v>
      </c>
      <c r="X32" s="2044"/>
      <c r="Y32" s="3598" t="s">
        <v>2217</v>
      </c>
      <c r="Z32" s="2048" t="str">
        <f t="shared" si="15"/>
        <v>商业类型</v>
      </c>
      <c r="AA32" s="2039">
        <f t="shared" si="3"/>
        <v>1</v>
      </c>
      <c r="AB32" s="2039">
        <f t="shared" si="4"/>
        <v>1</v>
      </c>
      <c r="AC32" s="2039">
        <f t="shared" si="5"/>
        <v>1</v>
      </c>
    </row>
    <row r="33" spans="1:29" s="1741" customFormat="1" ht="15">
      <c r="A33" s="1734"/>
      <c r="B33" s="1665" t="s">
        <v>2218</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596"/>
      <c r="Q33" s="1736" t="str">
        <f t="shared" si="11"/>
        <v>项目建筑规模</v>
      </c>
      <c r="R33" s="1737" t="s">
        <v>25</v>
      </c>
      <c r="S33" s="1738" t="e">
        <f t="shared" si="12"/>
        <v>#N/A</v>
      </c>
      <c r="T33" s="1737" t="s">
        <v>25</v>
      </c>
      <c r="U33" s="1738" t="e">
        <f t="shared" si="13"/>
        <v>#N/A</v>
      </c>
      <c r="V33" s="1737" t="s">
        <v>25</v>
      </c>
      <c r="W33" s="1738" t="e">
        <f t="shared" si="14"/>
        <v>#N/A</v>
      </c>
      <c r="X33" s="1739"/>
      <c r="Y33" s="3598"/>
      <c r="Z33" s="1740" t="str">
        <f t="shared" si="15"/>
        <v>项目建筑规模</v>
      </c>
      <c r="AA33" s="2039" t="e">
        <f t="shared" si="3"/>
        <v>#N/A</v>
      </c>
      <c r="AB33" s="2039" t="e">
        <f t="shared" si="4"/>
        <v>#N/A</v>
      </c>
      <c r="AC33" s="2039" t="e">
        <f t="shared" si="5"/>
        <v>#N/A</v>
      </c>
    </row>
    <row r="34" spans="1:29" ht="15">
      <c r="A34" s="1742"/>
      <c r="B34" s="1665" t="s">
        <v>2219</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596"/>
      <c r="Q34" s="2041" t="str">
        <f t="shared" si="11"/>
        <v>建筑结构</v>
      </c>
      <c r="R34" s="1695" t="s">
        <v>25</v>
      </c>
      <c r="S34" s="1696">
        <f t="shared" si="12"/>
        <v>100</v>
      </c>
      <c r="T34" s="1695" t="s">
        <v>25</v>
      </c>
      <c r="U34" s="1696">
        <f t="shared" si="13"/>
        <v>100</v>
      </c>
      <c r="V34" s="1695" t="s">
        <v>25</v>
      </c>
      <c r="W34" s="1696">
        <f t="shared" si="14"/>
        <v>100</v>
      </c>
      <c r="X34" s="2044"/>
      <c r="Y34" s="3598"/>
      <c r="Z34" s="2048" t="str">
        <f t="shared" si="15"/>
        <v>建筑结构</v>
      </c>
      <c r="AA34" s="2039">
        <f t="shared" si="3"/>
        <v>1</v>
      </c>
      <c r="AB34" s="2039">
        <f t="shared" si="4"/>
        <v>1</v>
      </c>
      <c r="AC34" s="2039">
        <f t="shared" si="5"/>
        <v>1</v>
      </c>
    </row>
    <row r="35" spans="1:29" ht="15">
      <c r="A35" s="1742"/>
      <c r="B35" s="1665" t="s">
        <v>2304</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596"/>
      <c r="Q35" s="2041" t="str">
        <f t="shared" si="11"/>
        <v>公共部分装修</v>
      </c>
      <c r="R35" s="1695" t="s">
        <v>25</v>
      </c>
      <c r="S35" s="1696">
        <f t="shared" si="12"/>
        <v>100</v>
      </c>
      <c r="T35" s="1695" t="s">
        <v>25</v>
      </c>
      <c r="U35" s="1696">
        <f t="shared" si="13"/>
        <v>100</v>
      </c>
      <c r="V35" s="1695" t="s">
        <v>25</v>
      </c>
      <c r="W35" s="1696">
        <f t="shared" si="14"/>
        <v>100</v>
      </c>
      <c r="X35" s="2044"/>
      <c r="Y35" s="3598"/>
      <c r="Z35" s="2048" t="str">
        <f t="shared" si="15"/>
        <v>公共部分装修</v>
      </c>
      <c r="AA35" s="2039">
        <f t="shared" si="3"/>
        <v>1</v>
      </c>
      <c r="AB35" s="2039">
        <f t="shared" si="4"/>
        <v>1</v>
      </c>
      <c r="AC35" s="2039">
        <f t="shared" si="5"/>
        <v>1</v>
      </c>
    </row>
    <row r="36" spans="1:29" ht="15">
      <c r="A36" s="1742"/>
      <c r="B36" s="1665" t="s">
        <v>2305</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596"/>
      <c r="Q36" s="2041" t="str">
        <f t="shared" si="11"/>
        <v>成新度</v>
      </c>
      <c r="R36" s="1695" t="s">
        <v>25</v>
      </c>
      <c r="S36" s="1696" t="e">
        <f t="shared" si="12"/>
        <v>#N/A</v>
      </c>
      <c r="T36" s="1695" t="s">
        <v>25</v>
      </c>
      <c r="U36" s="1696" t="e">
        <f t="shared" si="13"/>
        <v>#N/A</v>
      </c>
      <c r="V36" s="1695" t="s">
        <v>25</v>
      </c>
      <c r="W36" s="1696" t="e">
        <f t="shared" si="14"/>
        <v>#N/A</v>
      </c>
      <c r="X36" s="2044"/>
      <c r="Y36" s="3598"/>
      <c r="Z36" s="2048" t="str">
        <f t="shared" si="15"/>
        <v>成新度</v>
      </c>
      <c r="AA36" s="2039" t="e">
        <f t="shared" si="3"/>
        <v>#N/A</v>
      </c>
      <c r="AB36" s="2039" t="e">
        <f t="shared" si="4"/>
        <v>#N/A</v>
      </c>
      <c r="AC36" s="2039" t="e">
        <f t="shared" si="5"/>
        <v>#N/A</v>
      </c>
    </row>
    <row r="37" spans="1:29" s="1654" customFormat="1" ht="15">
      <c r="A37" s="1745"/>
      <c r="B37" s="1665" t="s">
        <v>2306</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596"/>
      <c r="Q37" s="2035" t="str">
        <f t="shared" si="11"/>
        <v>市政基础设施</v>
      </c>
      <c r="R37" s="1650" t="s">
        <v>25</v>
      </c>
      <c r="S37" s="1651">
        <f t="shared" si="12"/>
        <v>100</v>
      </c>
      <c r="T37" s="1650" t="s">
        <v>25</v>
      </c>
      <c r="U37" s="1651">
        <f t="shared" si="13"/>
        <v>100</v>
      </c>
      <c r="V37" s="1650" t="s">
        <v>25</v>
      </c>
      <c r="W37" s="1651">
        <f t="shared" si="14"/>
        <v>100</v>
      </c>
      <c r="X37" s="1652"/>
      <c r="Y37" s="3598"/>
      <c r="Z37" s="1663" t="str">
        <f t="shared" si="15"/>
        <v>市政基础设施</v>
      </c>
      <c r="AA37" s="1653">
        <f t="shared" si="3"/>
        <v>1</v>
      </c>
      <c r="AB37" s="1653">
        <f t="shared" si="4"/>
        <v>1</v>
      </c>
      <c r="AC37" s="1653">
        <f t="shared" si="5"/>
        <v>1</v>
      </c>
    </row>
    <row r="38" spans="1:29" ht="15">
      <c r="A38" s="1742"/>
      <c r="B38" s="1665" t="s">
        <v>2307</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596" t="s">
        <v>2217</v>
      </c>
      <c r="Q38" s="2041" t="str">
        <f t="shared" si="11"/>
        <v>业态</v>
      </c>
      <c r="R38" s="1695" t="s">
        <v>25</v>
      </c>
      <c r="S38" s="1696">
        <f t="shared" si="12"/>
        <v>100</v>
      </c>
      <c r="T38" s="1695" t="s">
        <v>25</v>
      </c>
      <c r="U38" s="1696">
        <f t="shared" si="13"/>
        <v>100</v>
      </c>
      <c r="V38" s="1695" t="s">
        <v>25</v>
      </c>
      <c r="W38" s="1696">
        <f t="shared" si="14"/>
        <v>100</v>
      </c>
      <c r="X38" s="2044"/>
      <c r="Y38" s="3598" t="s">
        <v>2217</v>
      </c>
      <c r="Z38" s="2048" t="str">
        <f t="shared" si="15"/>
        <v>业态</v>
      </c>
      <c r="AA38" s="2039">
        <f t="shared" si="3"/>
        <v>1</v>
      </c>
      <c r="AB38" s="2039">
        <f t="shared" si="4"/>
        <v>1</v>
      </c>
      <c r="AC38" s="2039">
        <f t="shared" si="5"/>
        <v>1</v>
      </c>
    </row>
    <row r="39" spans="1:29" ht="15">
      <c r="A39" s="1742"/>
      <c r="B39" s="1665" t="s">
        <v>2308</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596"/>
      <c r="Q39" s="2041" t="str">
        <f t="shared" si="11"/>
        <v>层高</v>
      </c>
      <c r="R39" s="1695" t="s">
        <v>25</v>
      </c>
      <c r="S39" s="1696">
        <f t="shared" si="12"/>
        <v>100</v>
      </c>
      <c r="T39" s="1695" t="s">
        <v>25</v>
      </c>
      <c r="U39" s="1696">
        <f t="shared" si="13"/>
        <v>100</v>
      </c>
      <c r="V39" s="1695" t="s">
        <v>25</v>
      </c>
      <c r="W39" s="1696">
        <f t="shared" si="14"/>
        <v>100</v>
      </c>
      <c r="X39" s="2044"/>
      <c r="Y39" s="3598"/>
      <c r="Z39" s="2048" t="str">
        <f t="shared" si="15"/>
        <v>层高</v>
      </c>
      <c r="AA39" s="2039">
        <f t="shared" si="3"/>
        <v>1</v>
      </c>
      <c r="AB39" s="2039">
        <f t="shared" si="4"/>
        <v>1</v>
      </c>
      <c r="AC39" s="2039">
        <f t="shared" si="5"/>
        <v>1</v>
      </c>
    </row>
    <row r="40" spans="1:29" ht="15">
      <c r="A40" s="1742"/>
      <c r="B40" s="1665" t="s">
        <v>2309</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596"/>
      <c r="Q40" s="2041" t="str">
        <f t="shared" si="11"/>
        <v>单套建筑面积</v>
      </c>
      <c r="R40" s="1695" t="s">
        <v>25</v>
      </c>
      <c r="S40" s="1696">
        <f t="shared" si="12"/>
        <v>100</v>
      </c>
      <c r="T40" s="1695" t="s">
        <v>25</v>
      </c>
      <c r="U40" s="1696">
        <f t="shared" si="13"/>
        <v>100</v>
      </c>
      <c r="V40" s="1695" t="s">
        <v>25</v>
      </c>
      <c r="W40" s="1696">
        <f t="shared" si="14"/>
        <v>100</v>
      </c>
      <c r="X40" s="2044"/>
      <c r="Y40" s="3598"/>
      <c r="Z40" s="2048" t="str">
        <f t="shared" si="15"/>
        <v>单套建筑面积</v>
      </c>
      <c r="AA40" s="2039">
        <f t="shared" si="3"/>
        <v>1</v>
      </c>
      <c r="AB40" s="2039">
        <f t="shared" si="4"/>
        <v>1</v>
      </c>
      <c r="AC40" s="2039">
        <f t="shared" si="5"/>
        <v>1</v>
      </c>
    </row>
    <row r="41" spans="1:29" s="1741" customFormat="1" ht="15">
      <c r="A41" s="1734"/>
      <c r="B41" s="2040" t="s">
        <v>2310</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596"/>
      <c r="Q41" s="1736" t="str">
        <f t="shared" si="11"/>
        <v>进深比</v>
      </c>
      <c r="R41" s="1737" t="s">
        <v>25</v>
      </c>
      <c r="S41" s="1738">
        <f t="shared" si="12"/>
        <v>100</v>
      </c>
      <c r="T41" s="1737" t="s">
        <v>25</v>
      </c>
      <c r="U41" s="1738">
        <f t="shared" si="13"/>
        <v>100</v>
      </c>
      <c r="V41" s="1737" t="s">
        <v>25</v>
      </c>
      <c r="W41" s="1738">
        <f t="shared" si="14"/>
        <v>100</v>
      </c>
      <c r="X41" s="1739"/>
      <c r="Y41" s="3598"/>
      <c r="Z41" s="1740" t="str">
        <f t="shared" si="15"/>
        <v>进深比</v>
      </c>
      <c r="AA41" s="2039">
        <f t="shared" si="3"/>
        <v>1</v>
      </c>
      <c r="AB41" s="2039">
        <f t="shared" si="4"/>
        <v>1</v>
      </c>
      <c r="AC41" s="2039">
        <f t="shared" si="5"/>
        <v>1</v>
      </c>
    </row>
    <row r="42" spans="1:29" ht="15">
      <c r="A42" s="1742"/>
      <c r="B42" s="1665" t="s">
        <v>2311</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596"/>
      <c r="Q42" s="2041" t="str">
        <f t="shared" si="11"/>
        <v>内部装修</v>
      </c>
      <c r="R42" s="1695" t="s">
        <v>25</v>
      </c>
      <c r="S42" s="1696">
        <f t="shared" si="12"/>
        <v>100</v>
      </c>
      <c r="T42" s="1695" t="s">
        <v>25</v>
      </c>
      <c r="U42" s="1696">
        <f t="shared" si="13"/>
        <v>100</v>
      </c>
      <c r="V42" s="1695" t="s">
        <v>25</v>
      </c>
      <c r="W42" s="1696">
        <f t="shared" si="14"/>
        <v>100</v>
      </c>
      <c r="X42" s="2044"/>
      <c r="Y42" s="3598"/>
      <c r="Z42" s="2048" t="str">
        <f t="shared" si="15"/>
        <v>内部装修</v>
      </c>
      <c r="AA42" s="2039">
        <f t="shared" si="3"/>
        <v>1</v>
      </c>
      <c r="AB42" s="2039">
        <f t="shared" si="4"/>
        <v>1</v>
      </c>
      <c r="AC42" s="2039">
        <f t="shared" si="5"/>
        <v>1</v>
      </c>
    </row>
    <row r="43" spans="1:29" ht="15">
      <c r="A43" s="1742"/>
      <c r="B43" s="1665" t="s">
        <v>2228</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596"/>
      <c r="Q43" s="2041" t="str">
        <f t="shared" si="11"/>
        <v>内部装修维护情况</v>
      </c>
      <c r="R43" s="1695" t="s">
        <v>25</v>
      </c>
      <c r="S43" s="1696">
        <f t="shared" si="12"/>
        <v>100</v>
      </c>
      <c r="T43" s="1695" t="s">
        <v>25</v>
      </c>
      <c r="U43" s="1696">
        <f t="shared" si="13"/>
        <v>100</v>
      </c>
      <c r="V43" s="1695" t="s">
        <v>25</v>
      </c>
      <c r="W43" s="1696">
        <f t="shared" si="14"/>
        <v>100</v>
      </c>
      <c r="X43" s="2044"/>
      <c r="Y43" s="3598"/>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596"/>
      <c r="Q44" s="2035">
        <f t="shared" si="11"/>
        <v>111</v>
      </c>
      <c r="R44" s="1650" t="s">
        <v>25</v>
      </c>
      <c r="S44" s="1651">
        <f t="shared" si="12"/>
        <v>100</v>
      </c>
      <c r="T44" s="1650" t="s">
        <v>25</v>
      </c>
      <c r="U44" s="1651">
        <f t="shared" si="13"/>
        <v>100</v>
      </c>
      <c r="V44" s="1650" t="s">
        <v>25</v>
      </c>
      <c r="W44" s="1651">
        <f t="shared" si="14"/>
        <v>100</v>
      </c>
      <c r="X44" s="1652"/>
      <c r="Y44" s="359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596"/>
      <c r="Q45" s="2041">
        <f t="shared" si="11"/>
        <v>111</v>
      </c>
      <c r="R45" s="1695" t="s">
        <v>25</v>
      </c>
      <c r="S45" s="1696">
        <f t="shared" si="12"/>
        <v>100</v>
      </c>
      <c r="T45" s="1695" t="s">
        <v>25</v>
      </c>
      <c r="U45" s="1696">
        <f t="shared" si="13"/>
        <v>100</v>
      </c>
      <c r="V45" s="1695" t="s">
        <v>25</v>
      </c>
      <c r="W45" s="1696">
        <f t="shared" si="14"/>
        <v>100</v>
      </c>
      <c r="X45" s="2044"/>
      <c r="Y45" s="3598"/>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597"/>
      <c r="Q46" s="2041">
        <f t="shared" si="11"/>
        <v>111</v>
      </c>
      <c r="R46" s="1695" t="s">
        <v>25</v>
      </c>
      <c r="S46" s="1696">
        <f t="shared" si="12"/>
        <v>100</v>
      </c>
      <c r="T46" s="1695" t="s">
        <v>25</v>
      </c>
      <c r="U46" s="1696">
        <f t="shared" si="13"/>
        <v>100</v>
      </c>
      <c r="V46" s="1695" t="s">
        <v>25</v>
      </c>
      <c r="W46" s="1696">
        <f t="shared" si="14"/>
        <v>100</v>
      </c>
      <c r="X46" s="2044"/>
      <c r="Y46" s="3599"/>
      <c r="Z46" s="2048">
        <f t="shared" si="15"/>
        <v>111</v>
      </c>
      <c r="AA46" s="2039">
        <f t="shared" si="3"/>
        <v>1</v>
      </c>
      <c r="AB46" s="2039">
        <f t="shared" si="4"/>
        <v>1</v>
      </c>
      <c r="AC46" s="2039">
        <f t="shared" si="5"/>
        <v>1</v>
      </c>
    </row>
    <row r="47" spans="1:29" ht="15">
      <c r="A47" s="1751" t="s">
        <v>2229</v>
      </c>
      <c r="B47" s="1752"/>
      <c r="C47" s="1753" t="s">
        <v>1</v>
      </c>
      <c r="D47" s="1754"/>
      <c r="E47" s="1755"/>
      <c r="F47" s="1756"/>
      <c r="G47" s="1757"/>
      <c r="H47" s="1758"/>
      <c r="I47" s="1755"/>
      <c r="J47" s="1758"/>
      <c r="K47" s="1983"/>
      <c r="L47" s="2972"/>
      <c r="N47" s="2967"/>
      <c r="P47" s="3590" t="str">
        <f>A47</f>
        <v>成交单价（元/平方米）</v>
      </c>
      <c r="Q47" s="3590"/>
      <c r="R47" s="3586">
        <f>E47</f>
        <v>0</v>
      </c>
      <c r="S47" s="3586"/>
      <c r="T47" s="3586">
        <f>G47</f>
        <v>0</v>
      </c>
      <c r="U47" s="3586"/>
      <c r="V47" s="3586">
        <f>I47</f>
        <v>0</v>
      </c>
      <c r="W47" s="3586"/>
      <c r="X47" s="1761"/>
      <c r="Y47" s="2043"/>
      <c r="Z47" s="1761"/>
      <c r="AA47" s="1761"/>
      <c r="AB47" s="1761"/>
      <c r="AC47" s="1761"/>
    </row>
    <row r="48" spans="1:29" ht="15.75" thickBot="1">
      <c r="A48" s="1763" t="s">
        <v>2312</v>
      </c>
      <c r="B48" s="1764"/>
      <c r="C48" s="1765" t="e">
        <f>R49</f>
        <v>#DIV/0!</v>
      </c>
      <c r="D48" s="1766" t="s">
        <v>2685</v>
      </c>
      <c r="E48" s="1767" t="e">
        <f>R48</f>
        <v>#DIV/0!</v>
      </c>
      <c r="F48" s="1768"/>
      <c r="G48" s="1765" t="e">
        <f>T48</f>
        <v>#DIV/0!</v>
      </c>
      <c r="H48" s="1768"/>
      <c r="I48" s="1767" t="e">
        <f>V48</f>
        <v>#DIV/0!</v>
      </c>
      <c r="J48" s="1768"/>
      <c r="K48" s="2480">
        <f>F48+H48+J48</f>
        <v>0</v>
      </c>
      <c r="L48" s="2972"/>
      <c r="N48" s="2967"/>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61"/>
      <c r="Y48" s="1761"/>
      <c r="Z48" s="1761"/>
      <c r="AA48" s="1761"/>
      <c r="AB48" s="1761"/>
      <c r="AC48" s="1761"/>
    </row>
    <row r="49" spans="1:29" ht="15.75" thickBot="1">
      <c r="A49" s="1769" t="s">
        <v>2313</v>
      </c>
      <c r="B49" s="1770"/>
      <c r="C49" s="1772" t="e">
        <f>R49</f>
        <v>#DIV/0!</v>
      </c>
      <c r="D49" s="1772"/>
      <c r="E49" s="1772"/>
      <c r="F49" s="1772"/>
      <c r="G49" s="1772"/>
      <c r="H49" s="1772"/>
      <c r="I49" s="1772"/>
      <c r="J49" s="1772"/>
      <c r="K49" s="1988"/>
      <c r="L49" s="2972"/>
      <c r="N49" s="2967"/>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2317</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2199</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2237</v>
      </c>
      <c r="B60" s="1805"/>
      <c r="C60" s="1806"/>
      <c r="D60" s="1807"/>
      <c r="E60" s="1807"/>
      <c r="F60" s="1807"/>
      <c r="G60" s="1807"/>
      <c r="H60" s="1807"/>
      <c r="I60" s="1807"/>
      <c r="J60" s="1807"/>
      <c r="K60" s="1807"/>
      <c r="L60" s="1807"/>
      <c r="M60" s="1808"/>
      <c r="N60" s="1807"/>
      <c r="O60" s="1808"/>
      <c r="P60" s="1803"/>
      <c r="Q60" s="1791"/>
    </row>
    <row r="61" spans="1:29" s="1654" customFormat="1" ht="15">
      <c r="A61" s="1809" t="s">
        <v>2201</v>
      </c>
      <c r="B61" s="1799"/>
      <c r="C61" s="1810" t="s">
        <v>2202</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2240</v>
      </c>
      <c r="B63" s="1817" t="s">
        <v>2205</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2208</v>
      </c>
      <c r="C65" s="1829" t="s">
        <v>2241</v>
      </c>
      <c r="D65" s="1829" t="s">
        <v>2242</v>
      </c>
      <c r="E65" s="1829" t="s">
        <v>2243</v>
      </c>
      <c r="F65" s="1829" t="s">
        <v>2244</v>
      </c>
      <c r="G65" s="1829" t="s">
        <v>2245</v>
      </c>
      <c r="H65" s="1829" t="s">
        <v>2246</v>
      </c>
      <c r="I65" s="1829" t="s">
        <v>2247</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2209</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2210</v>
      </c>
      <c r="B76" s="1817" t="s">
        <v>2248</v>
      </c>
      <c r="C76" s="1855" t="s">
        <v>2249</v>
      </c>
      <c r="D76" s="1855" t="s">
        <v>2250</v>
      </c>
      <c r="E76" s="1855" t="s">
        <v>2251</v>
      </c>
      <c r="F76" s="1855" t="s">
        <v>2252</v>
      </c>
      <c r="G76" s="1855" t="s">
        <v>2253</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2254</v>
      </c>
      <c r="C78" s="579" t="s">
        <v>2249</v>
      </c>
      <c r="D78" s="579" t="s">
        <v>2250</v>
      </c>
      <c r="E78" s="579" t="s">
        <v>2251</v>
      </c>
      <c r="F78" s="579" t="s">
        <v>2252</v>
      </c>
      <c r="G78" s="579" t="s">
        <v>2253</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2255</v>
      </c>
      <c r="C80" s="579" t="s">
        <v>2249</v>
      </c>
      <c r="D80" s="579" t="s">
        <v>2250</v>
      </c>
      <c r="E80" s="579" t="s">
        <v>2251</v>
      </c>
      <c r="F80" s="579" t="s">
        <v>2252</v>
      </c>
      <c r="G80" s="579" t="s">
        <v>2253</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2298</v>
      </c>
      <c r="C82" s="1829" t="s">
        <v>2256</v>
      </c>
      <c r="D82" s="1829" t="s">
        <v>2257</v>
      </c>
      <c r="E82" s="1829" t="s">
        <v>2258</v>
      </c>
      <c r="F82" s="1829" t="s">
        <v>2259</v>
      </c>
      <c r="G82" s="1829" t="s">
        <v>2260</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2261</v>
      </c>
      <c r="C84" s="579" t="s">
        <v>2249</v>
      </c>
      <c r="D84" s="579" t="s">
        <v>2250</v>
      </c>
      <c r="E84" s="579" t="s">
        <v>2251</v>
      </c>
      <c r="F84" s="579" t="s">
        <v>2252</v>
      </c>
      <c r="G84" s="579" t="s">
        <v>2253</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2318</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2215</v>
      </c>
      <c r="B100" s="1817" t="s">
        <v>2319</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2266</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2268</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2271</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2320</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2321</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2322</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2323</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2273</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2274</v>
      </c>
      <c r="C124" s="579" t="s">
        <v>2249</v>
      </c>
      <c r="D124" s="579" t="s">
        <v>2250</v>
      </c>
      <c r="E124" s="579" t="s">
        <v>2251</v>
      </c>
      <c r="F124" s="579" t="s">
        <v>2252</v>
      </c>
      <c r="G124" s="579" t="s">
        <v>2253</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60" zoomScaleSheetLayoutView="85" workbookViewId="0">
      <selection activeCell="L16" sqref="L16"/>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2324</v>
      </c>
      <c r="C1" s="1608" t="s">
        <v>3012</v>
      </c>
      <c r="D1" s="1607"/>
      <c r="E1" s="1610" t="s">
        <v>2686</v>
      </c>
      <c r="F1" s="1611" t="s">
        <v>2184</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7226873</v>
      </c>
      <c r="C2" s="1620" t="str">
        <f>'数据-取费表'!B3</f>
        <v>元</v>
      </c>
      <c r="D2" s="1621" t="s">
        <v>1184</v>
      </c>
      <c r="E2" s="2457" t="e">
        <f ca="1">SUMIF(INDIRECT("'"&amp;G2&amp;"'"&amp;"!A:A"),"承租人权益价值",INDIRECT("'"&amp;G2&amp;"'"&amp;"!c:c"))</f>
        <v>#REF!</v>
      </c>
      <c r="F2" s="1623" t="str">
        <f>C2</f>
        <v>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33198</v>
      </c>
      <c r="C3" s="1629" t="s">
        <v>2185</v>
      </c>
      <c r="D3" s="1629">
        <f>IF(C1="仅计算典型户型",'数据-取费表'!E5,'数据-取费表'!B5)</f>
        <v>217.69</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2186</v>
      </c>
      <c r="B4" s="1633"/>
      <c r="C4" s="3617" t="s">
        <v>2187</v>
      </c>
      <c r="D4" s="3618"/>
      <c r="E4" s="3619" t="s">
        <v>2188</v>
      </c>
      <c r="F4" s="3620"/>
      <c r="G4" s="3617" t="s">
        <v>2189</v>
      </c>
      <c r="H4" s="3618"/>
      <c r="I4" s="3617" t="s">
        <v>2190</v>
      </c>
      <c r="J4" s="3618"/>
      <c r="K4" s="1935" t="s">
        <v>2191</v>
      </c>
      <c r="L4" s="2966"/>
      <c r="M4" s="2967"/>
      <c r="N4" s="2967"/>
      <c r="O4" s="2967"/>
      <c r="P4" s="3621" t="s">
        <v>2192</v>
      </c>
      <c r="Q4" s="3622"/>
      <c r="R4" s="3606" t="s">
        <v>2188</v>
      </c>
      <c r="S4" s="3607"/>
      <c r="T4" s="3606" t="s">
        <v>2189</v>
      </c>
      <c r="U4" s="3607"/>
      <c r="V4" s="3627" t="s">
        <v>2190</v>
      </c>
      <c r="W4" s="3627"/>
      <c r="X4" s="2044"/>
      <c r="Y4" s="3606" t="s">
        <v>2192</v>
      </c>
      <c r="Z4" s="3607"/>
      <c r="AA4" s="3614" t="s">
        <v>2188</v>
      </c>
      <c r="AB4" s="3614" t="s">
        <v>2189</v>
      </c>
      <c r="AC4" s="3614" t="s">
        <v>2190</v>
      </c>
    </row>
    <row r="5" spans="1:29" ht="15">
      <c r="A5" s="1637"/>
      <c r="B5" s="1638"/>
      <c r="C5" s="3602" t="s">
        <v>2193</v>
      </c>
      <c r="D5" s="3603"/>
      <c r="E5" s="3633" t="s">
        <v>3013</v>
      </c>
      <c r="F5" s="3629"/>
      <c r="G5" s="3633" t="s">
        <v>3013</v>
      </c>
      <c r="H5" s="3629"/>
      <c r="I5" s="3634" t="s">
        <v>3014</v>
      </c>
      <c r="J5" s="3603"/>
      <c r="K5" s="1935"/>
      <c r="L5" s="2966"/>
      <c r="M5" s="2967"/>
      <c r="N5" s="2967"/>
      <c r="O5" s="2967"/>
      <c r="P5" s="3623"/>
      <c r="Q5" s="3624"/>
      <c r="R5" s="3608"/>
      <c r="S5" s="3609"/>
      <c r="T5" s="3608"/>
      <c r="U5" s="3609"/>
      <c r="V5" s="3627"/>
      <c r="W5" s="3627"/>
      <c r="X5" s="2044"/>
      <c r="Y5" s="3608"/>
      <c r="Z5" s="3609"/>
      <c r="AA5" s="3615"/>
      <c r="AB5" s="3615"/>
      <c r="AC5" s="3615"/>
    </row>
    <row r="6" spans="1:29" ht="15.75" thickBot="1">
      <c r="A6" s="1640"/>
      <c r="B6" s="1641"/>
      <c r="C6" s="3600" t="s">
        <v>2197</v>
      </c>
      <c r="D6" s="3601"/>
      <c r="E6" s="3630" t="s">
        <v>2197</v>
      </c>
      <c r="F6" s="3631"/>
      <c r="G6" s="3600" t="s">
        <v>2197</v>
      </c>
      <c r="H6" s="3601"/>
      <c r="I6" s="3600" t="s">
        <v>2197</v>
      </c>
      <c r="J6" s="3601"/>
      <c r="K6" s="1935" t="s">
        <v>2198</v>
      </c>
      <c r="L6" s="2966"/>
      <c r="M6" s="2967"/>
      <c r="N6" s="2967"/>
      <c r="O6" s="2967"/>
      <c r="P6" s="3625"/>
      <c r="Q6" s="3626"/>
      <c r="R6" s="3608"/>
      <c r="S6" s="3609"/>
      <c r="T6" s="3610"/>
      <c r="U6" s="3611"/>
      <c r="V6" s="3627"/>
      <c r="W6" s="3627"/>
      <c r="X6" s="2044"/>
      <c r="Y6" s="3610"/>
      <c r="Z6" s="3611"/>
      <c r="AA6" s="3616"/>
      <c r="AB6" s="3616"/>
      <c r="AC6" s="3616"/>
    </row>
    <row r="7" spans="1:29" s="1654" customFormat="1" ht="15.75" thickBot="1">
      <c r="A7" s="1642" t="s">
        <v>2199</v>
      </c>
      <c r="B7" s="1643"/>
      <c r="C7" s="1644">
        <f>'数据-取费表'!B2</f>
        <v>44644</v>
      </c>
      <c r="D7" s="1645">
        <v>100</v>
      </c>
      <c r="E7" s="1646">
        <v>44621</v>
      </c>
      <c r="F7" s="1647">
        <f>SUMIF(59:59,YEAR(E7)&amp;"-"&amp;MONTH(E7),60:60)</f>
        <v>100</v>
      </c>
      <c r="G7" s="1646">
        <v>44621</v>
      </c>
      <c r="H7" s="1645">
        <f>SUMIF(59:59,YEAR(G7)&amp;"-"&amp;MONTH(G7),60:60)</f>
        <v>100</v>
      </c>
      <c r="I7" s="1646">
        <v>44621</v>
      </c>
      <c r="J7" s="1645">
        <f>SUMIF(59:59,YEAR(I7)&amp;"-"&amp;MONTH(I7),60:60)</f>
        <v>100</v>
      </c>
      <c r="K7" s="1937"/>
      <c r="L7" s="2966"/>
      <c r="M7" s="2939"/>
      <c r="N7" s="2939"/>
      <c r="O7" s="2939"/>
      <c r="P7" s="3604" t="s">
        <v>2200</v>
      </c>
      <c r="Q7" s="3612"/>
      <c r="R7" s="1650" t="s">
        <v>25</v>
      </c>
      <c r="S7" s="1651">
        <f t="shared" ref="S7:S15" si="0">F7</f>
        <v>100</v>
      </c>
      <c r="T7" s="1650" t="s">
        <v>25</v>
      </c>
      <c r="U7" s="1651">
        <f t="shared" ref="U7:U15" si="1">H7</f>
        <v>100</v>
      </c>
      <c r="V7" s="1650" t="s">
        <v>25</v>
      </c>
      <c r="W7" s="1651">
        <f t="shared" ref="W7:W15" si="2">J7</f>
        <v>100</v>
      </c>
      <c r="X7" s="1652"/>
      <c r="Y7" s="3604" t="s">
        <v>2200</v>
      </c>
      <c r="Z7" s="3605"/>
      <c r="AA7" s="1653">
        <f>D7/F7</f>
        <v>1</v>
      </c>
      <c r="AB7" s="1653">
        <f>D7/H7</f>
        <v>1</v>
      </c>
      <c r="AC7" s="1653">
        <f>D7/J7</f>
        <v>1</v>
      </c>
    </row>
    <row r="8" spans="1:29" s="1654" customFormat="1" ht="15.75" thickBot="1">
      <c r="A8" s="1642" t="s">
        <v>2201</v>
      </c>
      <c r="B8" s="1643"/>
      <c r="C8" s="1655" t="s">
        <v>2202</v>
      </c>
      <c r="D8" s="1645">
        <v>100</v>
      </c>
      <c r="E8" s="1655" t="s">
        <v>2202</v>
      </c>
      <c r="F8" s="1647">
        <f>SUMIF(62:62,E8,63:63)-SUMIF(62:62,C8,63:63)+100</f>
        <v>100</v>
      </c>
      <c r="G8" s="1655" t="s">
        <v>2202</v>
      </c>
      <c r="H8" s="1645">
        <f>SUMIF(62:62,G8,63:63)-SUMIF(62:62,C8,63:63)+100</f>
        <v>100</v>
      </c>
      <c r="I8" s="1655" t="s">
        <v>2202</v>
      </c>
      <c r="J8" s="1645">
        <f>SUMIF(62:62,I8,63:63)-SUMIF(62:62,C8,63:63)+100</f>
        <v>100</v>
      </c>
      <c r="K8" s="1937"/>
      <c r="L8" s="2966"/>
      <c r="M8" s="2939"/>
      <c r="N8" s="2939"/>
      <c r="O8" s="2939"/>
      <c r="P8" s="3604" t="s">
        <v>2203</v>
      </c>
      <c r="Q8" s="3605"/>
      <c r="R8" s="1650" t="s">
        <v>25</v>
      </c>
      <c r="S8" s="1651">
        <f t="shared" si="0"/>
        <v>100</v>
      </c>
      <c r="T8" s="1650" t="s">
        <v>25</v>
      </c>
      <c r="U8" s="1651">
        <f t="shared" si="1"/>
        <v>100</v>
      </c>
      <c r="V8" s="1650" t="s">
        <v>25</v>
      </c>
      <c r="W8" s="1651">
        <f t="shared" si="2"/>
        <v>100</v>
      </c>
      <c r="X8" s="1652"/>
      <c r="Y8" s="3604" t="s">
        <v>2203</v>
      </c>
      <c r="Z8" s="3605"/>
      <c r="AA8" s="1653">
        <f t="shared" ref="AA8:AA47" si="3">D8/F8</f>
        <v>1</v>
      </c>
      <c r="AB8" s="1653">
        <f t="shared" ref="AB8:AB47" si="4">D8/H8</f>
        <v>1</v>
      </c>
      <c r="AC8" s="1653">
        <f t="shared" ref="AC8:AC47" si="5">D8/J8</f>
        <v>1</v>
      </c>
    </row>
    <row r="9" spans="1:29" s="1654" customFormat="1">
      <c r="A9" s="2036" t="s">
        <v>2204</v>
      </c>
      <c r="B9" s="1657" t="s">
        <v>2205</v>
      </c>
      <c r="C9" s="3318" t="s">
        <v>3015</v>
      </c>
      <c r="D9" s="1659">
        <v>100</v>
      </c>
      <c r="E9" s="1662" t="s">
        <v>3004</v>
      </c>
      <c r="F9" s="1659">
        <f>SUMIF(64:64,E9,65:65)-SUMIF(64:64,C9,65:65)+100</f>
        <v>100</v>
      </c>
      <c r="G9" s="1662" t="s">
        <v>3004</v>
      </c>
      <c r="H9" s="1659">
        <f>SUMIF(64:64,G9,65:65)-SUMIF(64:64,C9,65:65)+100</f>
        <v>100</v>
      </c>
      <c r="I9" s="1662" t="s">
        <v>3004</v>
      </c>
      <c r="J9" s="1659">
        <f>SUMIF(64:64,I9,65:65)-SUMIF(64:64,C9,65:65)+100</f>
        <v>100</v>
      </c>
      <c r="K9" s="1937"/>
      <c r="L9" s="2966"/>
      <c r="M9" s="2939"/>
      <c r="N9" s="2939"/>
      <c r="O9" s="2939"/>
      <c r="P9" s="3590" t="s">
        <v>2206</v>
      </c>
      <c r="Q9" s="2884" t="str">
        <f t="shared" ref="Q9:Q15" si="6">B9</f>
        <v>用途</v>
      </c>
      <c r="R9" s="1650" t="s">
        <v>25</v>
      </c>
      <c r="S9" s="1651">
        <f t="shared" si="0"/>
        <v>100</v>
      </c>
      <c r="T9" s="1650" t="s">
        <v>25</v>
      </c>
      <c r="U9" s="1651">
        <f t="shared" si="1"/>
        <v>100</v>
      </c>
      <c r="V9" s="1650" t="s">
        <v>25</v>
      </c>
      <c r="W9" s="1651">
        <f t="shared" si="2"/>
        <v>100</v>
      </c>
      <c r="X9" s="1652"/>
      <c r="Y9" s="3450" t="s">
        <v>2207</v>
      </c>
      <c r="Z9" s="1663" t="str">
        <f t="shared" ref="Z9:Z15" si="7">Q9</f>
        <v>用途</v>
      </c>
      <c r="AA9" s="1653">
        <f t="shared" si="3"/>
        <v>1</v>
      </c>
      <c r="AB9" s="1653">
        <f t="shared" si="4"/>
        <v>1</v>
      </c>
      <c r="AC9" s="1653">
        <f t="shared" si="5"/>
        <v>1</v>
      </c>
    </row>
    <row r="10" spans="1:29" s="1671" customFormat="1" ht="27">
      <c r="A10" s="1664"/>
      <c r="B10" s="1665" t="s">
        <v>2208</v>
      </c>
      <c r="C10" s="1666" t="s">
        <v>3016</v>
      </c>
      <c r="D10" s="1667">
        <v>100</v>
      </c>
      <c r="E10" s="1666" t="s">
        <v>3016</v>
      </c>
      <c r="F10" s="1667">
        <f>SUMIF(66:66,E10,67:67)-SUMIF(66:66,C10,67:67)+100</f>
        <v>100</v>
      </c>
      <c r="G10" s="1666" t="s">
        <v>3016</v>
      </c>
      <c r="H10" s="1667">
        <f>SUMIF(66:66,G10,67:67)-SUMIF(66:66,C10,67:67)+100</f>
        <v>100</v>
      </c>
      <c r="I10" s="1666" t="s">
        <v>3016</v>
      </c>
      <c r="J10" s="1667">
        <f>SUMIF(66:66,I10,67:67)-SUMIF(66:66,C10,67:67)+100</f>
        <v>100</v>
      </c>
      <c r="K10" s="1962">
        <v>1</v>
      </c>
      <c r="L10" s="2968"/>
      <c r="M10" s="2969"/>
      <c r="N10" s="2969"/>
      <c r="O10" s="2969"/>
      <c r="P10" s="3590"/>
      <c r="Q10" s="2884" t="str">
        <f t="shared" si="6"/>
        <v>土地使用年限（年）</v>
      </c>
      <c r="R10" s="1650" t="s">
        <v>25</v>
      </c>
      <c r="S10" s="1651">
        <f t="shared" si="0"/>
        <v>100</v>
      </c>
      <c r="T10" s="1650" t="s">
        <v>25</v>
      </c>
      <c r="U10" s="1651">
        <f t="shared" si="1"/>
        <v>100</v>
      </c>
      <c r="V10" s="1650" t="s">
        <v>25</v>
      </c>
      <c r="W10" s="1651">
        <f t="shared" si="2"/>
        <v>100</v>
      </c>
      <c r="X10" s="1652"/>
      <c r="Y10" s="3450"/>
      <c r="Z10" s="1663" t="str">
        <f t="shared" si="7"/>
        <v>土地使用年限（年）</v>
      </c>
      <c r="AA10" s="1653">
        <f t="shared" si="3"/>
        <v>1</v>
      </c>
      <c r="AB10" s="1653">
        <f t="shared" si="4"/>
        <v>1</v>
      </c>
      <c r="AC10" s="1653">
        <f t="shared" si="5"/>
        <v>1</v>
      </c>
    </row>
    <row r="11" spans="1:29" ht="15">
      <c r="A11" s="1672"/>
      <c r="B11" s="1665" t="s">
        <v>2209</v>
      </c>
      <c r="C11" s="1673">
        <v>1</v>
      </c>
      <c r="D11" s="1667">
        <v>100</v>
      </c>
      <c r="E11" s="1673">
        <v>1</v>
      </c>
      <c r="F11" s="1667">
        <f>LOOKUP(E11,69:69,70:70)-LOOKUP(C11,69:69,70:70)+100</f>
        <v>100</v>
      </c>
      <c r="G11" s="1674">
        <v>1</v>
      </c>
      <c r="H11" s="1667">
        <f>LOOKUP(G11,69:69,70:70)-LOOKUP(C11,69:69,70:70)+100</f>
        <v>100</v>
      </c>
      <c r="I11" s="1673">
        <v>1</v>
      </c>
      <c r="J11" s="1667">
        <f>LOOKUP(I11,69:69,70:70)-LOOKUP(C11,69:69,70:70)+100</f>
        <v>100</v>
      </c>
      <c r="K11" s="1962"/>
      <c r="L11" s="2970"/>
      <c r="M11" s="2967"/>
      <c r="N11" s="2967"/>
      <c r="O11" s="2967"/>
      <c r="P11" s="3590"/>
      <c r="Q11" s="2884" t="str">
        <f t="shared" si="6"/>
        <v>容积率</v>
      </c>
      <c r="R11" s="1650" t="s">
        <v>25</v>
      </c>
      <c r="S11" s="1651">
        <f t="shared" si="0"/>
        <v>100</v>
      </c>
      <c r="T11" s="1650" t="s">
        <v>25</v>
      </c>
      <c r="U11" s="1651">
        <f t="shared" si="1"/>
        <v>100</v>
      </c>
      <c r="V11" s="1650" t="s">
        <v>25</v>
      </c>
      <c r="W11" s="1651">
        <f t="shared" si="2"/>
        <v>100</v>
      </c>
      <c r="X11" s="1652"/>
      <c r="Y11" s="3450"/>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590"/>
      <c r="Q12" s="2884">
        <f t="shared" si="6"/>
        <v>111</v>
      </c>
      <c r="R12" s="1650" t="s">
        <v>25</v>
      </c>
      <c r="S12" s="1651">
        <f t="shared" si="0"/>
        <v>100</v>
      </c>
      <c r="T12" s="1650" t="s">
        <v>25</v>
      </c>
      <c r="U12" s="1651">
        <f t="shared" si="1"/>
        <v>100</v>
      </c>
      <c r="V12" s="1650" t="s">
        <v>25</v>
      </c>
      <c r="W12" s="1651">
        <f t="shared" si="2"/>
        <v>100</v>
      </c>
      <c r="X12" s="1652"/>
      <c r="Y12" s="3450"/>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590"/>
      <c r="Q13" s="2884">
        <f t="shared" si="6"/>
        <v>111</v>
      </c>
      <c r="R13" s="1650" t="s">
        <v>25</v>
      </c>
      <c r="S13" s="1651">
        <f t="shared" si="0"/>
        <v>100</v>
      </c>
      <c r="T13" s="1650" t="s">
        <v>25</v>
      </c>
      <c r="U13" s="1651">
        <f t="shared" si="1"/>
        <v>100</v>
      </c>
      <c r="V13" s="1650" t="s">
        <v>25</v>
      </c>
      <c r="W13" s="1651">
        <f t="shared" si="2"/>
        <v>100</v>
      </c>
      <c r="X13" s="1652"/>
      <c r="Y13" s="3450"/>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590"/>
      <c r="Q14" s="2884">
        <f t="shared" si="6"/>
        <v>111</v>
      </c>
      <c r="R14" s="1650" t="s">
        <v>25</v>
      </c>
      <c r="S14" s="1651">
        <f t="shared" si="0"/>
        <v>100</v>
      </c>
      <c r="T14" s="1650" t="s">
        <v>25</v>
      </c>
      <c r="U14" s="1651">
        <f t="shared" si="1"/>
        <v>100</v>
      </c>
      <c r="V14" s="1650" t="s">
        <v>25</v>
      </c>
      <c r="W14" s="1651">
        <f t="shared" si="2"/>
        <v>100</v>
      </c>
      <c r="X14" s="1652"/>
      <c r="Y14" s="3450"/>
      <c r="Z14" s="1663">
        <f t="shared" si="7"/>
        <v>111</v>
      </c>
      <c r="AA14" s="1653">
        <f t="shared" si="3"/>
        <v>1</v>
      </c>
      <c r="AB14" s="1653">
        <f t="shared" si="4"/>
        <v>1</v>
      </c>
      <c r="AC14" s="1653">
        <f t="shared" si="5"/>
        <v>1</v>
      </c>
    </row>
    <row r="15" spans="1:29" ht="71.25">
      <c r="A15" s="1687" t="s">
        <v>2210</v>
      </c>
      <c r="B15" s="2462" t="s">
        <v>2325</v>
      </c>
      <c r="C15" s="1943" t="str">
        <f>估价对象房地状况!C5</f>
        <v>估价对象位于XX商圈，周边办公楼项目较多，入驻率高，办公集聚程度较好</v>
      </c>
      <c r="D15" s="1690">
        <v>100</v>
      </c>
      <c r="E15" s="1693"/>
      <c r="F15" s="1690">
        <f>SUMIF(77:77,E16,78:78)-SUMIF(77:77,C16,78:78)+100</f>
        <v>102</v>
      </c>
      <c r="G15" s="1691"/>
      <c r="H15" s="1690">
        <f>SUMIF(77:77,G16,78:78)-SUMIF(77:77,C16,78:78)+100</f>
        <v>102</v>
      </c>
      <c r="I15" s="1691"/>
      <c r="J15" s="1690">
        <f>SUMIF(77:77,I16,78:78)-SUMIF(77:77,C16,78:78)+100</f>
        <v>102</v>
      </c>
      <c r="K15" s="2442">
        <v>2</v>
      </c>
      <c r="L15" s="2971"/>
      <c r="M15" s="2967"/>
      <c r="N15" s="2967"/>
      <c r="O15" s="2967"/>
      <c r="P15" s="3593" t="s">
        <v>2211</v>
      </c>
      <c r="Q15" s="2885" t="str">
        <f t="shared" si="6"/>
        <v>办公集聚程度</v>
      </c>
      <c r="R15" s="1695" t="s">
        <v>25</v>
      </c>
      <c r="S15" s="1696">
        <f t="shared" si="0"/>
        <v>102</v>
      </c>
      <c r="T15" s="1695" t="s">
        <v>25</v>
      </c>
      <c r="U15" s="1696">
        <f t="shared" si="1"/>
        <v>102</v>
      </c>
      <c r="V15" s="1695" t="s">
        <v>25</v>
      </c>
      <c r="W15" s="1696">
        <f t="shared" si="2"/>
        <v>102</v>
      </c>
      <c r="X15" s="2044"/>
      <c r="Y15" s="3593" t="s">
        <v>2211</v>
      </c>
      <c r="Z15" s="2048" t="str">
        <f t="shared" si="7"/>
        <v>办公集聚程度</v>
      </c>
      <c r="AA15" s="2039">
        <f t="shared" si="3"/>
        <v>0.98039215686274506</v>
      </c>
      <c r="AB15" s="2039">
        <f t="shared" si="4"/>
        <v>0.98039215686274506</v>
      </c>
      <c r="AC15" s="2039">
        <f t="shared" si="5"/>
        <v>0.98039215686274506</v>
      </c>
    </row>
    <row r="16" spans="1:29" ht="15">
      <c r="A16" s="1672"/>
      <c r="B16" s="2463"/>
      <c r="C16" s="1945" t="s">
        <v>31</v>
      </c>
      <c r="D16" s="1701"/>
      <c r="E16" s="1700" t="s">
        <v>30</v>
      </c>
      <c r="F16" s="1701"/>
      <c r="G16" s="1700" t="s">
        <v>30</v>
      </c>
      <c r="H16" s="1705"/>
      <c r="I16" s="1700" t="s">
        <v>30</v>
      </c>
      <c r="J16" s="1701"/>
      <c r="K16" s="2443"/>
      <c r="L16" s="2971"/>
      <c r="M16" s="2967"/>
      <c r="N16" s="2967"/>
      <c r="O16" s="2967"/>
      <c r="P16" s="3594"/>
      <c r="Q16" s="2885"/>
      <c r="R16" s="1695"/>
      <c r="S16" s="1696"/>
      <c r="T16" s="1695"/>
      <c r="U16" s="1696"/>
      <c r="V16" s="1695"/>
      <c r="W16" s="1696"/>
      <c r="X16" s="2044"/>
      <c r="Y16" s="3594"/>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99</v>
      </c>
      <c r="K17" s="2442">
        <v>1</v>
      </c>
      <c r="L17" s="2971"/>
      <c r="M17" s="2967"/>
      <c r="N17" s="2967"/>
      <c r="O17" s="2967"/>
      <c r="P17" s="3594"/>
      <c r="Q17" s="2885" t="str">
        <f>B17</f>
        <v>交通便捷度</v>
      </c>
      <c r="R17" s="1695" t="s">
        <v>25</v>
      </c>
      <c r="S17" s="1696">
        <f>F17</f>
        <v>100</v>
      </c>
      <c r="T17" s="1695" t="s">
        <v>25</v>
      </c>
      <c r="U17" s="1696">
        <f>H17</f>
        <v>100</v>
      </c>
      <c r="V17" s="1695" t="s">
        <v>25</v>
      </c>
      <c r="W17" s="1696">
        <f>J17</f>
        <v>99</v>
      </c>
      <c r="X17" s="2044"/>
      <c r="Y17" s="3594"/>
      <c r="Z17" s="2048" t="str">
        <f>Q17</f>
        <v>交通便捷度</v>
      </c>
      <c r="AA17" s="2039">
        <f t="shared" si="3"/>
        <v>1</v>
      </c>
      <c r="AB17" s="2039">
        <f t="shared" si="4"/>
        <v>1</v>
      </c>
      <c r="AC17" s="2039">
        <f t="shared" si="5"/>
        <v>1.0101010101010102</v>
      </c>
    </row>
    <row r="18" spans="1:29" ht="15">
      <c r="A18" s="1672"/>
      <c r="B18" s="2465"/>
      <c r="C18" s="1949" t="s">
        <v>30</v>
      </c>
      <c r="D18" s="1705"/>
      <c r="E18" s="1949" t="s">
        <v>30</v>
      </c>
      <c r="F18" s="1705"/>
      <c r="G18" s="1949" t="s">
        <v>30</v>
      </c>
      <c r="H18" s="1701"/>
      <c r="I18" s="1715" t="s">
        <v>31</v>
      </c>
      <c r="J18" s="1701"/>
      <c r="K18" s="2443"/>
      <c r="L18" s="2971"/>
      <c r="M18" s="2967"/>
      <c r="N18" s="2967"/>
      <c r="O18" s="2967"/>
      <c r="P18" s="3594"/>
      <c r="Q18" s="2885"/>
      <c r="R18" s="1695"/>
      <c r="S18" s="1696"/>
      <c r="T18" s="1695"/>
      <c r="U18" s="1696"/>
      <c r="V18" s="1695"/>
      <c r="W18" s="1696"/>
      <c r="X18" s="2044"/>
      <c r="Y18" s="3594"/>
      <c r="Z18" s="2048"/>
      <c r="AA18" s="2039">
        <v>1</v>
      </c>
      <c r="AB18" s="2039">
        <v>1</v>
      </c>
      <c r="AC18" s="2039">
        <v>1</v>
      </c>
    </row>
    <row r="19" spans="1:29" ht="42.75">
      <c r="A19" s="1672"/>
      <c r="B19" s="2464" t="s">
        <v>2326</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v>1</v>
      </c>
      <c r="L19" s="2971"/>
      <c r="M19" s="2967"/>
      <c r="N19" s="2967"/>
      <c r="O19" s="2967"/>
      <c r="P19" s="3594"/>
      <c r="Q19" s="2885" t="str">
        <f>B19</f>
        <v>公共配套设施</v>
      </c>
      <c r="R19" s="1695" t="s">
        <v>25</v>
      </c>
      <c r="S19" s="1696">
        <f>F19</f>
        <v>100</v>
      </c>
      <c r="T19" s="1695" t="s">
        <v>25</v>
      </c>
      <c r="U19" s="1696">
        <f>H19</f>
        <v>100</v>
      </c>
      <c r="V19" s="1695" t="s">
        <v>25</v>
      </c>
      <c r="W19" s="1696">
        <f>J19</f>
        <v>100</v>
      </c>
      <c r="X19" s="2044"/>
      <c r="Y19" s="3594"/>
      <c r="Z19" s="2048" t="str">
        <f>Q19</f>
        <v>公共配套设施</v>
      </c>
      <c r="AA19" s="2039">
        <f t="shared" si="3"/>
        <v>1</v>
      </c>
      <c r="AB19" s="2039">
        <f t="shared" si="4"/>
        <v>1</v>
      </c>
      <c r="AC19" s="2039">
        <f t="shared" si="5"/>
        <v>1</v>
      </c>
    </row>
    <row r="20" spans="1:29" ht="15">
      <c r="A20" s="1672"/>
      <c r="B20" s="2465"/>
      <c r="C20" s="1945" t="s">
        <v>30</v>
      </c>
      <c r="D20" s="1701"/>
      <c r="E20" s="1945" t="s">
        <v>30</v>
      </c>
      <c r="F20" s="1701"/>
      <c r="G20" s="1945" t="s">
        <v>30</v>
      </c>
      <c r="H20" s="1701"/>
      <c r="I20" s="1945" t="s">
        <v>30</v>
      </c>
      <c r="J20" s="1701"/>
      <c r="K20" s="2443"/>
      <c r="L20" s="2971"/>
      <c r="M20" s="2967"/>
      <c r="N20" s="2967"/>
      <c r="O20" s="2967"/>
      <c r="P20" s="3594"/>
      <c r="Q20" s="2885"/>
      <c r="R20" s="1695"/>
      <c r="S20" s="1696"/>
      <c r="T20" s="1695"/>
      <c r="U20" s="1696"/>
      <c r="V20" s="1695"/>
      <c r="W20" s="1696"/>
      <c r="X20" s="2044"/>
      <c r="Y20" s="3594"/>
      <c r="Z20" s="2048"/>
      <c r="AA20" s="2039">
        <v>1</v>
      </c>
      <c r="AB20" s="2039">
        <v>1</v>
      </c>
      <c r="AC20" s="2039">
        <v>1</v>
      </c>
    </row>
    <row r="21" spans="1:29" ht="28.5">
      <c r="A21" s="1672"/>
      <c r="B21" s="2466" t="s">
        <v>2327</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v>1</v>
      </c>
      <c r="L21" s="2971"/>
      <c r="M21" s="2967"/>
      <c r="N21" s="2967"/>
      <c r="O21" s="2967"/>
      <c r="P21" s="3594"/>
      <c r="Q21" s="2885" t="str">
        <f>B21</f>
        <v>基础设施水平</v>
      </c>
      <c r="R21" s="1695" t="s">
        <v>25</v>
      </c>
      <c r="S21" s="1696">
        <f>F21</f>
        <v>100</v>
      </c>
      <c r="T21" s="1695" t="s">
        <v>25</v>
      </c>
      <c r="U21" s="1696">
        <f>H21</f>
        <v>100</v>
      </c>
      <c r="V21" s="1695" t="s">
        <v>25</v>
      </c>
      <c r="W21" s="1696">
        <f>J21</f>
        <v>100</v>
      </c>
      <c r="X21" s="2044"/>
      <c r="Y21" s="3594"/>
      <c r="Z21" s="2048" t="str">
        <f>Q21</f>
        <v>基础设施水平</v>
      </c>
      <c r="AA21" s="2039">
        <f t="shared" ref="AA21" si="8">D21/F21</f>
        <v>1</v>
      </c>
      <c r="AB21" s="2039">
        <f t="shared" ref="AB21" si="9">D21/H21</f>
        <v>1</v>
      </c>
      <c r="AC21" s="2039">
        <f t="shared" ref="AC21" si="10">D21/J21</f>
        <v>1</v>
      </c>
    </row>
    <row r="22" spans="1:29" ht="15">
      <c r="A22" s="1672"/>
      <c r="B22" s="2466"/>
      <c r="C22" s="1949" t="s">
        <v>3017</v>
      </c>
      <c r="D22" s="1701"/>
      <c r="E22" s="1949" t="s">
        <v>3017</v>
      </c>
      <c r="F22" s="1701"/>
      <c r="G22" s="1949" t="s">
        <v>3017</v>
      </c>
      <c r="H22" s="1701"/>
      <c r="I22" s="1949" t="s">
        <v>3017</v>
      </c>
      <c r="J22" s="1701"/>
      <c r="K22" s="2444"/>
      <c r="L22" s="2971"/>
      <c r="M22" s="2967"/>
      <c r="N22" s="2967"/>
      <c r="O22" s="2967"/>
      <c r="P22" s="3594"/>
      <c r="Q22" s="2885"/>
      <c r="R22" s="1695"/>
      <c r="S22" s="1696"/>
      <c r="T22" s="1695"/>
      <c r="U22" s="1696"/>
      <c r="V22" s="1695"/>
      <c r="W22" s="1696"/>
      <c r="X22" s="2044"/>
      <c r="Y22" s="3594"/>
      <c r="Z22" s="2048"/>
      <c r="AA22" s="2039">
        <v>1</v>
      </c>
      <c r="AB22" s="2039">
        <v>1</v>
      </c>
      <c r="AC22" s="2039">
        <v>1</v>
      </c>
    </row>
    <row r="23" spans="1:29" ht="57">
      <c r="A23" s="1672"/>
      <c r="B23" s="2464" t="s">
        <v>2328</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v>1</v>
      </c>
      <c r="L23" s="2971"/>
      <c r="M23" s="2967"/>
      <c r="N23" s="2967"/>
      <c r="O23" s="2967"/>
      <c r="P23" s="3594"/>
      <c r="Q23" s="2885" t="str">
        <f>B23</f>
        <v>环境质量</v>
      </c>
      <c r="R23" s="1695" t="s">
        <v>25</v>
      </c>
      <c r="S23" s="1696">
        <f>F23</f>
        <v>100</v>
      </c>
      <c r="T23" s="1695" t="s">
        <v>25</v>
      </c>
      <c r="U23" s="1696">
        <f>H23</f>
        <v>100</v>
      </c>
      <c r="V23" s="1695" t="s">
        <v>25</v>
      </c>
      <c r="W23" s="1696">
        <f>J23</f>
        <v>100</v>
      </c>
      <c r="X23" s="2044"/>
      <c r="Y23" s="3594"/>
      <c r="Z23" s="2048" t="str">
        <f>Q23</f>
        <v>环境质量</v>
      </c>
      <c r="AA23" s="2039">
        <f t="shared" si="3"/>
        <v>1</v>
      </c>
      <c r="AB23" s="2039">
        <f t="shared" si="4"/>
        <v>1</v>
      </c>
      <c r="AC23" s="2039">
        <f t="shared" si="5"/>
        <v>1</v>
      </c>
    </row>
    <row r="24" spans="1:29" ht="15">
      <c r="A24" s="1672"/>
      <c r="B24" s="2466"/>
      <c r="C24" s="1945" t="s">
        <v>30</v>
      </c>
      <c r="D24" s="1701"/>
      <c r="E24" s="1945" t="s">
        <v>30</v>
      </c>
      <c r="F24" s="1701"/>
      <c r="G24" s="1945" t="s">
        <v>30</v>
      </c>
      <c r="H24" s="1701"/>
      <c r="I24" s="1945" t="s">
        <v>30</v>
      </c>
      <c r="J24" s="1701"/>
      <c r="K24" s="2443"/>
      <c r="L24" s="2971"/>
      <c r="M24" s="2967"/>
      <c r="N24" s="2967"/>
      <c r="O24" s="2967"/>
      <c r="P24" s="3594"/>
      <c r="Q24" s="2885"/>
      <c r="R24" s="1695"/>
      <c r="S24" s="1696"/>
      <c r="T24" s="1695"/>
      <c r="U24" s="1696"/>
      <c r="V24" s="1695"/>
      <c r="W24" s="1696"/>
      <c r="X24" s="2044"/>
      <c r="Y24" s="3594"/>
      <c r="Z24" s="2048"/>
      <c r="AA24" s="2039">
        <v>1</v>
      </c>
      <c r="AB24" s="2039">
        <v>1</v>
      </c>
      <c r="AC24" s="2039">
        <v>1</v>
      </c>
    </row>
    <row r="25" spans="1:29" ht="27">
      <c r="A25" s="1637"/>
      <c r="B25" s="2464" t="s">
        <v>2329</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594"/>
      <c r="Q25" s="2885" t="str">
        <f>B25</f>
        <v>毗邻道路的类型与等级</v>
      </c>
      <c r="R25" s="1695" t="s">
        <v>25</v>
      </c>
      <c r="S25" s="1696">
        <f>F25</f>
        <v>100</v>
      </c>
      <c r="T25" s="1695" t="s">
        <v>25</v>
      </c>
      <c r="U25" s="1696">
        <f>H25</f>
        <v>100</v>
      </c>
      <c r="V25" s="1695" t="s">
        <v>25</v>
      </c>
      <c r="W25" s="1696">
        <f>J25</f>
        <v>100</v>
      </c>
      <c r="X25" s="2044"/>
      <c r="Y25" s="3594"/>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594"/>
      <c r="Q26" s="2885"/>
      <c r="R26" s="1695"/>
      <c r="S26" s="1696"/>
      <c r="T26" s="1695"/>
      <c r="U26" s="1696"/>
      <c r="V26" s="1695"/>
      <c r="W26" s="1696"/>
      <c r="X26" s="2044"/>
      <c r="Y26" s="3594"/>
      <c r="Z26" s="2048"/>
      <c r="AA26" s="2039">
        <v>1</v>
      </c>
      <c r="AB26" s="2039">
        <v>1</v>
      </c>
      <c r="AC26" s="2039">
        <v>1</v>
      </c>
    </row>
    <row r="27" spans="1:29" ht="15">
      <c r="A27" s="1672"/>
      <c r="B27" s="2465" t="s">
        <v>2302</v>
      </c>
      <c r="C27" s="1953" t="s">
        <v>3006</v>
      </c>
      <c r="D27" s="1681">
        <v>100</v>
      </c>
      <c r="E27" s="1961" t="s">
        <v>3018</v>
      </c>
      <c r="F27" s="1681">
        <f>SUMIF(89:89,E27,90:90)-SUMIF(89:89,C27,90:90)+100</f>
        <v>102</v>
      </c>
      <c r="G27" s="1961" t="s">
        <v>3009</v>
      </c>
      <c r="H27" s="1681">
        <f>SUMIF(89:89,G27,90:90)-SUMIF(89:89,C27,90:90)+100</f>
        <v>104</v>
      </c>
      <c r="I27" s="1961" t="s">
        <v>3018</v>
      </c>
      <c r="J27" s="1681">
        <f>SUMIF(89:89,I27,90:90)-SUMIF(89:89,C27,90:90)+100</f>
        <v>102</v>
      </c>
      <c r="K27" s="1962">
        <v>2</v>
      </c>
      <c r="L27" s="2971"/>
      <c r="M27" s="2967"/>
      <c r="N27" s="2967"/>
      <c r="O27" s="2967"/>
      <c r="P27" s="3594"/>
      <c r="Q27" s="2885" t="str">
        <f t="shared" ref="Q27:Q47" si="11">B27</f>
        <v>楼层</v>
      </c>
      <c r="R27" s="1695" t="s">
        <v>25</v>
      </c>
      <c r="S27" s="1696">
        <f>F27</f>
        <v>102</v>
      </c>
      <c r="T27" s="1695" t="s">
        <v>25</v>
      </c>
      <c r="U27" s="1696">
        <f>H27</f>
        <v>104</v>
      </c>
      <c r="V27" s="1695" t="s">
        <v>25</v>
      </c>
      <c r="W27" s="1696">
        <f>J27</f>
        <v>102</v>
      </c>
      <c r="X27" s="2044"/>
      <c r="Y27" s="3594"/>
      <c r="Z27" s="2048" t="str">
        <f>Q27</f>
        <v>楼层</v>
      </c>
      <c r="AA27" s="2039">
        <f t="shared" si="3"/>
        <v>0.98039215686274506</v>
      </c>
      <c r="AB27" s="2039">
        <f t="shared" si="4"/>
        <v>0.96153846153846156</v>
      </c>
      <c r="AC27" s="2039">
        <f t="shared" si="5"/>
        <v>0.98039215686274506</v>
      </c>
    </row>
    <row r="28" spans="1:29" s="1654" customFormat="1" ht="15">
      <c r="A28" s="1675"/>
      <c r="B28" s="2464" t="s">
        <v>2330</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594"/>
      <c r="Q28" s="2884" t="str">
        <f t="shared" si="11"/>
        <v>朝向</v>
      </c>
      <c r="R28" s="1650" t="s">
        <v>25</v>
      </c>
      <c r="S28" s="1651">
        <f>F28</f>
        <v>100</v>
      </c>
      <c r="T28" s="1650" t="s">
        <v>25</v>
      </c>
      <c r="U28" s="1651">
        <f>H28</f>
        <v>100</v>
      </c>
      <c r="V28" s="1650" t="s">
        <v>25</v>
      </c>
      <c r="W28" s="1651">
        <f>J28</f>
        <v>100</v>
      </c>
      <c r="X28" s="1652"/>
      <c r="Y28" s="3594"/>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594"/>
      <c r="Q29" s="2885">
        <f t="shared" si="11"/>
        <v>111</v>
      </c>
      <c r="R29" s="1695" t="s">
        <v>25</v>
      </c>
      <c r="S29" s="1696">
        <f t="shared" ref="S29:S47" si="12">F29</f>
        <v>100</v>
      </c>
      <c r="T29" s="1695" t="s">
        <v>25</v>
      </c>
      <c r="U29" s="1696">
        <f t="shared" ref="U29:U47" si="13">H29</f>
        <v>100</v>
      </c>
      <c r="V29" s="1695" t="s">
        <v>25</v>
      </c>
      <c r="W29" s="1696">
        <f t="shared" ref="W29:W47" si="14">J29</f>
        <v>100</v>
      </c>
      <c r="X29" s="2044"/>
      <c r="Y29" s="3594"/>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594"/>
      <c r="Q30" s="2885">
        <f t="shared" si="11"/>
        <v>111</v>
      </c>
      <c r="R30" s="1695" t="s">
        <v>25</v>
      </c>
      <c r="S30" s="1696">
        <f t="shared" si="12"/>
        <v>100</v>
      </c>
      <c r="T30" s="1695" t="s">
        <v>25</v>
      </c>
      <c r="U30" s="1696">
        <f t="shared" si="13"/>
        <v>100</v>
      </c>
      <c r="V30" s="1695" t="s">
        <v>25</v>
      </c>
      <c r="W30" s="1696">
        <f t="shared" si="14"/>
        <v>100</v>
      </c>
      <c r="X30" s="2044"/>
      <c r="Y30" s="3594"/>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594"/>
      <c r="Q31" s="2885">
        <f t="shared" si="11"/>
        <v>111</v>
      </c>
      <c r="R31" s="1695" t="s">
        <v>25</v>
      </c>
      <c r="S31" s="1696">
        <f t="shared" si="12"/>
        <v>100</v>
      </c>
      <c r="T31" s="1695" t="s">
        <v>25</v>
      </c>
      <c r="U31" s="1696">
        <f t="shared" si="13"/>
        <v>100</v>
      </c>
      <c r="V31" s="1695" t="s">
        <v>25</v>
      </c>
      <c r="W31" s="1696">
        <f t="shared" si="14"/>
        <v>100</v>
      </c>
      <c r="X31" s="2044"/>
      <c r="Y31" s="3594"/>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594"/>
      <c r="Q32" s="2885">
        <f t="shared" si="11"/>
        <v>111</v>
      </c>
      <c r="R32" s="1695" t="s">
        <v>25</v>
      </c>
      <c r="S32" s="1696">
        <f t="shared" si="12"/>
        <v>100</v>
      </c>
      <c r="T32" s="1695" t="s">
        <v>25</v>
      </c>
      <c r="U32" s="1696">
        <f t="shared" si="13"/>
        <v>100</v>
      </c>
      <c r="V32" s="1695" t="s">
        <v>25</v>
      </c>
      <c r="W32" s="1696">
        <f t="shared" si="14"/>
        <v>100</v>
      </c>
      <c r="X32" s="2044"/>
      <c r="Y32" s="3594"/>
      <c r="Z32" s="2048">
        <f t="shared" si="15"/>
        <v>111</v>
      </c>
      <c r="AA32" s="2039">
        <f t="shared" si="3"/>
        <v>1</v>
      </c>
      <c r="AB32" s="2039">
        <f t="shared" si="4"/>
        <v>1</v>
      </c>
      <c r="AC32" s="2039">
        <f t="shared" si="5"/>
        <v>1</v>
      </c>
    </row>
    <row r="33" spans="1:29" ht="15">
      <c r="A33" s="1687" t="s">
        <v>2215</v>
      </c>
      <c r="B33" s="1657" t="s">
        <v>2331</v>
      </c>
      <c r="C33" s="2472" t="s">
        <v>3019</v>
      </c>
      <c r="D33" s="1732">
        <v>100</v>
      </c>
      <c r="E33" s="2472" t="s">
        <v>3019</v>
      </c>
      <c r="F33" s="1724">
        <f>SUMIF(101:101,E33,102:102)-SUMIF(101:101,C33,102:102)+100</f>
        <v>100</v>
      </c>
      <c r="G33" s="2472" t="s">
        <v>3019</v>
      </c>
      <c r="H33" s="1681">
        <f>SUMIF(101:101,G33,102:102)-SUMIF(101:101,C33,102:102)+100</f>
        <v>100</v>
      </c>
      <c r="I33" s="2472" t="s">
        <v>3019</v>
      </c>
      <c r="J33" s="1732">
        <f>SUMIF(101:101,I33,102:102)-SUMIF(101:101,C33,102:102)+100</f>
        <v>100</v>
      </c>
      <c r="K33" s="1962">
        <v>1</v>
      </c>
      <c r="L33" s="2971"/>
      <c r="M33" s="2967"/>
      <c r="N33" s="2967"/>
      <c r="O33" s="2967"/>
      <c r="P33" s="3632" t="s">
        <v>2217</v>
      </c>
      <c r="Q33" s="2885" t="str">
        <f t="shared" si="11"/>
        <v>建筑类型</v>
      </c>
      <c r="R33" s="1695" t="s">
        <v>25</v>
      </c>
      <c r="S33" s="1696">
        <f t="shared" si="12"/>
        <v>100</v>
      </c>
      <c r="T33" s="1695" t="s">
        <v>25</v>
      </c>
      <c r="U33" s="1696">
        <f t="shared" si="13"/>
        <v>100</v>
      </c>
      <c r="V33" s="1695" t="s">
        <v>25</v>
      </c>
      <c r="W33" s="1696">
        <f t="shared" si="14"/>
        <v>100</v>
      </c>
      <c r="X33" s="2044"/>
      <c r="Y33" s="3598" t="s">
        <v>2217</v>
      </c>
      <c r="Z33" s="2048" t="str">
        <f t="shared" si="15"/>
        <v>建筑类型</v>
      </c>
      <c r="AA33" s="2039">
        <f t="shared" si="3"/>
        <v>1</v>
      </c>
      <c r="AB33" s="2039">
        <f t="shared" si="4"/>
        <v>1</v>
      </c>
      <c r="AC33" s="2039">
        <f t="shared" si="5"/>
        <v>1</v>
      </c>
    </row>
    <row r="34" spans="1:29" s="1741" customFormat="1" ht="15">
      <c r="A34" s="1734"/>
      <c r="B34" s="1665" t="s">
        <v>2218</v>
      </c>
      <c r="C34" s="1735">
        <f>'数据-取费表'!E5</f>
        <v>217.69</v>
      </c>
      <c r="D34" s="1667">
        <v>100</v>
      </c>
      <c r="E34" s="1674">
        <v>1853</v>
      </c>
      <c r="F34" s="1669">
        <f>LOOKUP(E34,104:104,105:105)-LOOKUP(C34,104:104,105:105)+100</f>
        <v>98</v>
      </c>
      <c r="G34" s="1673">
        <v>2000</v>
      </c>
      <c r="H34" s="1667">
        <f>LOOKUP(G34,104:104,105:105)-LOOKUP(C34,104:104,105:105)+100</f>
        <v>97</v>
      </c>
      <c r="I34" s="1673">
        <v>125</v>
      </c>
      <c r="J34" s="1667">
        <f>LOOKUP(I34,104:104,105:105)-LOOKUP(C34,104:104,105:105)+100</f>
        <v>100</v>
      </c>
      <c r="K34" s="1959"/>
      <c r="L34" s="2970"/>
      <c r="M34" s="2029"/>
      <c r="N34" s="2029"/>
      <c r="O34" s="2029"/>
      <c r="P34" s="3598"/>
      <c r="Q34" s="1736" t="str">
        <f t="shared" si="11"/>
        <v>项目建筑规模</v>
      </c>
      <c r="R34" s="1737" t="s">
        <v>25</v>
      </c>
      <c r="S34" s="1738">
        <f t="shared" si="12"/>
        <v>98</v>
      </c>
      <c r="T34" s="1737" t="s">
        <v>25</v>
      </c>
      <c r="U34" s="1738">
        <f t="shared" si="13"/>
        <v>97</v>
      </c>
      <c r="V34" s="1737" t="s">
        <v>25</v>
      </c>
      <c r="W34" s="1738">
        <f t="shared" si="14"/>
        <v>100</v>
      </c>
      <c r="X34" s="1739"/>
      <c r="Y34" s="3598"/>
      <c r="Z34" s="1740" t="str">
        <f t="shared" si="15"/>
        <v>项目建筑规模</v>
      </c>
      <c r="AA34" s="2039">
        <f t="shared" si="3"/>
        <v>1.0204081632653061</v>
      </c>
      <c r="AB34" s="2039">
        <f t="shared" si="4"/>
        <v>1.0309278350515463</v>
      </c>
      <c r="AC34" s="2039">
        <f t="shared" si="5"/>
        <v>1</v>
      </c>
    </row>
    <row r="35" spans="1:29" ht="15">
      <c r="A35" s="1742"/>
      <c r="B35" s="1665" t="s">
        <v>2219</v>
      </c>
      <c r="C35" s="1722" t="s">
        <v>2987</v>
      </c>
      <c r="D35" s="1681">
        <v>100</v>
      </c>
      <c r="E35" s="1722" t="s">
        <v>2987</v>
      </c>
      <c r="F35" s="1724">
        <f>SUMIF(106:106,E35,107:107)-SUMIF(106:106,C35,107:107)+100</f>
        <v>100</v>
      </c>
      <c r="G35" s="1722" t="s">
        <v>2987</v>
      </c>
      <c r="H35" s="1681">
        <f>SUMIF(106:106,G35,107:107)-SUMIF(106:106,C35,107:107)+100</f>
        <v>100</v>
      </c>
      <c r="I35" s="1722" t="s">
        <v>2987</v>
      </c>
      <c r="J35" s="1681">
        <f>SUMIF(106:106,I35,107:107)-SUMIF(106:106,C35,107:107)+100</f>
        <v>100</v>
      </c>
      <c r="K35" s="1962">
        <v>1</v>
      </c>
      <c r="L35" s="2971"/>
      <c r="M35" s="2967"/>
      <c r="N35" s="2967"/>
      <c r="O35" s="2967"/>
      <c r="P35" s="3598"/>
      <c r="Q35" s="2885" t="str">
        <f t="shared" si="11"/>
        <v>建筑结构</v>
      </c>
      <c r="R35" s="1695" t="s">
        <v>25</v>
      </c>
      <c r="S35" s="1696">
        <f t="shared" si="12"/>
        <v>100</v>
      </c>
      <c r="T35" s="1695" t="s">
        <v>25</v>
      </c>
      <c r="U35" s="1696">
        <f t="shared" si="13"/>
        <v>100</v>
      </c>
      <c r="V35" s="1695" t="s">
        <v>25</v>
      </c>
      <c r="W35" s="1696">
        <f t="shared" si="14"/>
        <v>100</v>
      </c>
      <c r="X35" s="2044"/>
      <c r="Y35" s="3598"/>
      <c r="Z35" s="2048" t="str">
        <f t="shared" si="15"/>
        <v>建筑结构</v>
      </c>
      <c r="AA35" s="2039">
        <f t="shared" si="3"/>
        <v>1</v>
      </c>
      <c r="AB35" s="2039">
        <f t="shared" si="4"/>
        <v>1</v>
      </c>
      <c r="AC35" s="2039">
        <f t="shared" si="5"/>
        <v>1</v>
      </c>
    </row>
    <row r="36" spans="1:29" ht="15">
      <c r="A36" s="1742"/>
      <c r="B36" s="1665" t="s">
        <v>2304</v>
      </c>
      <c r="C36" s="1722" t="s">
        <v>3040</v>
      </c>
      <c r="D36" s="1681">
        <v>100</v>
      </c>
      <c r="E36" s="1722" t="s">
        <v>3022</v>
      </c>
      <c r="F36" s="1724">
        <f>SUMIF(108:108,E36,109:109)-SUMIF(108:108,C36,109:109)+100</f>
        <v>101</v>
      </c>
      <c r="G36" s="1722" t="s">
        <v>3022</v>
      </c>
      <c r="H36" s="1681">
        <f>SUMIF(108:108,G36,109:109)-SUMIF(108:108,C36,109:109)+100</f>
        <v>101</v>
      </c>
      <c r="I36" s="1722" t="s">
        <v>3022</v>
      </c>
      <c r="J36" s="1681">
        <f>SUMIF(108:108,I36,109:109)-SUMIF(108:108,C36,109:109)+100</f>
        <v>101</v>
      </c>
      <c r="K36" s="1962">
        <v>1</v>
      </c>
      <c r="L36" s="2971"/>
      <c r="M36" s="2967"/>
      <c r="N36" s="2967"/>
      <c r="O36" s="2967"/>
      <c r="P36" s="3598"/>
      <c r="Q36" s="2885" t="str">
        <f t="shared" si="11"/>
        <v>公共部分装修</v>
      </c>
      <c r="R36" s="1695" t="s">
        <v>25</v>
      </c>
      <c r="S36" s="1696">
        <f t="shared" si="12"/>
        <v>101</v>
      </c>
      <c r="T36" s="1695" t="s">
        <v>25</v>
      </c>
      <c r="U36" s="1696">
        <f t="shared" si="13"/>
        <v>101</v>
      </c>
      <c r="V36" s="1695" t="s">
        <v>25</v>
      </c>
      <c r="W36" s="1696">
        <f t="shared" si="14"/>
        <v>101</v>
      </c>
      <c r="X36" s="2044"/>
      <c r="Y36" s="3598"/>
      <c r="Z36" s="2048" t="str">
        <f t="shared" si="15"/>
        <v>公共部分装修</v>
      </c>
      <c r="AA36" s="2039">
        <f t="shared" si="3"/>
        <v>0.99009900990099009</v>
      </c>
      <c r="AB36" s="2039">
        <f t="shared" si="4"/>
        <v>0.99009900990099009</v>
      </c>
      <c r="AC36" s="2039">
        <f t="shared" si="5"/>
        <v>0.99009900990099009</v>
      </c>
    </row>
    <row r="37" spans="1:29" ht="15">
      <c r="A37" s="1742"/>
      <c r="B37" s="1665" t="s">
        <v>2305</v>
      </c>
      <c r="C37" s="1746">
        <f>'数据-取费表'!E20</f>
        <v>0.85</v>
      </c>
      <c r="D37" s="1681">
        <v>100</v>
      </c>
      <c r="E37" s="1746">
        <f>ROUND(1-(2022-2011)/60,2)</f>
        <v>0.82</v>
      </c>
      <c r="F37" s="1724">
        <f>LOOKUP(E37,111:111,112:112)-LOOKUP(C37,111:111,112:112)+100</f>
        <v>100</v>
      </c>
      <c r="G37" s="1746">
        <f>ROUND(1-(2022-2011)/60,2)</f>
        <v>0.82</v>
      </c>
      <c r="H37" s="1724">
        <f>LOOKUP(G37,111:111,112:112)-LOOKUP(C37,111:111,112:112)+100</f>
        <v>100</v>
      </c>
      <c r="I37" s="1746">
        <f>ROUND(1-(2022-2011)/60,2)</f>
        <v>0.82</v>
      </c>
      <c r="J37" s="1681">
        <f>LOOKUP(I37,111:111,112:112)-LOOKUP(C37,111:111,112:112)+100</f>
        <v>100</v>
      </c>
      <c r="K37" s="1962">
        <v>1</v>
      </c>
      <c r="L37" s="2971"/>
      <c r="M37" s="2967"/>
      <c r="N37" s="2967"/>
      <c r="O37" s="2967"/>
      <c r="P37" s="3598"/>
      <c r="Q37" s="2885" t="str">
        <f t="shared" si="11"/>
        <v>成新度</v>
      </c>
      <c r="R37" s="1695" t="s">
        <v>25</v>
      </c>
      <c r="S37" s="1696">
        <f t="shared" si="12"/>
        <v>100</v>
      </c>
      <c r="T37" s="1695" t="s">
        <v>25</v>
      </c>
      <c r="U37" s="1696">
        <f t="shared" si="13"/>
        <v>100</v>
      </c>
      <c r="V37" s="1695" t="s">
        <v>25</v>
      </c>
      <c r="W37" s="1696">
        <f t="shared" si="14"/>
        <v>100</v>
      </c>
      <c r="X37" s="2044"/>
      <c r="Y37" s="3598"/>
      <c r="Z37" s="2048" t="str">
        <f t="shared" si="15"/>
        <v>成新度</v>
      </c>
      <c r="AA37" s="2039">
        <f t="shared" si="3"/>
        <v>1</v>
      </c>
      <c r="AB37" s="2039">
        <f t="shared" si="4"/>
        <v>1</v>
      </c>
      <c r="AC37" s="2039">
        <f t="shared" si="5"/>
        <v>1</v>
      </c>
    </row>
    <row r="38" spans="1:29" s="1654" customFormat="1" ht="15">
      <c r="A38" s="1745"/>
      <c r="B38" s="1665" t="s">
        <v>2332</v>
      </c>
      <c r="C38" s="1722" t="s">
        <v>3024</v>
      </c>
      <c r="D38" s="1667">
        <v>100</v>
      </c>
      <c r="E38" s="1722" t="s">
        <v>3024</v>
      </c>
      <c r="F38" s="1724">
        <f>SUMIF(113:113,E38,114:114)-SUMIF(113:113,C38,114:114)+100</f>
        <v>100</v>
      </c>
      <c r="G38" s="1722" t="s">
        <v>3024</v>
      </c>
      <c r="H38" s="1681">
        <f>SUMIF(113:113,G38,114:114)-SUMIF(113:113,C38,114:114)+100</f>
        <v>100</v>
      </c>
      <c r="I38" s="1722" t="s">
        <v>3024</v>
      </c>
      <c r="J38" s="1681">
        <f>SUMIF(113:113,I38,114:114)-SUMIF(113:113,C38,114:114)+100</f>
        <v>100</v>
      </c>
      <c r="K38" s="1962">
        <v>1</v>
      </c>
      <c r="L38" s="2966"/>
      <c r="M38" s="2939"/>
      <c r="N38" s="2939"/>
      <c r="O38" s="2939"/>
      <c r="P38" s="3598"/>
      <c r="Q38" s="2884" t="str">
        <f t="shared" si="11"/>
        <v>写字楼等级</v>
      </c>
      <c r="R38" s="1650" t="s">
        <v>25</v>
      </c>
      <c r="S38" s="1651">
        <f t="shared" si="12"/>
        <v>100</v>
      </c>
      <c r="T38" s="1650" t="s">
        <v>25</v>
      </c>
      <c r="U38" s="1651">
        <f t="shared" si="13"/>
        <v>100</v>
      </c>
      <c r="V38" s="1650" t="s">
        <v>25</v>
      </c>
      <c r="W38" s="1651">
        <f t="shared" si="14"/>
        <v>100</v>
      </c>
      <c r="X38" s="1652"/>
      <c r="Y38" s="3598"/>
      <c r="Z38" s="1663" t="str">
        <f t="shared" si="15"/>
        <v>写字楼等级</v>
      </c>
      <c r="AA38" s="1653">
        <f t="shared" si="3"/>
        <v>1</v>
      </c>
      <c r="AB38" s="1653">
        <f t="shared" si="4"/>
        <v>1</v>
      </c>
      <c r="AC38" s="1653">
        <f t="shared" si="5"/>
        <v>1</v>
      </c>
    </row>
    <row r="39" spans="1:29" ht="15">
      <c r="A39" s="1742"/>
      <c r="B39" s="1665" t="s">
        <v>2333</v>
      </c>
      <c r="C39" s="1722" t="s">
        <v>3026</v>
      </c>
      <c r="D39" s="1681">
        <v>100</v>
      </c>
      <c r="E39" s="1722" t="s">
        <v>3026</v>
      </c>
      <c r="F39" s="1724">
        <f>SUMIF(115:115,E39,116:116)-SUMIF(115:115,C39,116:116)+100</f>
        <v>100</v>
      </c>
      <c r="G39" s="1722" t="s">
        <v>3026</v>
      </c>
      <c r="H39" s="1681">
        <f>SUMIF(115:115,G39,116:116)-SUMIF(115:115,C39,116:116)+100</f>
        <v>100</v>
      </c>
      <c r="I39" s="1722" t="s">
        <v>3026</v>
      </c>
      <c r="J39" s="1681">
        <f>SUMIF(115:115,I39,116:116)-SUMIF(115:115,C39,116:116)+100</f>
        <v>100</v>
      </c>
      <c r="K39" s="1962">
        <v>1</v>
      </c>
      <c r="L39" s="2971"/>
      <c r="M39" s="2967"/>
      <c r="N39" s="2967"/>
      <c r="O39" s="2967"/>
      <c r="P39" s="3598" t="s">
        <v>2217</v>
      </c>
      <c r="Q39" s="2885" t="str">
        <f t="shared" si="11"/>
        <v>物业管理</v>
      </c>
      <c r="R39" s="1695" t="s">
        <v>25</v>
      </c>
      <c r="S39" s="1696">
        <f t="shared" si="12"/>
        <v>100</v>
      </c>
      <c r="T39" s="1695" t="s">
        <v>25</v>
      </c>
      <c r="U39" s="1696">
        <f t="shared" si="13"/>
        <v>100</v>
      </c>
      <c r="V39" s="1695" t="s">
        <v>25</v>
      </c>
      <c r="W39" s="1696">
        <f t="shared" si="14"/>
        <v>100</v>
      </c>
      <c r="X39" s="2044"/>
      <c r="Y39" s="3598" t="s">
        <v>2217</v>
      </c>
      <c r="Z39" s="2048" t="str">
        <f t="shared" si="15"/>
        <v>物业管理</v>
      </c>
      <c r="AA39" s="2039">
        <f t="shared" si="3"/>
        <v>1</v>
      </c>
      <c r="AB39" s="2039">
        <f t="shared" si="4"/>
        <v>1</v>
      </c>
      <c r="AC39" s="2039">
        <f t="shared" si="5"/>
        <v>1</v>
      </c>
    </row>
    <row r="40" spans="1:29" ht="15">
      <c r="A40" s="1742"/>
      <c r="B40" s="1665" t="s">
        <v>2306</v>
      </c>
      <c r="C40" s="1722" t="s">
        <v>3030</v>
      </c>
      <c r="D40" s="1681">
        <v>100</v>
      </c>
      <c r="E40" s="1722" t="s">
        <v>3030</v>
      </c>
      <c r="F40" s="1724">
        <f>SUMIF(117:117,E40,118:118)-SUMIF(117:117,C40,118:118)+100</f>
        <v>100</v>
      </c>
      <c r="G40" s="1722" t="s">
        <v>3030</v>
      </c>
      <c r="H40" s="1681">
        <f>SUMIF(117:117,G40,118:118)-SUMIF(117:117,C40,118:118)+100</f>
        <v>100</v>
      </c>
      <c r="I40" s="1722" t="s">
        <v>3030</v>
      </c>
      <c r="J40" s="1681">
        <f>SUMIF(117:117,I40,118:118)-SUMIF(117:117,C40,118:118)+100</f>
        <v>100</v>
      </c>
      <c r="K40" s="1962">
        <v>1</v>
      </c>
      <c r="L40" s="2971"/>
      <c r="M40" s="2967"/>
      <c r="N40" s="2967"/>
      <c r="O40" s="2967"/>
      <c r="P40" s="3598"/>
      <c r="Q40" s="2885" t="str">
        <f t="shared" si="11"/>
        <v>市政基础设施</v>
      </c>
      <c r="R40" s="1695" t="s">
        <v>25</v>
      </c>
      <c r="S40" s="1696">
        <f t="shared" si="12"/>
        <v>100</v>
      </c>
      <c r="T40" s="1695" t="s">
        <v>25</v>
      </c>
      <c r="U40" s="1696">
        <f t="shared" si="13"/>
        <v>100</v>
      </c>
      <c r="V40" s="1695" t="s">
        <v>25</v>
      </c>
      <c r="W40" s="1696">
        <f t="shared" si="14"/>
        <v>100</v>
      </c>
      <c r="X40" s="2044"/>
      <c r="Y40" s="3598"/>
      <c r="Z40" s="2048" t="str">
        <f t="shared" si="15"/>
        <v>市政基础设施</v>
      </c>
      <c r="AA40" s="2039">
        <f t="shared" si="3"/>
        <v>1</v>
      </c>
      <c r="AB40" s="2039">
        <f t="shared" si="4"/>
        <v>1</v>
      </c>
      <c r="AC40" s="2039">
        <f t="shared" si="5"/>
        <v>1</v>
      </c>
    </row>
    <row r="41" spans="1:29" ht="15">
      <c r="A41" s="1742"/>
      <c r="B41" s="1665" t="s">
        <v>2308</v>
      </c>
      <c r="C41" s="1961" t="s">
        <v>3032</v>
      </c>
      <c r="D41" s="1681">
        <v>100</v>
      </c>
      <c r="E41" s="1961" t="s">
        <v>3032</v>
      </c>
      <c r="F41" s="1724">
        <f>SUMIF(119:119,E41,120:120)-SUMIF(119:119,C41,120:120)+100</f>
        <v>100</v>
      </c>
      <c r="G41" s="1961" t="s">
        <v>3032</v>
      </c>
      <c r="H41" s="1681">
        <f>SUMIF(119:119,G41,120:120)-SUMIF(119:119,C41,120:120)+100</f>
        <v>100</v>
      </c>
      <c r="I41" s="1961" t="s">
        <v>3032</v>
      </c>
      <c r="J41" s="1681">
        <f>SUMIF(119:119,I41,120:120)-SUMIF(119:119,C41,120:120)+100</f>
        <v>100</v>
      </c>
      <c r="K41" s="1962">
        <v>1</v>
      </c>
      <c r="L41" s="2971"/>
      <c r="M41" s="2967"/>
      <c r="N41" s="2967"/>
      <c r="O41" s="2967"/>
      <c r="P41" s="3598"/>
      <c r="Q41" s="2885" t="str">
        <f t="shared" si="11"/>
        <v>层高</v>
      </c>
      <c r="R41" s="1695" t="s">
        <v>25</v>
      </c>
      <c r="S41" s="1696">
        <f t="shared" si="12"/>
        <v>100</v>
      </c>
      <c r="T41" s="1695" t="s">
        <v>25</v>
      </c>
      <c r="U41" s="1696">
        <f t="shared" si="13"/>
        <v>100</v>
      </c>
      <c r="V41" s="1695" t="s">
        <v>25</v>
      </c>
      <c r="W41" s="1696">
        <f t="shared" si="14"/>
        <v>100</v>
      </c>
      <c r="X41" s="2044"/>
      <c r="Y41" s="3598"/>
      <c r="Z41" s="2048" t="str">
        <f t="shared" si="15"/>
        <v>层高</v>
      </c>
      <c r="AA41" s="2039">
        <f t="shared" si="3"/>
        <v>1</v>
      </c>
      <c r="AB41" s="2039">
        <f t="shared" si="4"/>
        <v>1</v>
      </c>
      <c r="AC41" s="2039">
        <f t="shared" si="5"/>
        <v>1</v>
      </c>
    </row>
    <row r="42" spans="1:29" s="1741" customFormat="1" ht="15">
      <c r="A42" s="1734"/>
      <c r="B42" s="2040" t="s">
        <v>2334</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598"/>
      <c r="Q42" s="1736" t="str">
        <f t="shared" si="11"/>
        <v>单套建筑面积</v>
      </c>
      <c r="R42" s="1737" t="s">
        <v>25</v>
      </c>
      <c r="S42" s="1738">
        <f t="shared" si="12"/>
        <v>100</v>
      </c>
      <c r="T42" s="1737" t="s">
        <v>25</v>
      </c>
      <c r="U42" s="1738">
        <f t="shared" si="13"/>
        <v>100</v>
      </c>
      <c r="V42" s="1737" t="s">
        <v>25</v>
      </c>
      <c r="W42" s="1738">
        <f t="shared" si="14"/>
        <v>100</v>
      </c>
      <c r="X42" s="1739"/>
      <c r="Y42" s="3598"/>
      <c r="Z42" s="1740" t="str">
        <f t="shared" si="15"/>
        <v>单套建筑面积</v>
      </c>
      <c r="AA42" s="2039">
        <f t="shared" si="3"/>
        <v>1</v>
      </c>
      <c r="AB42" s="2039">
        <f t="shared" si="4"/>
        <v>1</v>
      </c>
      <c r="AC42" s="2039">
        <f t="shared" si="5"/>
        <v>1</v>
      </c>
    </row>
    <row r="43" spans="1:29" ht="15">
      <c r="A43" s="1742"/>
      <c r="B43" s="1665" t="s">
        <v>2311</v>
      </c>
      <c r="C43" s="1722" t="s">
        <v>3036</v>
      </c>
      <c r="D43" s="1681">
        <v>100</v>
      </c>
      <c r="E43" s="1722" t="s">
        <v>3034</v>
      </c>
      <c r="F43" s="1724">
        <f>SUMIF(123:123,E43,124:124)-SUMIF(123:123,C43,124:124)+100</f>
        <v>101.5</v>
      </c>
      <c r="G43" s="1722" t="s">
        <v>3034</v>
      </c>
      <c r="H43" s="1681">
        <f>SUMIF(123:123,G43,124:124)-SUMIF(123:123,C43,124:124)+100</f>
        <v>101.5</v>
      </c>
      <c r="I43" s="1722" t="s">
        <v>3034</v>
      </c>
      <c r="J43" s="1681">
        <f>SUMIF(123:123,I43,124:124)-SUMIF(123:123,C43,124:124)+100</f>
        <v>101.5</v>
      </c>
      <c r="K43" s="1962">
        <v>1.5</v>
      </c>
      <c r="L43" s="2971"/>
      <c r="M43" s="2967"/>
      <c r="N43" s="2967"/>
      <c r="O43" s="2967"/>
      <c r="P43" s="3598"/>
      <c r="Q43" s="2885" t="str">
        <f t="shared" si="11"/>
        <v>内部装修</v>
      </c>
      <c r="R43" s="1695" t="s">
        <v>25</v>
      </c>
      <c r="S43" s="1696">
        <f t="shared" si="12"/>
        <v>101.5</v>
      </c>
      <c r="T43" s="1695" t="s">
        <v>25</v>
      </c>
      <c r="U43" s="1696">
        <f t="shared" si="13"/>
        <v>101.5</v>
      </c>
      <c r="V43" s="1695" t="s">
        <v>25</v>
      </c>
      <c r="W43" s="1696">
        <f t="shared" si="14"/>
        <v>101.5</v>
      </c>
      <c r="X43" s="2044"/>
      <c r="Y43" s="3598"/>
      <c r="Z43" s="2048" t="str">
        <f t="shared" si="15"/>
        <v>内部装修</v>
      </c>
      <c r="AA43" s="2039">
        <f t="shared" si="3"/>
        <v>0.98522167487684731</v>
      </c>
      <c r="AB43" s="2039">
        <f t="shared" si="4"/>
        <v>0.98522167487684731</v>
      </c>
      <c r="AC43" s="2039">
        <f t="shared" si="5"/>
        <v>0.98522167487684731</v>
      </c>
    </row>
    <row r="44" spans="1:29" ht="15">
      <c r="A44" s="1742"/>
      <c r="B44" s="1665" t="s">
        <v>2228</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1</v>
      </c>
      <c r="L44" s="2971"/>
      <c r="M44" s="2967"/>
      <c r="N44" s="2967"/>
      <c r="O44" s="2967"/>
      <c r="P44" s="3598"/>
      <c r="Q44" s="2885" t="str">
        <f t="shared" si="11"/>
        <v>内部装修维护情况</v>
      </c>
      <c r="R44" s="1695" t="s">
        <v>25</v>
      </c>
      <c r="S44" s="1696">
        <f t="shared" si="12"/>
        <v>100</v>
      </c>
      <c r="T44" s="1695" t="s">
        <v>25</v>
      </c>
      <c r="U44" s="1696">
        <f t="shared" si="13"/>
        <v>100</v>
      </c>
      <c r="V44" s="1695" t="s">
        <v>25</v>
      </c>
      <c r="W44" s="1696">
        <f t="shared" si="14"/>
        <v>100</v>
      </c>
      <c r="X44" s="2044"/>
      <c r="Y44" s="3598"/>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598"/>
      <c r="Q45" s="2884">
        <f t="shared" si="11"/>
        <v>111</v>
      </c>
      <c r="R45" s="1650" t="s">
        <v>25</v>
      </c>
      <c r="S45" s="1651">
        <f t="shared" si="12"/>
        <v>100</v>
      </c>
      <c r="T45" s="1650" t="s">
        <v>25</v>
      </c>
      <c r="U45" s="1651">
        <f t="shared" si="13"/>
        <v>100</v>
      </c>
      <c r="V45" s="1650" t="s">
        <v>25</v>
      </c>
      <c r="W45" s="1651">
        <f t="shared" si="14"/>
        <v>100</v>
      </c>
      <c r="X45" s="1652"/>
      <c r="Y45" s="3598"/>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598"/>
      <c r="Q46" s="2885">
        <f t="shared" si="11"/>
        <v>111</v>
      </c>
      <c r="R46" s="1695" t="s">
        <v>25</v>
      </c>
      <c r="S46" s="1696">
        <f t="shared" si="12"/>
        <v>100</v>
      </c>
      <c r="T46" s="1695" t="s">
        <v>25</v>
      </c>
      <c r="U46" s="1696">
        <f t="shared" si="13"/>
        <v>100</v>
      </c>
      <c r="V46" s="1695" t="s">
        <v>25</v>
      </c>
      <c r="W46" s="1696">
        <f t="shared" si="14"/>
        <v>100</v>
      </c>
      <c r="X46" s="2044"/>
      <c r="Y46" s="3598"/>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599"/>
      <c r="Q47" s="2885">
        <f t="shared" si="11"/>
        <v>111</v>
      </c>
      <c r="R47" s="1695" t="s">
        <v>25</v>
      </c>
      <c r="S47" s="1696">
        <f t="shared" si="12"/>
        <v>100</v>
      </c>
      <c r="T47" s="1695" t="s">
        <v>25</v>
      </c>
      <c r="U47" s="1696">
        <f t="shared" si="13"/>
        <v>100</v>
      </c>
      <c r="V47" s="1695" t="s">
        <v>25</v>
      </c>
      <c r="W47" s="1696">
        <f t="shared" si="14"/>
        <v>100</v>
      </c>
      <c r="X47" s="2044"/>
      <c r="Y47" s="3599"/>
      <c r="Z47" s="2048">
        <f t="shared" si="15"/>
        <v>111</v>
      </c>
      <c r="AA47" s="2039">
        <f t="shared" si="3"/>
        <v>1</v>
      </c>
      <c r="AB47" s="2039">
        <f t="shared" si="4"/>
        <v>1</v>
      </c>
      <c r="AC47" s="2039">
        <f t="shared" si="5"/>
        <v>1</v>
      </c>
    </row>
    <row r="48" spans="1:29" ht="15">
      <c r="A48" s="1751" t="s">
        <v>2229</v>
      </c>
      <c r="B48" s="1752"/>
      <c r="C48" s="1753" t="s">
        <v>1</v>
      </c>
      <c r="D48" s="1754"/>
      <c r="E48" s="1755">
        <v>32000</v>
      </c>
      <c r="F48" s="1756"/>
      <c r="G48" s="1755">
        <v>36800</v>
      </c>
      <c r="H48" s="1758"/>
      <c r="I48" s="1755">
        <f>ROUND(40000*0.9,0)</f>
        <v>36000</v>
      </c>
      <c r="J48" s="1758"/>
      <c r="K48" s="1983"/>
      <c r="L48" s="2972"/>
      <c r="M48" s="2967"/>
      <c r="N48" s="2967"/>
      <c r="O48" s="2967"/>
      <c r="P48" s="3590" t="str">
        <f>A48</f>
        <v>成交单价（元/平方米）</v>
      </c>
      <c r="Q48" s="3590"/>
      <c r="R48" s="3586">
        <f>E48</f>
        <v>32000</v>
      </c>
      <c r="S48" s="3586"/>
      <c r="T48" s="3586">
        <f>G48</f>
        <v>36800</v>
      </c>
      <c r="U48" s="3586"/>
      <c r="V48" s="3586">
        <f>I48</f>
        <v>36000</v>
      </c>
      <c r="W48" s="3586"/>
      <c r="X48" s="1761"/>
      <c r="Y48" s="2043"/>
      <c r="Z48" s="1761"/>
      <c r="AA48" s="1761"/>
      <c r="AB48" s="1761"/>
      <c r="AC48" s="1761"/>
    </row>
    <row r="49" spans="1:29" ht="15.75" thickBot="1">
      <c r="A49" s="1763" t="s">
        <v>2312</v>
      </c>
      <c r="B49" s="1764"/>
      <c r="C49" s="1765">
        <f>R50</f>
        <v>33198</v>
      </c>
      <c r="D49" s="1766" t="s">
        <v>2685</v>
      </c>
      <c r="E49" s="1767">
        <f>R49</f>
        <v>30615</v>
      </c>
      <c r="F49" s="1768"/>
      <c r="G49" s="1765">
        <f>T49</f>
        <v>34886</v>
      </c>
      <c r="H49" s="1768"/>
      <c r="I49" s="1767">
        <f>V49</f>
        <v>34094</v>
      </c>
      <c r="J49" s="1768"/>
      <c r="K49" s="2480">
        <f>F49+H49+J49</f>
        <v>0</v>
      </c>
      <c r="L49" s="2972"/>
      <c r="M49" s="2967"/>
      <c r="N49" s="2967"/>
      <c r="O49" s="2967"/>
      <c r="P49" s="3590" t="str">
        <f>A49</f>
        <v>比较价值（元/平方米）</v>
      </c>
      <c r="Q49" s="3590"/>
      <c r="R49" s="3586">
        <f>IF(E1="售价",ROUND(PRODUCT(R48,AA7:AA47),0),ROUND(PRODUCT(R48,AA7:AA47),1))</f>
        <v>30615</v>
      </c>
      <c r="S49" s="3586"/>
      <c r="T49" s="3586">
        <f>IF(E1="售价",ROUND(PRODUCT(T48,AB7:AB47),0),ROUND(PRODUCT(T48,AB7:AB47),1))</f>
        <v>34886</v>
      </c>
      <c r="U49" s="3586"/>
      <c r="V49" s="3586">
        <f>IF(E1="售价",ROUND(PRODUCT(V48,AC7:AC47),0),ROUND(PRODUCT(V48,AC7:AC47),1))</f>
        <v>34094</v>
      </c>
      <c r="W49" s="3586"/>
      <c r="X49" s="1761"/>
      <c r="Y49" s="1761"/>
      <c r="Z49" s="1761"/>
      <c r="AA49" s="1761"/>
      <c r="AB49" s="1761"/>
      <c r="AC49" s="1761"/>
    </row>
    <row r="50" spans="1:29" ht="15.75" thickBot="1">
      <c r="A50" s="1769" t="s">
        <v>2335</v>
      </c>
      <c r="B50" s="1770"/>
      <c r="C50" s="1772">
        <f>R50</f>
        <v>33198</v>
      </c>
      <c r="D50" s="1772"/>
      <c r="E50" s="1772"/>
      <c r="F50" s="1772"/>
      <c r="G50" s="1772"/>
      <c r="H50" s="1772"/>
      <c r="I50" s="1772"/>
      <c r="J50" s="1772"/>
      <c r="K50" s="1988"/>
      <c r="L50" s="2972"/>
      <c r="M50" s="2967"/>
      <c r="N50" s="2967"/>
      <c r="O50" s="2967"/>
      <c r="P50" s="3587" t="str">
        <f>A50</f>
        <v>估价对象XX用房的比较价值（楼面单价，元/平方米）</v>
      </c>
      <c r="Q50" s="3588"/>
      <c r="R50" s="3589">
        <f>IF(E1="售价",ROUND(IF(D49="简单平均",AVERAGE(R49:V49),R49*F49+T49*H49+V49*J49),0),ROUND(IF(D49="简单平均",AVERAGE(R49:V49),R49*F49+T49*H49+V49*J49),1))</f>
        <v>33198</v>
      </c>
      <c r="S50" s="3589"/>
      <c r="T50" s="3589"/>
      <c r="U50" s="3589"/>
      <c r="V50" s="3589"/>
      <c r="W50" s="3589"/>
      <c r="X50" s="1761"/>
      <c r="Y50" s="1761"/>
      <c r="Z50" s="1761"/>
      <c r="AA50" s="1761"/>
      <c r="AB50" s="1761"/>
      <c r="AC50" s="1761"/>
    </row>
    <row r="51" spans="1:29">
      <c r="G51" s="2976"/>
    </row>
    <row r="53" spans="1:29" ht="13.5" customHeight="1">
      <c r="C53" s="383" t="s">
        <v>2314</v>
      </c>
      <c r="D53" s="1777"/>
      <c r="E53" s="1778">
        <f>IF(E48&lt;E49,E49/E48-1,E48/E49-1)</f>
        <v>4.5239261799771446E-2</v>
      </c>
      <c r="F53" s="1779" t="str">
        <f>IF(OR(E53&gt;=0.3,E53&lt;=-0.3),"超过30%","")</f>
        <v/>
      </c>
      <c r="G53" s="1778">
        <f>IF(G48&lt;G49,G49/G48-1,G48/G49-1)</f>
        <v>5.4864415524852328E-2</v>
      </c>
      <c r="H53" s="1779" t="str">
        <f>IF(OR(G53&gt;=0.3,G53&lt;=-0.3),"超过30%","")</f>
        <v/>
      </c>
      <c r="I53" s="1778">
        <f>IF(I48&lt;I49,I49/I48-1,I48/I49-1)</f>
        <v>5.5904264680002314E-2</v>
      </c>
      <c r="J53" s="1779" t="str">
        <f>IF(OR(I53&gt;=0.3,I53&lt;=-0.3),"超过30%","")</f>
        <v/>
      </c>
    </row>
    <row r="54" spans="1:29" ht="13.5" customHeight="1">
      <c r="C54" s="383" t="s">
        <v>2315</v>
      </c>
      <c r="D54" s="1780"/>
      <c r="E54" s="1778">
        <f>IF(E49&lt;G49,G49/E49-1,E49/G49-1)</f>
        <v>0.1395067777233383</v>
      </c>
      <c r="F54" s="1779" t="str">
        <f>IF(OR(E54&gt;=0.2,E54&lt;=-0.2),"超过20%","")</f>
        <v/>
      </c>
      <c r="G54" s="1778">
        <f>IF(G49&lt;I49,I49/G49-1,G49/I49-1)</f>
        <v>2.3229893822960035E-2</v>
      </c>
      <c r="H54" s="1779" t="str">
        <f>IF(OR(G54&gt;=0.2,G54&lt;=-0.2),"超过20%","")</f>
        <v/>
      </c>
      <c r="I54" s="1778">
        <f>IF(I49&lt;E49,E49/I49-1,I49/E49-1)</f>
        <v>0.11363710599379395</v>
      </c>
      <c r="J54" s="1779" t="str">
        <f>IF(OR(I54&gt;=0.2,I54&lt;=-0.2),"超过20%","")</f>
        <v/>
      </c>
    </row>
    <row r="55" spans="1:29" s="1783" customFormat="1" ht="13.5" customHeight="1">
      <c r="C55" s="383" t="s">
        <v>2316</v>
      </c>
      <c r="D55" s="1780"/>
      <c r="E55" s="1778">
        <f>IF(E48&lt;G48,G48/E48-1,E48/G48-1)</f>
        <v>0.14999999999999991</v>
      </c>
      <c r="F55" s="1779" t="str">
        <f>IF(OR(E55&gt;=0.3,E55&lt;=-0.3),"超过30%","")</f>
        <v/>
      </c>
      <c r="G55" s="1778">
        <f>IF(G48&lt;I48,I48/G48-1,G48/I48-1)</f>
        <v>2.2222222222222143E-2</v>
      </c>
      <c r="H55" s="1779" t="str">
        <f>IF(OR(G55&gt;=0.3,G55&lt;=-0.3),"超过30%","")</f>
        <v/>
      </c>
      <c r="I55" s="1778">
        <f>IF(I48&lt;E48,E48/I48-1,I48/E48-1)</f>
        <v>0.125</v>
      </c>
      <c r="J55" s="1779" t="str">
        <f>IF(OR(I55&gt;=0.3,I55&lt;=-0.3),"超过30%","")</f>
        <v/>
      </c>
      <c r="K55" s="2979"/>
      <c r="L55" s="2973"/>
    </row>
    <row r="56" spans="1:29" s="1783" customFormat="1">
      <c r="B56" s="2977"/>
      <c r="C56" s="2978"/>
      <c r="K56" s="2979"/>
      <c r="L56" s="2973"/>
    </row>
    <row r="57" spans="1:29">
      <c r="B57" s="2977"/>
      <c r="C57" s="2978"/>
    </row>
    <row r="58" spans="1:29" ht="21.75" thickBot="1">
      <c r="A58" s="1786" t="s">
        <v>2317</v>
      </c>
      <c r="B58" s="1761"/>
      <c r="C58" s="1787"/>
      <c r="D58" s="1787"/>
      <c r="E58" s="1787"/>
      <c r="F58" s="1787"/>
      <c r="G58" s="1787"/>
      <c r="H58" s="1787"/>
      <c r="I58" s="1787"/>
      <c r="J58" s="1787"/>
      <c r="K58" s="1788"/>
      <c r="L58" s="1789"/>
      <c r="M58" s="1787"/>
      <c r="N58" s="2975"/>
      <c r="O58" s="2975"/>
      <c r="P58" s="2015"/>
      <c r="Q58" s="1791"/>
    </row>
    <row r="59" spans="1:29" s="1797" customFormat="1" ht="15">
      <c r="A59" s="1792" t="s">
        <v>2199</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2237</v>
      </c>
      <c r="B61" s="1805"/>
      <c r="C61" s="1806"/>
      <c r="D61" s="1807"/>
      <c r="E61" s="1807"/>
      <c r="F61" s="1807"/>
      <c r="G61" s="1807"/>
      <c r="H61" s="1807"/>
      <c r="I61" s="1807"/>
      <c r="J61" s="1807"/>
      <c r="K61" s="1807"/>
      <c r="L61" s="1807"/>
      <c r="M61" s="1808"/>
      <c r="N61" s="1807"/>
      <c r="O61" s="2474"/>
      <c r="P61" s="1791"/>
      <c r="Q61" s="1791"/>
    </row>
    <row r="62" spans="1:29" s="1654" customFormat="1" ht="15">
      <c r="A62" s="1809" t="s">
        <v>2201</v>
      </c>
      <c r="B62" s="1799"/>
      <c r="C62" s="1810" t="s">
        <v>2202</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2240</v>
      </c>
      <c r="B64" s="1817" t="s">
        <v>2205</v>
      </c>
      <c r="C64" s="1818" t="str">
        <f>C9</f>
        <v>办公</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2208</v>
      </c>
      <c r="C66" s="1829" t="s">
        <v>2241</v>
      </c>
      <c r="D66" s="1829" t="s">
        <v>2242</v>
      </c>
      <c r="E66" s="1829" t="s">
        <v>2243</v>
      </c>
      <c r="F66" s="1829" t="s">
        <v>2244</v>
      </c>
      <c r="G66" s="1829" t="s">
        <v>2245</v>
      </c>
      <c r="H66" s="1829" t="s">
        <v>2246</v>
      </c>
      <c r="I66" s="1829" t="s">
        <v>2247</v>
      </c>
      <c r="J66" s="1829"/>
      <c r="K66" s="428"/>
      <c r="L66" s="428"/>
      <c r="M66" s="1830"/>
      <c r="N66" s="2985"/>
      <c r="O66" s="2985"/>
      <c r="P66" s="2027"/>
      <c r="Q66" s="1791"/>
    </row>
    <row r="67" spans="1:17" ht="15.75" thickBot="1">
      <c r="A67" s="1823"/>
      <c r="B67" s="1831"/>
      <c r="C67" s="1832" t="s">
        <v>36</v>
      </c>
      <c r="D67" s="1832" t="s">
        <v>37</v>
      </c>
      <c r="E67" s="1832">
        <v>100</v>
      </c>
      <c r="F67" s="1832">
        <f>E67-$K10</f>
        <v>99</v>
      </c>
      <c r="G67" s="1832">
        <f>F67-$K10</f>
        <v>98</v>
      </c>
      <c r="H67" s="1832">
        <f>G67-$K10</f>
        <v>97</v>
      </c>
      <c r="I67" s="1832">
        <f>H67-$K10</f>
        <v>96</v>
      </c>
      <c r="J67" s="1832"/>
      <c r="K67" s="1832"/>
      <c r="L67" s="1832"/>
      <c r="M67" s="1833"/>
      <c r="N67" s="2986"/>
      <c r="O67" s="2986"/>
      <c r="P67" s="2027"/>
      <c r="Q67" s="1791"/>
    </row>
    <row r="68" spans="1:17" ht="15.75" thickTop="1">
      <c r="A68" s="1823"/>
      <c r="B68" s="1834" t="s">
        <v>2209</v>
      </c>
      <c r="C68" s="1835" t="str">
        <f>C69&amp;"（含）"&amp;"-"&amp;D69</f>
        <v>1（含）-2</v>
      </c>
      <c r="D68" s="1835" t="str">
        <f t="shared" ref="D68:L68" si="17">D69&amp;"（含）"&amp;"-"&amp;E69</f>
        <v>2（含）-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v>1</v>
      </c>
      <c r="D69" s="1837">
        <v>2</v>
      </c>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2210</v>
      </c>
      <c r="B77" s="1817" t="s">
        <v>2336</v>
      </c>
      <c r="C77" s="1855" t="s">
        <v>2249</v>
      </c>
      <c r="D77" s="1855" t="s">
        <v>2250</v>
      </c>
      <c r="E77" s="1855" t="s">
        <v>2251</v>
      </c>
      <c r="F77" s="1855" t="s">
        <v>2252</v>
      </c>
      <c r="G77" s="1855" t="s">
        <v>2253</v>
      </c>
      <c r="H77" s="1818"/>
      <c r="I77" s="1818"/>
      <c r="J77" s="1818"/>
      <c r="K77" s="463"/>
      <c r="L77" s="463"/>
      <c r="M77" s="1856"/>
      <c r="N77" s="2985"/>
      <c r="O77" s="2985"/>
      <c r="P77" s="2027"/>
      <c r="Q77" s="1791"/>
    </row>
    <row r="78" spans="1:17" ht="15.75" thickBot="1">
      <c r="A78" s="1823"/>
      <c r="B78" s="1831"/>
      <c r="C78" s="1832">
        <v>100</v>
      </c>
      <c r="D78" s="1832">
        <f>C78-$K15</f>
        <v>98</v>
      </c>
      <c r="E78" s="1832">
        <f>D78-$K15</f>
        <v>96</v>
      </c>
      <c r="F78" s="1832">
        <f>E78-$K15</f>
        <v>94</v>
      </c>
      <c r="G78" s="1832">
        <f>F78-$K15</f>
        <v>92</v>
      </c>
      <c r="H78" s="1832"/>
      <c r="I78" s="1832"/>
      <c r="J78" s="1832"/>
      <c r="K78" s="1832"/>
      <c r="L78" s="1832"/>
      <c r="M78" s="1833"/>
      <c r="N78" s="2986"/>
      <c r="O78" s="2986"/>
      <c r="P78" s="2027"/>
      <c r="Q78" s="1791"/>
    </row>
    <row r="79" spans="1:17" ht="15.75" thickTop="1">
      <c r="A79" s="1823"/>
      <c r="B79" s="1828" t="s">
        <v>2254</v>
      </c>
      <c r="C79" s="579" t="s">
        <v>2249</v>
      </c>
      <c r="D79" s="579" t="s">
        <v>2250</v>
      </c>
      <c r="E79" s="579" t="s">
        <v>2251</v>
      </c>
      <c r="F79" s="579" t="s">
        <v>2252</v>
      </c>
      <c r="G79" s="579" t="s">
        <v>2253</v>
      </c>
      <c r="H79" s="1829"/>
      <c r="I79" s="1829"/>
      <c r="J79" s="1829"/>
      <c r="K79" s="428"/>
      <c r="L79" s="428"/>
      <c r="M79" s="1830"/>
      <c r="N79" s="2985"/>
      <c r="O79" s="2985"/>
      <c r="P79" s="2027"/>
      <c r="Q79" s="1791"/>
    </row>
    <row r="80" spans="1:17" ht="15.75" thickBot="1">
      <c r="A80" s="1823"/>
      <c r="B80" s="1831"/>
      <c r="C80" s="1832">
        <v>100</v>
      </c>
      <c r="D80" s="1832">
        <f>C80-$K17</f>
        <v>99</v>
      </c>
      <c r="E80" s="1832">
        <f>D80-$K17</f>
        <v>98</v>
      </c>
      <c r="F80" s="1832">
        <f>E80-$K17</f>
        <v>97</v>
      </c>
      <c r="G80" s="1832">
        <f>F80-$K17</f>
        <v>96</v>
      </c>
      <c r="H80" s="1832"/>
      <c r="I80" s="1832"/>
      <c r="J80" s="1832"/>
      <c r="K80" s="1832"/>
      <c r="L80" s="1832"/>
      <c r="M80" s="1833"/>
      <c r="N80" s="2986"/>
      <c r="O80" s="2986"/>
      <c r="P80" s="2027"/>
      <c r="Q80" s="1791"/>
    </row>
    <row r="81" spans="1:17" ht="15.75" thickTop="1">
      <c r="A81" s="1823"/>
      <c r="B81" s="1828" t="s">
        <v>2255</v>
      </c>
      <c r="C81" s="579" t="s">
        <v>2249</v>
      </c>
      <c r="D81" s="579" t="s">
        <v>2250</v>
      </c>
      <c r="E81" s="579" t="s">
        <v>2251</v>
      </c>
      <c r="F81" s="579" t="s">
        <v>2252</v>
      </c>
      <c r="G81" s="579" t="s">
        <v>2253</v>
      </c>
      <c r="H81" s="1829"/>
      <c r="I81" s="1829"/>
      <c r="J81" s="1829"/>
      <c r="K81" s="428"/>
      <c r="L81" s="428"/>
      <c r="M81" s="1830"/>
      <c r="N81" s="2985"/>
      <c r="O81" s="2985"/>
      <c r="P81" s="2027"/>
      <c r="Q81" s="1791"/>
    </row>
    <row r="82" spans="1:17" ht="15.75" thickBot="1">
      <c r="A82" s="1823"/>
      <c r="B82" s="1831"/>
      <c r="C82" s="1832">
        <v>100</v>
      </c>
      <c r="D82" s="1832">
        <f>C82-$K19</f>
        <v>99</v>
      </c>
      <c r="E82" s="1832">
        <f>D82-$K19</f>
        <v>98</v>
      </c>
      <c r="F82" s="1832">
        <f>E82-$K19</f>
        <v>97</v>
      </c>
      <c r="G82" s="1832">
        <f>F82-$K19</f>
        <v>96</v>
      </c>
      <c r="H82" s="1832"/>
      <c r="I82" s="1832"/>
      <c r="J82" s="1832"/>
      <c r="K82" s="1832"/>
      <c r="L82" s="1832"/>
      <c r="M82" s="1833"/>
      <c r="N82" s="2986"/>
      <c r="O82" s="2986"/>
      <c r="P82" s="2027"/>
      <c r="Q82" s="1791"/>
    </row>
    <row r="83" spans="1:17" ht="15.75" thickTop="1">
      <c r="A83" s="1823"/>
      <c r="B83" s="1834" t="s">
        <v>2298</v>
      </c>
      <c r="C83" s="1829" t="s">
        <v>2256</v>
      </c>
      <c r="D83" s="1829" t="s">
        <v>2257</v>
      </c>
      <c r="E83" s="1829" t="s">
        <v>2258</v>
      </c>
      <c r="F83" s="1829" t="s">
        <v>2259</v>
      </c>
      <c r="G83" s="1829" t="s">
        <v>2260</v>
      </c>
      <c r="H83" s="1829"/>
      <c r="I83" s="1829"/>
      <c r="J83" s="1829"/>
      <c r="K83" s="1829"/>
      <c r="L83" s="1829"/>
      <c r="M83" s="1857"/>
      <c r="N83" s="2986"/>
      <c r="O83" s="2986"/>
      <c r="P83" s="2027"/>
      <c r="Q83" s="1791"/>
    </row>
    <row r="84" spans="1:17" ht="15.75" thickBot="1">
      <c r="A84" s="1823"/>
      <c r="B84" s="1834"/>
      <c r="C84" s="1832">
        <v>100</v>
      </c>
      <c r="D84" s="1832">
        <f>C84-$K21</f>
        <v>99</v>
      </c>
      <c r="E84" s="1832">
        <f>D84-$K21</f>
        <v>98</v>
      </c>
      <c r="F84" s="1832">
        <f>E84-$K21</f>
        <v>97</v>
      </c>
      <c r="G84" s="1832">
        <f>F84-$K21</f>
        <v>96</v>
      </c>
      <c r="H84" s="1858"/>
      <c r="I84" s="1858"/>
      <c r="J84" s="1858"/>
      <c r="K84" s="1858"/>
      <c r="L84" s="1858"/>
      <c r="M84" s="1705"/>
      <c r="N84" s="2986"/>
      <c r="O84" s="2986"/>
      <c r="P84" s="2027"/>
      <c r="Q84" s="1791"/>
    </row>
    <row r="85" spans="1:17" ht="15.75" thickTop="1">
      <c r="A85" s="1823"/>
      <c r="B85" s="1828" t="s">
        <v>2337</v>
      </c>
      <c r="C85" s="579" t="s">
        <v>2249</v>
      </c>
      <c r="D85" s="579" t="s">
        <v>2250</v>
      </c>
      <c r="E85" s="579" t="s">
        <v>2251</v>
      </c>
      <c r="F85" s="579" t="s">
        <v>2252</v>
      </c>
      <c r="G85" s="579" t="s">
        <v>2253</v>
      </c>
      <c r="H85" s="1829"/>
      <c r="I85" s="1829"/>
      <c r="J85" s="1829"/>
      <c r="K85" s="428"/>
      <c r="L85" s="428"/>
      <c r="M85" s="1830"/>
      <c r="N85" s="2985"/>
      <c r="O85" s="2985"/>
      <c r="P85" s="2027"/>
      <c r="Q85" s="1791"/>
    </row>
    <row r="86" spans="1:17" ht="15.75" thickBot="1">
      <c r="A86" s="1823"/>
      <c r="B86" s="1831"/>
      <c r="C86" s="1832">
        <v>100</v>
      </c>
      <c r="D86" s="1832">
        <f>C86-$K23</f>
        <v>99</v>
      </c>
      <c r="E86" s="1832">
        <f>D86-$K23</f>
        <v>98</v>
      </c>
      <c r="F86" s="1832">
        <f>E86-$K23</f>
        <v>97</v>
      </c>
      <c r="G86" s="1832">
        <f>F86-$K23</f>
        <v>96</v>
      </c>
      <c r="H86" s="1832"/>
      <c r="I86" s="1832"/>
      <c r="J86" s="1832"/>
      <c r="K86" s="1832"/>
      <c r="L86" s="1832"/>
      <c r="M86" s="1833"/>
      <c r="N86" s="2986"/>
      <c r="O86" s="2986"/>
      <c r="P86" s="2027"/>
      <c r="Q86" s="1791"/>
    </row>
    <row r="87" spans="1:17" s="1654" customFormat="1" ht="27.75" thickTop="1">
      <c r="A87" s="1859"/>
      <c r="B87" s="1828" t="s">
        <v>2338</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3317" t="s">
        <v>3010</v>
      </c>
      <c r="D89" s="3317" t="s">
        <v>3008</v>
      </c>
      <c r="E89" s="3317" t="s">
        <v>3007</v>
      </c>
      <c r="F89" s="1862"/>
      <c r="G89" s="468"/>
      <c r="H89" s="468"/>
      <c r="I89" s="468"/>
      <c r="J89" s="468"/>
      <c r="K89" s="468"/>
      <c r="L89" s="468"/>
      <c r="M89" s="1860"/>
      <c r="N89" s="2984"/>
      <c r="O89" s="2984"/>
      <c r="P89" s="2027"/>
      <c r="Q89" s="1791"/>
    </row>
    <row r="90" spans="1:17" s="1654" customFormat="1" ht="15.75" thickBot="1">
      <c r="A90" s="1859"/>
      <c r="B90" s="1831"/>
      <c r="C90" s="1861">
        <v>100</v>
      </c>
      <c r="D90" s="1832">
        <f>C90-$K27</f>
        <v>98</v>
      </c>
      <c r="E90" s="1832">
        <f t="shared" ref="E90:M90" si="20">D90-$K27</f>
        <v>96</v>
      </c>
      <c r="F90" s="1832">
        <f t="shared" si="20"/>
        <v>94</v>
      </c>
      <c r="G90" s="1832">
        <f t="shared" si="20"/>
        <v>92</v>
      </c>
      <c r="H90" s="1832">
        <f t="shared" si="20"/>
        <v>90</v>
      </c>
      <c r="I90" s="1832">
        <f t="shared" si="20"/>
        <v>88</v>
      </c>
      <c r="J90" s="1832">
        <f t="shared" si="20"/>
        <v>86</v>
      </c>
      <c r="K90" s="1832">
        <f t="shared" si="20"/>
        <v>84</v>
      </c>
      <c r="L90" s="1832">
        <f t="shared" si="20"/>
        <v>82</v>
      </c>
      <c r="M90" s="1832">
        <f t="shared" si="20"/>
        <v>80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2215</v>
      </c>
      <c r="B101" s="1817" t="s">
        <v>2264</v>
      </c>
      <c r="C101" s="3319" t="s">
        <v>3020</v>
      </c>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99</v>
      </c>
      <c r="E102" s="1832">
        <f t="shared" si="22"/>
        <v>98</v>
      </c>
      <c r="F102" s="1832">
        <f t="shared" si="22"/>
        <v>97</v>
      </c>
      <c r="G102" s="1832">
        <f t="shared" si="22"/>
        <v>96</v>
      </c>
      <c r="H102" s="1832">
        <f t="shared" si="22"/>
        <v>95</v>
      </c>
      <c r="I102" s="1832">
        <f t="shared" si="22"/>
        <v>94</v>
      </c>
      <c r="J102" s="1832">
        <f t="shared" si="22"/>
        <v>93</v>
      </c>
      <c r="K102" s="1832">
        <f t="shared" si="22"/>
        <v>92</v>
      </c>
      <c r="L102" s="1832">
        <f t="shared" si="22"/>
        <v>91</v>
      </c>
      <c r="M102" s="1833">
        <f t="shared" si="22"/>
        <v>90</v>
      </c>
      <c r="N102" s="2986"/>
      <c r="O102" s="2986"/>
      <c r="P102" s="2027"/>
      <c r="Q102" s="1791"/>
    </row>
    <row r="103" spans="1:17" ht="29.25" thickTop="1">
      <c r="A103" s="1823"/>
      <c r="B103" s="1828" t="s">
        <v>2265</v>
      </c>
      <c r="C103" s="579" t="str">
        <f>C104&amp;"(含)"&amp;"-"&amp;D104</f>
        <v>0(含)-300</v>
      </c>
      <c r="D103" s="579" t="str">
        <f t="shared" ref="D103:L103" si="23">D104&amp;"(含)"&amp;"-"&amp;E104</f>
        <v>300(含)-500</v>
      </c>
      <c r="E103" s="579" t="str">
        <f t="shared" si="23"/>
        <v>500(含)-1000</v>
      </c>
      <c r="F103" s="579" t="str">
        <f t="shared" si="23"/>
        <v>1000(含)-1500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v>0</v>
      </c>
      <c r="D104" s="1871">
        <v>300</v>
      </c>
      <c r="E104" s="1871">
        <v>500</v>
      </c>
      <c r="F104" s="1871">
        <v>1000</v>
      </c>
      <c r="G104" s="1871">
        <v>1500</v>
      </c>
      <c r="H104" s="1871">
        <v>2000</v>
      </c>
      <c r="I104" s="1871"/>
      <c r="J104" s="485"/>
      <c r="K104" s="485"/>
      <c r="L104" s="485"/>
      <c r="M104" s="1872"/>
      <c r="N104" s="2987"/>
      <c r="O104" s="2987"/>
      <c r="P104" s="2028"/>
      <c r="Q104" s="1843"/>
    </row>
    <row r="105" spans="1:17" s="1741" customFormat="1" ht="15.75" thickBot="1">
      <c r="A105" s="1839"/>
      <c r="B105" s="1831"/>
      <c r="C105" s="1844">
        <v>99</v>
      </c>
      <c r="D105" s="1825">
        <v>100</v>
      </c>
      <c r="E105" s="1825">
        <v>99</v>
      </c>
      <c r="F105" s="1825">
        <v>98</v>
      </c>
      <c r="G105" s="1825">
        <v>97</v>
      </c>
      <c r="H105" s="1825">
        <v>96</v>
      </c>
      <c r="I105" s="1825"/>
      <c r="J105" s="1825"/>
      <c r="K105" s="1825"/>
      <c r="L105" s="1825"/>
      <c r="M105" s="1826"/>
      <c r="N105" s="2986"/>
      <c r="O105" s="2986"/>
      <c r="P105" s="2028"/>
      <c r="Q105" s="1843"/>
    </row>
    <row r="106" spans="1:17" ht="15" thickTop="1">
      <c r="A106" s="1873"/>
      <c r="B106" s="1828" t="s">
        <v>2266</v>
      </c>
      <c r="C106" s="3317" t="s">
        <v>3021</v>
      </c>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99</v>
      </c>
      <c r="E107" s="1832">
        <f t="shared" si="24"/>
        <v>98</v>
      </c>
      <c r="F107" s="1832">
        <f t="shared" si="24"/>
        <v>97</v>
      </c>
      <c r="G107" s="1832">
        <f t="shared" si="24"/>
        <v>96</v>
      </c>
      <c r="H107" s="1832">
        <f t="shared" si="24"/>
        <v>95</v>
      </c>
      <c r="I107" s="1832">
        <f t="shared" si="24"/>
        <v>94</v>
      </c>
      <c r="J107" s="1832">
        <f t="shared" si="24"/>
        <v>93</v>
      </c>
      <c r="K107" s="1832">
        <f t="shared" si="24"/>
        <v>92</v>
      </c>
      <c r="L107" s="1832">
        <f t="shared" si="24"/>
        <v>91</v>
      </c>
      <c r="M107" s="1833">
        <f t="shared" si="24"/>
        <v>90</v>
      </c>
      <c r="N107" s="2986"/>
      <c r="O107" s="2986"/>
      <c r="P107" s="2027"/>
      <c r="Q107" s="1791"/>
    </row>
    <row r="108" spans="1:17" ht="15" thickTop="1">
      <c r="A108" s="1873"/>
      <c r="B108" s="1828" t="s">
        <v>2268</v>
      </c>
      <c r="C108" s="3317" t="s">
        <v>3023</v>
      </c>
      <c r="D108" s="3317" t="s">
        <v>3041</v>
      </c>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99</v>
      </c>
      <c r="E109" s="1832">
        <f t="shared" si="25"/>
        <v>98</v>
      </c>
      <c r="F109" s="1832">
        <f t="shared" si="25"/>
        <v>97</v>
      </c>
      <c r="G109" s="1832">
        <f t="shared" si="25"/>
        <v>96</v>
      </c>
      <c r="H109" s="1832">
        <f t="shared" si="25"/>
        <v>95</v>
      </c>
      <c r="I109" s="1832">
        <f t="shared" si="25"/>
        <v>94</v>
      </c>
      <c r="J109" s="1832">
        <f t="shared" si="25"/>
        <v>93</v>
      </c>
      <c r="K109" s="1832">
        <f t="shared" si="25"/>
        <v>92</v>
      </c>
      <c r="L109" s="1832">
        <f t="shared" si="25"/>
        <v>91</v>
      </c>
      <c r="M109" s="1833">
        <f t="shared" si="25"/>
        <v>90</v>
      </c>
      <c r="N109" s="2986"/>
      <c r="O109" s="2986"/>
      <c r="P109" s="2027"/>
      <c r="Q109" s="1791"/>
    </row>
    <row r="110" spans="1:17" ht="15" thickTop="1">
      <c r="A110" s="1873"/>
      <c r="B110" s="1828"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101</v>
      </c>
      <c r="E112" s="1832">
        <f t="shared" ref="E112:M112" si="26">D112+$K37</f>
        <v>102</v>
      </c>
      <c r="F112" s="1832">
        <f t="shared" si="26"/>
        <v>103</v>
      </c>
      <c r="G112" s="1832">
        <f t="shared" si="26"/>
        <v>104</v>
      </c>
      <c r="H112" s="1832">
        <f t="shared" si="26"/>
        <v>105</v>
      </c>
      <c r="I112" s="1832">
        <f t="shared" si="26"/>
        <v>106</v>
      </c>
      <c r="J112" s="1832">
        <f t="shared" si="26"/>
        <v>107</v>
      </c>
      <c r="K112" s="1832">
        <f t="shared" si="26"/>
        <v>108</v>
      </c>
      <c r="L112" s="1832">
        <f t="shared" si="26"/>
        <v>109</v>
      </c>
      <c r="M112" s="1832">
        <f t="shared" si="26"/>
        <v>110</v>
      </c>
      <c r="N112" s="2986"/>
      <c r="O112" s="2986"/>
      <c r="P112" s="2027"/>
      <c r="Q112" s="1791"/>
    </row>
    <row r="113" spans="1:17" s="1741" customFormat="1" ht="15" thickTop="1">
      <c r="A113" s="1869"/>
      <c r="B113" s="1828" t="s">
        <v>2339</v>
      </c>
      <c r="C113" s="3317" t="s">
        <v>3025</v>
      </c>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99</v>
      </c>
      <c r="E114" s="1832">
        <f t="shared" ref="E114:M114" si="27">D114-$K38</f>
        <v>98</v>
      </c>
      <c r="F114" s="1832">
        <f t="shared" si="27"/>
        <v>97</v>
      </c>
      <c r="G114" s="1832">
        <f t="shared" si="27"/>
        <v>96</v>
      </c>
      <c r="H114" s="1832">
        <f t="shared" si="27"/>
        <v>95</v>
      </c>
      <c r="I114" s="1832">
        <f t="shared" si="27"/>
        <v>94</v>
      </c>
      <c r="J114" s="1832">
        <f t="shared" si="27"/>
        <v>93</v>
      </c>
      <c r="K114" s="1832">
        <f t="shared" si="27"/>
        <v>92</v>
      </c>
      <c r="L114" s="1832">
        <f t="shared" si="27"/>
        <v>91</v>
      </c>
      <c r="M114" s="1832">
        <f t="shared" si="27"/>
        <v>90</v>
      </c>
      <c r="N114" s="2987"/>
      <c r="O114" s="2987"/>
      <c r="P114" s="2028"/>
      <c r="Q114" s="1843"/>
    </row>
    <row r="115" spans="1:17" ht="15" thickTop="1">
      <c r="A115" s="1873"/>
      <c r="B115" s="1828" t="s">
        <v>2270</v>
      </c>
      <c r="C115" s="3317" t="s">
        <v>3027</v>
      </c>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99</v>
      </c>
      <c r="E116" s="1832">
        <f t="shared" si="28"/>
        <v>98</v>
      </c>
      <c r="F116" s="1832">
        <f t="shared" si="28"/>
        <v>97</v>
      </c>
      <c r="G116" s="1832">
        <f t="shared" si="28"/>
        <v>96</v>
      </c>
      <c r="H116" s="1832">
        <f t="shared" si="28"/>
        <v>95</v>
      </c>
      <c r="I116" s="1832">
        <f t="shared" si="28"/>
        <v>94</v>
      </c>
      <c r="J116" s="1832">
        <f t="shared" si="28"/>
        <v>93</v>
      </c>
      <c r="K116" s="1832">
        <f t="shared" si="28"/>
        <v>92</v>
      </c>
      <c r="L116" s="1832">
        <f t="shared" si="28"/>
        <v>91</v>
      </c>
      <c r="M116" s="1833">
        <f t="shared" si="28"/>
        <v>90</v>
      </c>
      <c r="N116" s="2986"/>
      <c r="O116" s="2986"/>
      <c r="P116" s="2027"/>
      <c r="Q116" s="1791"/>
    </row>
    <row r="117" spans="1:17" ht="15" thickTop="1">
      <c r="A117" s="1873"/>
      <c r="B117" s="1828" t="s">
        <v>2271</v>
      </c>
      <c r="C117" s="3317" t="s">
        <v>3028</v>
      </c>
      <c r="D117" s="3317" t="s">
        <v>3029</v>
      </c>
      <c r="E117" s="3317" t="s">
        <v>3031</v>
      </c>
      <c r="F117" s="468"/>
      <c r="G117" s="468"/>
      <c r="H117" s="1547"/>
      <c r="I117" s="1547"/>
      <c r="J117" s="1547"/>
      <c r="K117" s="473"/>
      <c r="L117" s="473"/>
      <c r="M117" s="1863"/>
      <c r="N117" s="2985"/>
      <c r="O117" s="2985"/>
      <c r="P117" s="2027"/>
      <c r="Q117" s="1791"/>
    </row>
    <row r="118" spans="1:17" ht="15.75" thickBot="1">
      <c r="A118" s="1823"/>
      <c r="B118" s="1831"/>
      <c r="C118" s="1832">
        <v>100</v>
      </c>
      <c r="D118" s="1832">
        <f>C118-$K40</f>
        <v>99</v>
      </c>
      <c r="E118" s="1832">
        <f>D118-$K40</f>
        <v>98</v>
      </c>
      <c r="F118" s="1832">
        <f>E118-$K40</f>
        <v>97</v>
      </c>
      <c r="G118" s="1832">
        <f>F118-$K40</f>
        <v>96</v>
      </c>
      <c r="H118" s="1832"/>
      <c r="I118" s="1832"/>
      <c r="J118" s="1832"/>
      <c r="K118" s="1832"/>
      <c r="L118" s="1832"/>
      <c r="M118" s="1833"/>
      <c r="N118" s="2986"/>
      <c r="O118" s="2986"/>
      <c r="P118" s="2027"/>
      <c r="Q118" s="1791"/>
    </row>
    <row r="119" spans="1:17" ht="15" thickTop="1">
      <c r="A119" s="1873"/>
      <c r="B119" s="2475" t="s">
        <v>2340</v>
      </c>
      <c r="C119" s="3320" t="s">
        <v>3033</v>
      </c>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99</v>
      </c>
      <c r="E120" s="1832">
        <f t="shared" ref="E120:M120" si="29">D120-$K41</f>
        <v>98</v>
      </c>
      <c r="F120" s="1832">
        <f t="shared" si="29"/>
        <v>97</v>
      </c>
      <c r="G120" s="1832">
        <f t="shared" si="29"/>
        <v>96</v>
      </c>
      <c r="H120" s="1832">
        <f t="shared" si="29"/>
        <v>95</v>
      </c>
      <c r="I120" s="1832">
        <f t="shared" si="29"/>
        <v>94</v>
      </c>
      <c r="J120" s="1832">
        <f t="shared" si="29"/>
        <v>93</v>
      </c>
      <c r="K120" s="1832">
        <f t="shared" si="29"/>
        <v>92</v>
      </c>
      <c r="L120" s="1832">
        <f t="shared" si="29"/>
        <v>91</v>
      </c>
      <c r="M120" s="1832">
        <f t="shared" si="29"/>
        <v>90</v>
      </c>
      <c r="N120" s="2986"/>
      <c r="O120" s="2986"/>
      <c r="P120" s="2027"/>
      <c r="Q120" s="1791"/>
    </row>
    <row r="121" spans="1:17" s="1741" customFormat="1" ht="15" thickTop="1">
      <c r="A121" s="1869"/>
      <c r="B121" s="1828" t="s">
        <v>2322</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2273</v>
      </c>
      <c r="C123" s="3317" t="s">
        <v>3035</v>
      </c>
      <c r="D123" s="3317" t="s">
        <v>3037</v>
      </c>
      <c r="E123" s="3317" t="s">
        <v>3038</v>
      </c>
      <c r="F123" s="3320" t="s">
        <v>3039</v>
      </c>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98.5</v>
      </c>
      <c r="E124" s="1832">
        <f t="shared" si="30"/>
        <v>97</v>
      </c>
      <c r="F124" s="1832">
        <f t="shared" si="30"/>
        <v>95.5</v>
      </c>
      <c r="G124" s="1832">
        <f t="shared" si="30"/>
        <v>94</v>
      </c>
      <c r="H124" s="1832">
        <f t="shared" si="30"/>
        <v>92.5</v>
      </c>
      <c r="I124" s="1832">
        <f t="shared" si="30"/>
        <v>91</v>
      </c>
      <c r="J124" s="1832">
        <f t="shared" si="30"/>
        <v>89.5</v>
      </c>
      <c r="K124" s="1832">
        <f t="shared" si="30"/>
        <v>88</v>
      </c>
      <c r="L124" s="1832">
        <f t="shared" si="30"/>
        <v>86.5</v>
      </c>
      <c r="M124" s="1833">
        <f t="shared" si="30"/>
        <v>85</v>
      </c>
      <c r="N124" s="2986"/>
      <c r="O124" s="2986"/>
      <c r="P124" s="2027"/>
      <c r="Q124" s="1791"/>
    </row>
    <row r="125" spans="1:17" ht="15" thickTop="1">
      <c r="A125" s="1873"/>
      <c r="B125" s="1828" t="s">
        <v>2274</v>
      </c>
      <c r="C125" s="579" t="s">
        <v>2249</v>
      </c>
      <c r="D125" s="579" t="s">
        <v>2250</v>
      </c>
      <c r="E125" s="579" t="s">
        <v>2251</v>
      </c>
      <c r="F125" s="579" t="s">
        <v>2252</v>
      </c>
      <c r="G125" s="579" t="s">
        <v>2253</v>
      </c>
      <c r="H125" s="1829"/>
      <c r="I125" s="1829"/>
      <c r="J125" s="1829"/>
      <c r="K125" s="428"/>
      <c r="L125" s="428"/>
      <c r="M125" s="1830"/>
      <c r="N125" s="2985"/>
      <c r="O125" s="2985"/>
      <c r="P125" s="2028"/>
      <c r="Q125" s="1791"/>
    </row>
    <row r="126" spans="1:17" ht="15.75" thickBot="1">
      <c r="A126" s="1823"/>
      <c r="B126" s="1831"/>
      <c r="C126" s="1832">
        <v>100</v>
      </c>
      <c r="D126" s="1832">
        <f>C126-$K44</f>
        <v>99</v>
      </c>
      <c r="E126" s="1832">
        <f>D126-$K44</f>
        <v>98</v>
      </c>
      <c r="F126" s="1832">
        <f>E126-$K44</f>
        <v>97</v>
      </c>
      <c r="G126" s="1832">
        <f>F126-$K44</f>
        <v>96</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2182</v>
      </c>
      <c r="B1" s="1196" t="s">
        <v>2341</v>
      </c>
      <c r="C1" s="1188"/>
      <c r="D1" s="1201"/>
      <c r="E1" s="1528"/>
      <c r="F1" s="1202" t="s">
        <v>2184</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89"/>
      <c r="I2" s="2989"/>
      <c r="J2" s="2989"/>
      <c r="K2" s="2989"/>
      <c r="L2" s="2990"/>
      <c r="M2" s="2991"/>
      <c r="N2" s="2991"/>
      <c r="O2" s="299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2185</v>
      </c>
      <c r="D3" s="292">
        <f>IF(C1="仅计算典型户型",'数据-取费表'!E5,'数据-取费表'!B5)</f>
        <v>447.86</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58" t="s">
        <v>2187</v>
      </c>
      <c r="D4" s="3659"/>
      <c r="E4" s="3660" t="s">
        <v>2188</v>
      </c>
      <c r="F4" s="3661"/>
      <c r="G4" s="3658" t="s">
        <v>2189</v>
      </c>
      <c r="H4" s="3659"/>
      <c r="I4" s="3658" t="s">
        <v>2190</v>
      </c>
      <c r="J4" s="3659"/>
      <c r="K4" s="496" t="s">
        <v>2191</v>
      </c>
      <c r="L4" s="2994"/>
      <c r="M4" s="2995"/>
      <c r="N4" s="2995"/>
      <c r="O4" s="2995"/>
      <c r="P4" s="3662" t="s">
        <v>2192</v>
      </c>
      <c r="Q4" s="3663"/>
      <c r="R4" s="3645" t="s">
        <v>2188</v>
      </c>
      <c r="S4" s="3646"/>
      <c r="T4" s="3645" t="s">
        <v>2189</v>
      </c>
      <c r="U4" s="3646"/>
      <c r="V4" s="3668" t="s">
        <v>2190</v>
      </c>
      <c r="W4" s="3668"/>
      <c r="X4" s="1304"/>
      <c r="Y4" s="3645" t="s">
        <v>2192</v>
      </c>
      <c r="Z4" s="3646"/>
      <c r="AA4" s="3655" t="s">
        <v>2188</v>
      </c>
      <c r="AB4" s="3656" t="s">
        <v>2189</v>
      </c>
      <c r="AC4" s="3655" t="s">
        <v>2190</v>
      </c>
    </row>
    <row r="5" spans="1:29" ht="15">
      <c r="A5" s="297"/>
      <c r="B5" s="298"/>
      <c r="C5" s="3671" t="s">
        <v>2193</v>
      </c>
      <c r="D5" s="3672"/>
      <c r="E5" s="3669" t="s">
        <v>2194</v>
      </c>
      <c r="F5" s="3670"/>
      <c r="G5" s="3671" t="s">
        <v>2195</v>
      </c>
      <c r="H5" s="3672"/>
      <c r="I5" s="3671" t="s">
        <v>2196</v>
      </c>
      <c r="J5" s="3672"/>
      <c r="K5" s="496"/>
      <c r="L5" s="2994"/>
      <c r="M5" s="2995"/>
      <c r="N5" s="2995"/>
      <c r="O5" s="2995"/>
      <c r="P5" s="3664"/>
      <c r="Q5" s="3665"/>
      <c r="R5" s="3647"/>
      <c r="S5" s="3648"/>
      <c r="T5" s="3647"/>
      <c r="U5" s="3648"/>
      <c r="V5" s="3668"/>
      <c r="W5" s="3668"/>
      <c r="X5" s="1304"/>
      <c r="Y5" s="3647"/>
      <c r="Z5" s="3648"/>
      <c r="AA5" s="3656"/>
      <c r="AB5" s="3656"/>
      <c r="AC5" s="3656"/>
    </row>
    <row r="6" spans="1:29" ht="15.75" thickBot="1">
      <c r="A6" s="299"/>
      <c r="B6" s="300"/>
      <c r="C6" s="3673" t="s">
        <v>2197</v>
      </c>
      <c r="D6" s="3674"/>
      <c r="E6" s="3675" t="s">
        <v>2197</v>
      </c>
      <c r="F6" s="3676"/>
      <c r="G6" s="3673" t="s">
        <v>2197</v>
      </c>
      <c r="H6" s="3674"/>
      <c r="I6" s="3673" t="s">
        <v>2197</v>
      </c>
      <c r="J6" s="3674"/>
      <c r="K6" s="496" t="s">
        <v>2198</v>
      </c>
      <c r="L6" s="2994"/>
      <c r="M6" s="2995"/>
      <c r="N6" s="2995"/>
      <c r="O6" s="2995"/>
      <c r="P6" s="3666"/>
      <c r="Q6" s="3667"/>
      <c r="R6" s="3647"/>
      <c r="S6" s="3648"/>
      <c r="T6" s="3649"/>
      <c r="U6" s="3650"/>
      <c r="V6" s="3668"/>
      <c r="W6" s="3668"/>
      <c r="X6" s="1304"/>
      <c r="Y6" s="3649"/>
      <c r="Z6" s="3650"/>
      <c r="AA6" s="3657"/>
      <c r="AB6" s="3657"/>
      <c r="AC6" s="3657"/>
    </row>
    <row r="7" spans="1:29" s="25" customFormat="1" ht="15.75" thickBot="1">
      <c r="A7" s="301" t="s">
        <v>2199</v>
      </c>
      <c r="B7" s="302"/>
      <c r="C7" s="303">
        <f>'数据-取费表'!B2</f>
        <v>44644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43" t="s">
        <v>2200</v>
      </c>
      <c r="Q7" s="3651"/>
      <c r="R7" s="626" t="s">
        <v>25</v>
      </c>
      <c r="S7" s="627">
        <f t="shared" ref="S7:S15" si="0">F7</f>
        <v>0</v>
      </c>
      <c r="T7" s="626" t="s">
        <v>25</v>
      </c>
      <c r="U7" s="627">
        <f t="shared" ref="U7:U15" si="1">H7</f>
        <v>0</v>
      </c>
      <c r="V7" s="626" t="s">
        <v>25</v>
      </c>
      <c r="W7" s="627">
        <f t="shared" ref="W7:W15" si="2">J7</f>
        <v>0</v>
      </c>
      <c r="X7" s="628"/>
      <c r="Y7" s="3643" t="s">
        <v>2200</v>
      </c>
      <c r="Z7" s="3644"/>
      <c r="AA7" s="629" t="e">
        <f>D7/F7</f>
        <v>#DIV/0!</v>
      </c>
      <c r="AB7" s="629" t="e">
        <f>D7/H7</f>
        <v>#DIV/0!</v>
      </c>
      <c r="AC7" s="629" t="e">
        <f>D7/J7</f>
        <v>#DIV/0!</v>
      </c>
    </row>
    <row r="8" spans="1:29" s="25" customFormat="1" ht="15.75" thickBot="1">
      <c r="A8" s="301" t="s">
        <v>2201</v>
      </c>
      <c r="B8" s="302"/>
      <c r="C8" s="307" t="s">
        <v>2824</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43" t="s">
        <v>2203</v>
      </c>
      <c r="Q8" s="3644"/>
      <c r="R8" s="626" t="s">
        <v>25</v>
      </c>
      <c r="S8" s="627">
        <f t="shared" si="0"/>
        <v>0</v>
      </c>
      <c r="T8" s="626" t="s">
        <v>25</v>
      </c>
      <c r="U8" s="627">
        <f t="shared" si="1"/>
        <v>0</v>
      </c>
      <c r="V8" s="626" t="s">
        <v>25</v>
      </c>
      <c r="W8" s="627">
        <f t="shared" si="2"/>
        <v>0</v>
      </c>
      <c r="X8" s="628"/>
      <c r="Y8" s="3643" t="s">
        <v>2203</v>
      </c>
      <c r="Z8" s="3644"/>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5" t="s">
        <v>2206</v>
      </c>
      <c r="Q9" s="1296" t="str">
        <f t="shared" ref="Q9:Q15" si="6">B9</f>
        <v>用途</v>
      </c>
      <c r="R9" s="626" t="s">
        <v>25</v>
      </c>
      <c r="S9" s="627">
        <f t="shared" si="0"/>
        <v>100</v>
      </c>
      <c r="T9" s="626" t="s">
        <v>25</v>
      </c>
      <c r="U9" s="627">
        <f t="shared" si="1"/>
        <v>100</v>
      </c>
      <c r="V9" s="626" t="s">
        <v>25</v>
      </c>
      <c r="W9" s="627">
        <f t="shared" si="2"/>
        <v>100</v>
      </c>
      <c r="X9" s="628"/>
      <c r="Y9" s="3654"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5"/>
      <c r="Q10" s="1296" t="str">
        <f t="shared" si="6"/>
        <v>土地使用年限（年）</v>
      </c>
      <c r="R10" s="626" t="s">
        <v>25</v>
      </c>
      <c r="S10" s="627">
        <f t="shared" si="0"/>
        <v>100</v>
      </c>
      <c r="T10" s="626" t="s">
        <v>25</v>
      </c>
      <c r="U10" s="627">
        <f t="shared" si="1"/>
        <v>100</v>
      </c>
      <c r="V10" s="626" t="s">
        <v>25</v>
      </c>
      <c r="W10" s="627">
        <f t="shared" si="2"/>
        <v>100</v>
      </c>
      <c r="X10" s="628"/>
      <c r="Y10" s="3654"/>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5"/>
      <c r="Q11" s="1296" t="str">
        <f t="shared" si="6"/>
        <v>容积率</v>
      </c>
      <c r="R11" s="626" t="s">
        <v>25</v>
      </c>
      <c r="S11" s="627" t="e">
        <f t="shared" si="0"/>
        <v>#N/A</v>
      </c>
      <c r="T11" s="626" t="s">
        <v>25</v>
      </c>
      <c r="U11" s="627" t="e">
        <f t="shared" si="1"/>
        <v>#N/A</v>
      </c>
      <c r="V11" s="626" t="s">
        <v>25</v>
      </c>
      <c r="W11" s="627" t="e">
        <f t="shared" si="2"/>
        <v>#N/A</v>
      </c>
      <c r="X11" s="628"/>
      <c r="Y11" s="3654"/>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35"/>
      <c r="Q12" s="1296">
        <f t="shared" si="6"/>
        <v>111</v>
      </c>
      <c r="R12" s="626" t="s">
        <v>25</v>
      </c>
      <c r="S12" s="627">
        <f t="shared" si="0"/>
        <v>100</v>
      </c>
      <c r="T12" s="626" t="s">
        <v>25</v>
      </c>
      <c r="U12" s="627">
        <f t="shared" si="1"/>
        <v>100</v>
      </c>
      <c r="V12" s="626" t="s">
        <v>25</v>
      </c>
      <c r="W12" s="627">
        <f t="shared" si="2"/>
        <v>100</v>
      </c>
      <c r="X12" s="628"/>
      <c r="Y12" s="3654"/>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35"/>
      <c r="Q13" s="1296">
        <f t="shared" si="6"/>
        <v>111</v>
      </c>
      <c r="R13" s="626" t="s">
        <v>25</v>
      </c>
      <c r="S13" s="627">
        <f t="shared" si="0"/>
        <v>100</v>
      </c>
      <c r="T13" s="626" t="s">
        <v>25</v>
      </c>
      <c r="U13" s="627">
        <f t="shared" si="1"/>
        <v>100</v>
      </c>
      <c r="V13" s="626" t="s">
        <v>25</v>
      </c>
      <c r="W13" s="627">
        <f t="shared" si="2"/>
        <v>100</v>
      </c>
      <c r="X13" s="628"/>
      <c r="Y13" s="3654"/>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35"/>
      <c r="Q14" s="1296">
        <f t="shared" si="6"/>
        <v>111</v>
      </c>
      <c r="R14" s="626" t="s">
        <v>25</v>
      </c>
      <c r="S14" s="627">
        <f t="shared" si="0"/>
        <v>100</v>
      </c>
      <c r="T14" s="626" t="s">
        <v>25</v>
      </c>
      <c r="U14" s="627">
        <f t="shared" si="1"/>
        <v>100</v>
      </c>
      <c r="V14" s="626" t="s">
        <v>25</v>
      </c>
      <c r="W14" s="627">
        <f t="shared" si="2"/>
        <v>100</v>
      </c>
      <c r="X14" s="628"/>
      <c r="Y14" s="3654"/>
      <c r="Z14" s="19">
        <f t="shared" si="7"/>
        <v>111</v>
      </c>
      <c r="AA14" s="629">
        <f t="shared" si="3"/>
        <v>1</v>
      </c>
      <c r="AB14" s="629">
        <f t="shared" si="4"/>
        <v>1</v>
      </c>
      <c r="AC14" s="629">
        <f t="shared" si="5"/>
        <v>1</v>
      </c>
    </row>
    <row r="15" spans="1:29" ht="57">
      <c r="A15" s="329" t="s">
        <v>2210</v>
      </c>
      <c r="B15" s="22" t="s">
        <v>2342</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52" t="s">
        <v>2211</v>
      </c>
      <c r="Q15" s="1303" t="str">
        <f t="shared" si="6"/>
        <v>产业集聚程度</v>
      </c>
      <c r="R15" s="630" t="s">
        <v>25</v>
      </c>
      <c r="S15" s="631">
        <f t="shared" si="0"/>
        <v>100</v>
      </c>
      <c r="T15" s="630" t="s">
        <v>25</v>
      </c>
      <c r="U15" s="631">
        <f t="shared" si="1"/>
        <v>100</v>
      </c>
      <c r="V15" s="630" t="s">
        <v>25</v>
      </c>
      <c r="W15" s="631">
        <f t="shared" si="2"/>
        <v>100</v>
      </c>
      <c r="X15" s="1304"/>
      <c r="Y15" s="3652" t="s">
        <v>2211</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53"/>
      <c r="Q16" s="1303"/>
      <c r="R16" s="630"/>
      <c r="S16" s="631"/>
      <c r="T16" s="630"/>
      <c r="U16" s="631"/>
      <c r="V16" s="630"/>
      <c r="W16" s="631"/>
      <c r="X16" s="1304"/>
      <c r="Y16" s="3653"/>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3"/>
      <c r="Q17" s="1303" t="str">
        <f>B17</f>
        <v>交通便捷度</v>
      </c>
      <c r="R17" s="630" t="s">
        <v>25</v>
      </c>
      <c r="S17" s="631">
        <f>F17</f>
        <v>100</v>
      </c>
      <c r="T17" s="630" t="s">
        <v>25</v>
      </c>
      <c r="U17" s="631">
        <f>H17</f>
        <v>100</v>
      </c>
      <c r="V17" s="630" t="s">
        <v>25</v>
      </c>
      <c r="W17" s="631">
        <f>J17</f>
        <v>100</v>
      </c>
      <c r="X17" s="1304"/>
      <c r="Y17" s="3653"/>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53"/>
      <c r="Q18" s="1303"/>
      <c r="R18" s="630"/>
      <c r="S18" s="631"/>
      <c r="T18" s="630"/>
      <c r="U18" s="631"/>
      <c r="V18" s="630"/>
      <c r="W18" s="631"/>
      <c r="X18" s="1304"/>
      <c r="Y18" s="3653"/>
      <c r="Z18" s="1305"/>
      <c r="AA18" s="1306">
        <v>1</v>
      </c>
      <c r="AB18" s="1306">
        <v>1</v>
      </c>
      <c r="AC18" s="1306">
        <v>1</v>
      </c>
    </row>
    <row r="19" spans="1:29" ht="42.75">
      <c r="A19" s="318"/>
      <c r="B19" s="513" t="s">
        <v>2326</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3"/>
      <c r="Q19" s="1303" t="str">
        <f>B19</f>
        <v>公共配套设施</v>
      </c>
      <c r="R19" s="630" t="s">
        <v>25</v>
      </c>
      <c r="S19" s="631">
        <f>F19</f>
        <v>100</v>
      </c>
      <c r="T19" s="630" t="s">
        <v>25</v>
      </c>
      <c r="U19" s="631">
        <f>H19</f>
        <v>100</v>
      </c>
      <c r="V19" s="630" t="s">
        <v>25</v>
      </c>
      <c r="W19" s="631">
        <f>J19</f>
        <v>100</v>
      </c>
      <c r="X19" s="1304"/>
      <c r="Y19" s="3653"/>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53"/>
      <c r="Q20" s="1303"/>
      <c r="R20" s="630"/>
      <c r="S20" s="631"/>
      <c r="T20" s="630"/>
      <c r="U20" s="631"/>
      <c r="V20" s="630"/>
      <c r="W20" s="631"/>
      <c r="X20" s="1304"/>
      <c r="Y20" s="3653"/>
      <c r="Z20" s="1305"/>
      <c r="AA20" s="1306">
        <v>1</v>
      </c>
      <c r="AB20" s="1306">
        <v>1</v>
      </c>
      <c r="AC20" s="1306">
        <v>1</v>
      </c>
    </row>
    <row r="21" spans="1:29" ht="28.5">
      <c r="A21" s="318"/>
      <c r="B21" s="515" t="s">
        <v>2327</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3"/>
      <c r="Q21" s="1303" t="str">
        <f>B21</f>
        <v>基础设施水平</v>
      </c>
      <c r="R21" s="630" t="s">
        <v>25</v>
      </c>
      <c r="S21" s="631">
        <f>F21</f>
        <v>100</v>
      </c>
      <c r="T21" s="630" t="s">
        <v>25</v>
      </c>
      <c r="U21" s="631">
        <f>H21</f>
        <v>100</v>
      </c>
      <c r="V21" s="630" t="s">
        <v>25</v>
      </c>
      <c r="W21" s="631">
        <f>J21</f>
        <v>100</v>
      </c>
      <c r="X21" s="1304"/>
      <c r="Y21" s="3653"/>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53"/>
      <c r="Q22" s="1303"/>
      <c r="R22" s="630"/>
      <c r="S22" s="631"/>
      <c r="T22" s="630"/>
      <c r="U22" s="631"/>
      <c r="V22" s="630"/>
      <c r="W22" s="631"/>
      <c r="X22" s="1304"/>
      <c r="Y22" s="3653"/>
      <c r="Z22" s="1305"/>
      <c r="AA22" s="1306">
        <v>1</v>
      </c>
      <c r="AB22" s="1306">
        <v>1</v>
      </c>
      <c r="AC22" s="1306">
        <v>1</v>
      </c>
    </row>
    <row r="23" spans="1:29" ht="71.25">
      <c r="A23" s="318"/>
      <c r="B23" s="340" t="s">
        <v>2328</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3"/>
      <c r="Q23" s="1303" t="str">
        <f>B23</f>
        <v>环境质量</v>
      </c>
      <c r="R23" s="630" t="s">
        <v>25</v>
      </c>
      <c r="S23" s="631">
        <f>F23</f>
        <v>100</v>
      </c>
      <c r="T23" s="630" t="s">
        <v>25</v>
      </c>
      <c r="U23" s="631">
        <f>H23</f>
        <v>100</v>
      </c>
      <c r="V23" s="630" t="s">
        <v>25</v>
      </c>
      <c r="W23" s="631">
        <f>J23</f>
        <v>100</v>
      </c>
      <c r="X23" s="1304"/>
      <c r="Y23" s="3653"/>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53"/>
      <c r="Q24" s="1303"/>
      <c r="R24" s="630"/>
      <c r="S24" s="631"/>
      <c r="T24" s="630"/>
      <c r="U24" s="631"/>
      <c r="V24" s="630"/>
      <c r="W24" s="631"/>
      <c r="X24" s="1304"/>
      <c r="Y24" s="3653"/>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3"/>
      <c r="Q25" s="1303">
        <f>B25</f>
        <v>111</v>
      </c>
      <c r="R25" s="630" t="s">
        <v>25</v>
      </c>
      <c r="S25" s="631">
        <f>F25</f>
        <v>100</v>
      </c>
      <c r="T25" s="630" t="s">
        <v>25</v>
      </c>
      <c r="U25" s="631">
        <f>H25</f>
        <v>100</v>
      </c>
      <c r="V25" s="630" t="s">
        <v>25</v>
      </c>
      <c r="W25" s="631">
        <f>J25</f>
        <v>100</v>
      </c>
      <c r="X25" s="1304"/>
      <c r="Y25" s="3653"/>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3"/>
      <c r="Q26" s="1303">
        <f t="shared" ref="Q26:Q40" si="11">B26</f>
        <v>111</v>
      </c>
      <c r="R26" s="630" t="s">
        <v>25</v>
      </c>
      <c r="S26" s="631">
        <f>F26</f>
        <v>100</v>
      </c>
      <c r="T26" s="630" t="s">
        <v>25</v>
      </c>
      <c r="U26" s="631">
        <f>H26</f>
        <v>100</v>
      </c>
      <c r="V26" s="630" t="s">
        <v>25</v>
      </c>
      <c r="W26" s="631">
        <f>J26</f>
        <v>100</v>
      </c>
      <c r="X26" s="1304"/>
      <c r="Y26" s="3653"/>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3"/>
      <c r="Q27" s="1296">
        <f t="shared" si="11"/>
        <v>111</v>
      </c>
      <c r="R27" s="626" t="s">
        <v>25</v>
      </c>
      <c r="S27" s="627">
        <f>F27</f>
        <v>100</v>
      </c>
      <c r="T27" s="626" t="s">
        <v>25</v>
      </c>
      <c r="U27" s="627">
        <f>H27</f>
        <v>100</v>
      </c>
      <c r="V27" s="626" t="s">
        <v>25</v>
      </c>
      <c r="W27" s="627">
        <f>J27</f>
        <v>100</v>
      </c>
      <c r="X27" s="628"/>
      <c r="Y27" s="3653"/>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3"/>
      <c r="Q28" s="1303">
        <f t="shared" si="11"/>
        <v>111</v>
      </c>
      <c r="R28" s="630" t="s">
        <v>25</v>
      </c>
      <c r="S28" s="631">
        <f t="shared" ref="S28:S40" si="12">F28</f>
        <v>100</v>
      </c>
      <c r="T28" s="630" t="s">
        <v>25</v>
      </c>
      <c r="U28" s="631">
        <f t="shared" ref="U28:U40" si="13">H28</f>
        <v>100</v>
      </c>
      <c r="V28" s="630" t="s">
        <v>25</v>
      </c>
      <c r="W28" s="631">
        <f t="shared" ref="W28:W40" si="14">J28</f>
        <v>100</v>
      </c>
      <c r="X28" s="1304"/>
      <c r="Y28" s="3653"/>
      <c r="Z28" s="1305">
        <f t="shared" ref="Z28:Z40" si="15">Q28</f>
        <v>111</v>
      </c>
      <c r="AA28" s="1306">
        <f t="shared" si="3"/>
        <v>1</v>
      </c>
      <c r="AB28" s="1306">
        <f t="shared" si="4"/>
        <v>1</v>
      </c>
      <c r="AC28" s="1306">
        <f t="shared" si="5"/>
        <v>1</v>
      </c>
    </row>
    <row r="29" spans="1:29" ht="28.5">
      <c r="A29" s="354" t="s">
        <v>2215</v>
      </c>
      <c r="B29" s="24" t="s">
        <v>2331</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40" t="s">
        <v>2217</v>
      </c>
      <c r="Q29" s="1303" t="str">
        <f t="shared" si="11"/>
        <v>建筑类型</v>
      </c>
      <c r="R29" s="630" t="s">
        <v>25</v>
      </c>
      <c r="S29" s="631">
        <f t="shared" si="12"/>
        <v>100</v>
      </c>
      <c r="T29" s="630" t="s">
        <v>25</v>
      </c>
      <c r="U29" s="631">
        <f t="shared" si="13"/>
        <v>100</v>
      </c>
      <c r="V29" s="630" t="s">
        <v>25</v>
      </c>
      <c r="W29" s="631">
        <f t="shared" si="14"/>
        <v>100</v>
      </c>
      <c r="X29" s="1304"/>
      <c r="Y29" s="3641" t="s">
        <v>2217</v>
      </c>
      <c r="Z29" s="1305" t="str">
        <f t="shared" si="15"/>
        <v>建筑类型</v>
      </c>
      <c r="AA29" s="1306">
        <f t="shared" si="3"/>
        <v>1</v>
      </c>
      <c r="AB29" s="1306">
        <f t="shared" si="4"/>
        <v>1</v>
      </c>
      <c r="AC29" s="1306">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41"/>
      <c r="Q30" s="632" t="str">
        <f t="shared" si="11"/>
        <v>项目建筑规模</v>
      </c>
      <c r="R30" s="633" t="s">
        <v>25</v>
      </c>
      <c r="S30" s="634" t="e">
        <f t="shared" si="12"/>
        <v>#N/A</v>
      </c>
      <c r="T30" s="633" t="s">
        <v>25</v>
      </c>
      <c r="U30" s="634" t="e">
        <f t="shared" si="13"/>
        <v>#N/A</v>
      </c>
      <c r="V30" s="633" t="s">
        <v>25</v>
      </c>
      <c r="W30" s="634" t="e">
        <f t="shared" si="14"/>
        <v>#N/A</v>
      </c>
      <c r="X30" s="635"/>
      <c r="Y30" s="3641"/>
      <c r="Z30" s="636" t="str">
        <f t="shared" si="15"/>
        <v>项目建筑规模</v>
      </c>
      <c r="AA30" s="1306" t="e">
        <f t="shared" si="3"/>
        <v>#N/A</v>
      </c>
      <c r="AB30" s="1306" t="e">
        <f t="shared" si="4"/>
        <v>#N/A</v>
      </c>
      <c r="AC30" s="1306"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41"/>
      <c r="Q31" s="1303" t="str">
        <f t="shared" si="11"/>
        <v>建筑结构</v>
      </c>
      <c r="R31" s="630" t="s">
        <v>25</v>
      </c>
      <c r="S31" s="631">
        <f t="shared" si="12"/>
        <v>100</v>
      </c>
      <c r="T31" s="630" t="s">
        <v>25</v>
      </c>
      <c r="U31" s="631">
        <f t="shared" si="13"/>
        <v>100</v>
      </c>
      <c r="V31" s="630" t="s">
        <v>25</v>
      </c>
      <c r="W31" s="631">
        <f t="shared" si="14"/>
        <v>100</v>
      </c>
      <c r="X31" s="1304"/>
      <c r="Y31" s="3641"/>
      <c r="Z31" s="1305" t="str">
        <f t="shared" si="15"/>
        <v>建筑结构</v>
      </c>
      <c r="AA31" s="1306">
        <f t="shared" si="3"/>
        <v>1</v>
      </c>
      <c r="AB31" s="1306">
        <f t="shared" si="4"/>
        <v>1</v>
      </c>
      <c r="AC31" s="1306">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41"/>
      <c r="Q32" s="1303" t="str">
        <f t="shared" si="11"/>
        <v>公共部分装修</v>
      </c>
      <c r="R32" s="630" t="s">
        <v>25</v>
      </c>
      <c r="S32" s="631">
        <f t="shared" si="12"/>
        <v>100</v>
      </c>
      <c r="T32" s="630" t="s">
        <v>25</v>
      </c>
      <c r="U32" s="631">
        <f t="shared" si="13"/>
        <v>100</v>
      </c>
      <c r="V32" s="630" t="s">
        <v>25</v>
      </c>
      <c r="W32" s="631">
        <f t="shared" si="14"/>
        <v>100</v>
      </c>
      <c r="X32" s="1304"/>
      <c r="Y32" s="3641"/>
      <c r="Z32" s="1305" t="str">
        <f t="shared" si="15"/>
        <v>公共部分装修</v>
      </c>
      <c r="AA32" s="1306">
        <f t="shared" si="3"/>
        <v>1</v>
      </c>
      <c r="AB32" s="1306">
        <f t="shared" si="4"/>
        <v>1</v>
      </c>
      <c r="AC32" s="1306">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41"/>
      <c r="Q33" s="1303" t="str">
        <f t="shared" si="11"/>
        <v>成新度</v>
      </c>
      <c r="R33" s="630" t="s">
        <v>25</v>
      </c>
      <c r="S33" s="631" t="e">
        <f t="shared" si="12"/>
        <v>#N/A</v>
      </c>
      <c r="T33" s="630" t="s">
        <v>25</v>
      </c>
      <c r="U33" s="631" t="e">
        <f t="shared" si="13"/>
        <v>#N/A</v>
      </c>
      <c r="V33" s="630" t="s">
        <v>25</v>
      </c>
      <c r="W33" s="631" t="e">
        <f t="shared" si="14"/>
        <v>#N/A</v>
      </c>
      <c r="X33" s="1304"/>
      <c r="Y33" s="3641"/>
      <c r="Z33" s="1305" t="str">
        <f t="shared" si="15"/>
        <v>成新度</v>
      </c>
      <c r="AA33" s="1306" t="e">
        <f t="shared" si="3"/>
        <v>#N/A</v>
      </c>
      <c r="AB33" s="1306" t="e">
        <f t="shared" si="4"/>
        <v>#N/A</v>
      </c>
      <c r="AC33" s="1306"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41"/>
      <c r="Q34" s="1296" t="str">
        <f t="shared" si="11"/>
        <v>物业管理</v>
      </c>
      <c r="R34" s="626" t="s">
        <v>25</v>
      </c>
      <c r="S34" s="627">
        <f t="shared" si="12"/>
        <v>100</v>
      </c>
      <c r="T34" s="626" t="s">
        <v>25</v>
      </c>
      <c r="U34" s="627">
        <f t="shared" si="13"/>
        <v>100</v>
      </c>
      <c r="V34" s="626" t="s">
        <v>25</v>
      </c>
      <c r="W34" s="627">
        <f t="shared" si="14"/>
        <v>100</v>
      </c>
      <c r="X34" s="628"/>
      <c r="Y34" s="3641"/>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41" t="s">
        <v>2217</v>
      </c>
      <c r="Q35" s="1303" t="str">
        <f t="shared" si="11"/>
        <v>市政基础设施</v>
      </c>
      <c r="R35" s="630" t="s">
        <v>25</v>
      </c>
      <c r="S35" s="631">
        <f t="shared" si="12"/>
        <v>100</v>
      </c>
      <c r="T35" s="630" t="s">
        <v>25</v>
      </c>
      <c r="U35" s="631">
        <f t="shared" si="13"/>
        <v>100</v>
      </c>
      <c r="V35" s="630" t="s">
        <v>25</v>
      </c>
      <c r="W35" s="631">
        <f t="shared" si="14"/>
        <v>100</v>
      </c>
      <c r="X35" s="1304"/>
      <c r="Y35" s="3641" t="s">
        <v>2217</v>
      </c>
      <c r="Z35" s="1305" t="str">
        <f t="shared" si="15"/>
        <v>市政基础设施</v>
      </c>
      <c r="AA35" s="1306">
        <f t="shared" si="3"/>
        <v>1</v>
      </c>
      <c r="AB35" s="1306">
        <f t="shared" si="4"/>
        <v>1</v>
      </c>
      <c r="AC35" s="1306">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41"/>
      <c r="Q36" s="1303" t="str">
        <f t="shared" si="11"/>
        <v>内部装修</v>
      </c>
      <c r="R36" s="630" t="s">
        <v>25</v>
      </c>
      <c r="S36" s="631">
        <f t="shared" si="12"/>
        <v>100</v>
      </c>
      <c r="T36" s="630" t="s">
        <v>25</v>
      </c>
      <c r="U36" s="631">
        <f t="shared" si="13"/>
        <v>100</v>
      </c>
      <c r="V36" s="630" t="s">
        <v>25</v>
      </c>
      <c r="W36" s="631">
        <f t="shared" si="14"/>
        <v>100</v>
      </c>
      <c r="X36" s="1304"/>
      <c r="Y36" s="3641"/>
      <c r="Z36" s="1305" t="str">
        <f t="shared" si="15"/>
        <v>内部装修</v>
      </c>
      <c r="AA36" s="1306">
        <f t="shared" si="3"/>
        <v>1</v>
      </c>
      <c r="AB36" s="1306">
        <f t="shared" si="4"/>
        <v>1</v>
      </c>
      <c r="AC36" s="1306">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41"/>
      <c r="Q37" s="1303" t="str">
        <f t="shared" si="11"/>
        <v>内部装修状况</v>
      </c>
      <c r="R37" s="630" t="s">
        <v>25</v>
      </c>
      <c r="S37" s="631">
        <f t="shared" si="12"/>
        <v>100</v>
      </c>
      <c r="T37" s="630" t="s">
        <v>25</v>
      </c>
      <c r="U37" s="631">
        <f t="shared" si="13"/>
        <v>100</v>
      </c>
      <c r="V37" s="630" t="s">
        <v>25</v>
      </c>
      <c r="W37" s="631">
        <f t="shared" si="14"/>
        <v>100</v>
      </c>
      <c r="X37" s="1304"/>
      <c r="Y37" s="3641"/>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41"/>
      <c r="Q38" s="632">
        <f t="shared" si="11"/>
        <v>111</v>
      </c>
      <c r="R38" s="633" t="s">
        <v>25</v>
      </c>
      <c r="S38" s="634">
        <f t="shared" si="12"/>
        <v>100</v>
      </c>
      <c r="T38" s="633" t="s">
        <v>25</v>
      </c>
      <c r="U38" s="634">
        <f t="shared" si="13"/>
        <v>100</v>
      </c>
      <c r="V38" s="633" t="s">
        <v>25</v>
      </c>
      <c r="W38" s="634">
        <f t="shared" si="14"/>
        <v>100</v>
      </c>
      <c r="X38" s="635"/>
      <c r="Y38" s="3641"/>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41"/>
      <c r="Q39" s="1303">
        <f t="shared" si="11"/>
        <v>111</v>
      </c>
      <c r="R39" s="630" t="s">
        <v>25</v>
      </c>
      <c r="S39" s="631">
        <f t="shared" si="12"/>
        <v>100</v>
      </c>
      <c r="T39" s="630" t="s">
        <v>25</v>
      </c>
      <c r="U39" s="631">
        <f t="shared" si="13"/>
        <v>100</v>
      </c>
      <c r="V39" s="630" t="s">
        <v>25</v>
      </c>
      <c r="W39" s="631">
        <f t="shared" si="14"/>
        <v>100</v>
      </c>
      <c r="X39" s="1304"/>
      <c r="Y39" s="3641"/>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42"/>
      <c r="Q40" s="1303">
        <f t="shared" si="11"/>
        <v>111</v>
      </c>
      <c r="R40" s="630" t="s">
        <v>25</v>
      </c>
      <c r="S40" s="631">
        <f t="shared" si="12"/>
        <v>100</v>
      </c>
      <c r="T40" s="630" t="s">
        <v>25</v>
      </c>
      <c r="U40" s="631">
        <f t="shared" si="13"/>
        <v>100</v>
      </c>
      <c r="V40" s="630" t="s">
        <v>25</v>
      </c>
      <c r="W40" s="631">
        <f t="shared" si="14"/>
        <v>100</v>
      </c>
      <c r="X40" s="1304"/>
      <c r="Y40" s="3642"/>
      <c r="Z40" s="1305">
        <f t="shared" si="15"/>
        <v>111</v>
      </c>
      <c r="AA40" s="1306">
        <f t="shared" si="3"/>
        <v>1</v>
      </c>
      <c r="AB40" s="1306">
        <f t="shared" si="4"/>
        <v>1</v>
      </c>
      <c r="AC40" s="1306">
        <f t="shared" si="5"/>
        <v>1</v>
      </c>
    </row>
    <row r="41" spans="1:29" ht="15">
      <c r="A41" s="367" t="s">
        <v>2229</v>
      </c>
      <c r="B41" s="368"/>
      <c r="C41" s="1123" t="s">
        <v>1</v>
      </c>
      <c r="D41" s="1124"/>
      <c r="E41" s="1125"/>
      <c r="F41" s="1126"/>
      <c r="G41" s="1127"/>
      <c r="H41" s="1128"/>
      <c r="I41" s="1125"/>
      <c r="J41" s="1128"/>
      <c r="K41" s="639"/>
      <c r="L41" s="3006"/>
      <c r="N41" s="2995"/>
      <c r="P41" s="3635" t="str">
        <f>A41</f>
        <v>成交单价（元/平方米）</v>
      </c>
      <c r="Q41" s="3635"/>
      <c r="R41" s="3636">
        <f>E41</f>
        <v>0</v>
      </c>
      <c r="S41" s="3636"/>
      <c r="T41" s="3636">
        <f>G41</f>
        <v>0</v>
      </c>
      <c r="U41" s="3636"/>
      <c r="V41" s="3636">
        <f>I41</f>
        <v>0</v>
      </c>
      <c r="W41" s="3636"/>
      <c r="X41" s="617"/>
      <c r="Y41" s="637"/>
      <c r="Z41" s="617"/>
      <c r="AA41" s="617"/>
      <c r="AB41" s="617"/>
      <c r="AC41" s="617"/>
    </row>
    <row r="42" spans="1:29" ht="15.75" thickBot="1">
      <c r="A42" s="374" t="s">
        <v>2312</v>
      </c>
      <c r="B42" s="375"/>
      <c r="C42" s="1129" t="e">
        <f>R43</f>
        <v>#DIV/0!</v>
      </c>
      <c r="D42" s="1766" t="s">
        <v>2685</v>
      </c>
      <c r="E42" s="1130" t="e">
        <f>R42</f>
        <v>#DIV/0!</v>
      </c>
      <c r="F42" s="1768"/>
      <c r="G42" s="1129" t="e">
        <f>T42</f>
        <v>#DIV/0!</v>
      </c>
      <c r="H42" s="1768"/>
      <c r="I42" s="1130" t="e">
        <f>V42</f>
        <v>#DIV/0!</v>
      </c>
      <c r="J42" s="1768"/>
      <c r="K42" s="2480">
        <f>F42+H42+J42</f>
        <v>0</v>
      </c>
      <c r="L42" s="3006"/>
      <c r="N42" s="2995"/>
      <c r="P42" s="3635" t="str">
        <f>A42</f>
        <v>比较价值（元/平方米）</v>
      </c>
      <c r="Q42" s="3635"/>
      <c r="R42" s="3636" t="e">
        <f>IF(E1="售价",ROUND(PRODUCT(R41,AA7:AA40),0),ROUND(PRODUCT(R41,AA7:AA40),1))</f>
        <v>#DIV/0!</v>
      </c>
      <c r="S42" s="3636"/>
      <c r="T42" s="3636" t="e">
        <f>IF(E1="售价",ROUND(PRODUCT(T41,AB7:AB40),0),ROUND(PRODUCT(T41,AB7:AB40),1))</f>
        <v>#DIV/0!</v>
      </c>
      <c r="U42" s="3636"/>
      <c r="V42" s="3636" t="e">
        <f>IF(E1="售价",ROUND(PRODUCT(V41,AC7:AC40),0),ROUND(PRODUCT(V41,AC7:AC40),1))</f>
        <v>#DIV/0!</v>
      </c>
      <c r="W42" s="3636"/>
      <c r="X42" s="617"/>
      <c r="Y42" s="617"/>
      <c r="Z42" s="617"/>
      <c r="AA42" s="617"/>
      <c r="AB42" s="617"/>
      <c r="AC42" s="617"/>
    </row>
    <row r="43" spans="1:29" ht="15.75" thickBot="1">
      <c r="A43" s="378" t="s">
        <v>2335</v>
      </c>
      <c r="B43" s="379"/>
      <c r="C43" s="1131" t="e">
        <f>R43</f>
        <v>#DIV/0!</v>
      </c>
      <c r="D43" s="1131"/>
      <c r="E43" s="1131"/>
      <c r="F43" s="1131"/>
      <c r="G43" s="1131"/>
      <c r="H43" s="1131"/>
      <c r="I43" s="1131"/>
      <c r="J43" s="1131"/>
      <c r="K43" s="640"/>
      <c r="L43" s="3006"/>
      <c r="P43" s="3637" t="str">
        <f>A43</f>
        <v>估价对象XX用房的比较价值（楼面单价，元/平方米）</v>
      </c>
      <c r="Q43" s="3638"/>
      <c r="R43" s="3639" t="e">
        <f>IF(E1="售价",ROUND(IF(D42="简单平均",AVERAGE(R42:V42),R42*F42+T42*H42+V42*J42),0),ROUND(IF(D42="简单平均",AVERAGE(R42:V42),R42*F42+T42*H42+V42*J42),1))</f>
        <v>#DIV/0!</v>
      </c>
      <c r="S43" s="3639"/>
      <c r="T43" s="3639"/>
      <c r="U43" s="3639"/>
      <c r="V43" s="3639"/>
      <c r="W43" s="3639"/>
      <c r="X43" s="617"/>
      <c r="Y43" s="617"/>
      <c r="Z43" s="617"/>
      <c r="AA43" s="617"/>
      <c r="AB43" s="617"/>
      <c r="AC43" s="617"/>
    </row>
    <row r="44" spans="1:29">
      <c r="G44" s="3009"/>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19" t="s">
        <v>2317</v>
      </c>
      <c r="B51" s="617"/>
      <c r="C51" s="620"/>
      <c r="D51" s="620"/>
      <c r="E51" s="620"/>
      <c r="F51" s="621"/>
      <c r="G51" s="621"/>
      <c r="H51" s="620"/>
      <c r="I51" s="620"/>
      <c r="J51" s="620"/>
      <c r="K51" s="622"/>
      <c r="L51" s="623"/>
      <c r="M51" s="620"/>
      <c r="N51" s="3012"/>
      <c r="O51" s="3012"/>
      <c r="P51" s="389"/>
      <c r="Q51" s="390"/>
    </row>
    <row r="52" spans="1:17" s="394" customFormat="1" ht="15">
      <c r="A52" s="391" t="s">
        <v>2199</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2346</v>
      </c>
      <c r="B1" s="1551"/>
      <c r="C1" s="1191"/>
      <c r="D1" s="1192"/>
      <c r="E1" s="1528"/>
      <c r="F1" s="1193" t="s">
        <v>2184</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2185</v>
      </c>
      <c r="D3" s="292">
        <f>IF(C1="仅计算典型户型",'数据-取费表'!E5,'数据-取费表'!B5)</f>
        <v>447.86</v>
      </c>
      <c r="E3" s="838" t="s">
        <v>2347</v>
      </c>
      <c r="F3" s="293">
        <f>'数据-取费表'!B42</f>
        <v>0</v>
      </c>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58" t="s">
        <v>2187</v>
      </c>
      <c r="D4" s="3659"/>
      <c r="E4" s="3660" t="s">
        <v>2188</v>
      </c>
      <c r="F4" s="3661"/>
      <c r="G4" s="3658" t="s">
        <v>2189</v>
      </c>
      <c r="H4" s="3659"/>
      <c r="I4" s="3658" t="s">
        <v>2190</v>
      </c>
      <c r="J4" s="3659"/>
      <c r="K4" s="496" t="s">
        <v>2191</v>
      </c>
      <c r="L4" s="2994"/>
      <c r="M4" s="2995"/>
      <c r="N4" s="2995"/>
      <c r="O4" s="2995"/>
      <c r="P4" s="3662" t="s">
        <v>2192</v>
      </c>
      <c r="Q4" s="3663"/>
      <c r="R4" s="3645" t="s">
        <v>2188</v>
      </c>
      <c r="S4" s="3646"/>
      <c r="T4" s="3645" t="s">
        <v>2189</v>
      </c>
      <c r="U4" s="3646"/>
      <c r="V4" s="3668" t="s">
        <v>2190</v>
      </c>
      <c r="W4" s="3668"/>
      <c r="X4" s="1304"/>
      <c r="Y4" s="3645" t="s">
        <v>2192</v>
      </c>
      <c r="Z4" s="3646"/>
      <c r="AA4" s="3655" t="s">
        <v>2188</v>
      </c>
      <c r="AB4" s="3656" t="s">
        <v>2189</v>
      </c>
      <c r="AC4" s="3655" t="s">
        <v>2190</v>
      </c>
    </row>
    <row r="5" spans="1:29" ht="15">
      <c r="A5" s="297"/>
      <c r="B5" s="298"/>
      <c r="C5" s="3671" t="s">
        <v>2193</v>
      </c>
      <c r="D5" s="3672"/>
      <c r="E5" s="3669" t="s">
        <v>2194</v>
      </c>
      <c r="F5" s="3670"/>
      <c r="G5" s="3671" t="s">
        <v>2195</v>
      </c>
      <c r="H5" s="3672"/>
      <c r="I5" s="3671" t="s">
        <v>2196</v>
      </c>
      <c r="J5" s="3672"/>
      <c r="K5" s="496"/>
      <c r="L5" s="2994"/>
      <c r="M5" s="2995"/>
      <c r="N5" s="2995"/>
      <c r="O5" s="2995"/>
      <c r="P5" s="3664"/>
      <c r="Q5" s="3665"/>
      <c r="R5" s="3647"/>
      <c r="S5" s="3648"/>
      <c r="T5" s="3647"/>
      <c r="U5" s="3648"/>
      <c r="V5" s="3668"/>
      <c r="W5" s="3668"/>
      <c r="X5" s="1304"/>
      <c r="Y5" s="3647"/>
      <c r="Z5" s="3648"/>
      <c r="AA5" s="3656"/>
      <c r="AB5" s="3656"/>
      <c r="AC5" s="3656"/>
    </row>
    <row r="6" spans="1:29" ht="15.75" thickBot="1">
      <c r="A6" s="299"/>
      <c r="B6" s="300"/>
      <c r="C6" s="3673" t="s">
        <v>2197</v>
      </c>
      <c r="D6" s="3674"/>
      <c r="E6" s="3675" t="s">
        <v>2197</v>
      </c>
      <c r="F6" s="3676"/>
      <c r="G6" s="3673" t="s">
        <v>2197</v>
      </c>
      <c r="H6" s="3674"/>
      <c r="I6" s="3673" t="s">
        <v>2197</v>
      </c>
      <c r="J6" s="3674"/>
      <c r="K6" s="496" t="s">
        <v>2198</v>
      </c>
      <c r="L6" s="2994"/>
      <c r="M6" s="2995"/>
      <c r="N6" s="2995"/>
      <c r="O6" s="2995"/>
      <c r="P6" s="3666"/>
      <c r="Q6" s="3667"/>
      <c r="R6" s="3647"/>
      <c r="S6" s="3648"/>
      <c r="T6" s="3649"/>
      <c r="U6" s="3650"/>
      <c r="V6" s="3668"/>
      <c r="W6" s="3668"/>
      <c r="X6" s="1304"/>
      <c r="Y6" s="3649"/>
      <c r="Z6" s="3650"/>
      <c r="AA6" s="3657"/>
      <c r="AB6" s="3657"/>
      <c r="AC6" s="3657"/>
    </row>
    <row r="7" spans="1:29" s="25" customFormat="1" ht="15.75" thickBot="1">
      <c r="A7" s="301" t="s">
        <v>2199</v>
      </c>
      <c r="B7" s="302"/>
      <c r="C7" s="303">
        <f>'数据-取费表'!B2</f>
        <v>44644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43" t="s">
        <v>2200</v>
      </c>
      <c r="Q7" s="3651"/>
      <c r="R7" s="626" t="s">
        <v>25</v>
      </c>
      <c r="S7" s="627">
        <f t="shared" ref="S7:S14" si="0">F7</f>
        <v>0</v>
      </c>
      <c r="T7" s="626" t="s">
        <v>25</v>
      </c>
      <c r="U7" s="627">
        <f t="shared" ref="U7:U14" si="1">H7</f>
        <v>0</v>
      </c>
      <c r="V7" s="626" t="s">
        <v>25</v>
      </c>
      <c r="W7" s="627">
        <f t="shared" ref="W7:W14" si="2">J7</f>
        <v>0</v>
      </c>
      <c r="X7" s="628"/>
      <c r="Y7" s="3643" t="s">
        <v>2200</v>
      </c>
      <c r="Z7" s="3644"/>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43" t="s">
        <v>2203</v>
      </c>
      <c r="Q8" s="3644"/>
      <c r="R8" s="626" t="s">
        <v>25</v>
      </c>
      <c r="S8" s="627">
        <f t="shared" si="0"/>
        <v>0</v>
      </c>
      <c r="T8" s="626" t="s">
        <v>25</v>
      </c>
      <c r="U8" s="627">
        <f t="shared" si="1"/>
        <v>0</v>
      </c>
      <c r="V8" s="626" t="s">
        <v>25</v>
      </c>
      <c r="W8" s="627">
        <f t="shared" si="2"/>
        <v>0</v>
      </c>
      <c r="X8" s="628"/>
      <c r="Y8" s="3643" t="s">
        <v>2203</v>
      </c>
      <c r="Z8" s="3644"/>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5" t="s">
        <v>2206</v>
      </c>
      <c r="Q9" s="1296" t="str">
        <f t="shared" ref="Q9:Q14" si="6">B9</f>
        <v>用途</v>
      </c>
      <c r="R9" s="626" t="s">
        <v>25</v>
      </c>
      <c r="S9" s="627">
        <f t="shared" si="0"/>
        <v>100</v>
      </c>
      <c r="T9" s="626" t="s">
        <v>25</v>
      </c>
      <c r="U9" s="627">
        <f t="shared" si="1"/>
        <v>100</v>
      </c>
      <c r="V9" s="626" t="s">
        <v>25</v>
      </c>
      <c r="W9" s="627">
        <f t="shared" si="2"/>
        <v>100</v>
      </c>
      <c r="X9" s="628"/>
      <c r="Y9" s="3654"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5"/>
      <c r="Q10" s="1296" t="str">
        <f t="shared" si="6"/>
        <v>土地使用年限（年）</v>
      </c>
      <c r="R10" s="626" t="s">
        <v>25</v>
      </c>
      <c r="S10" s="627">
        <f t="shared" si="0"/>
        <v>100</v>
      </c>
      <c r="T10" s="626" t="s">
        <v>25</v>
      </c>
      <c r="U10" s="627">
        <f t="shared" si="1"/>
        <v>100</v>
      </c>
      <c r="V10" s="626" t="s">
        <v>25</v>
      </c>
      <c r="W10" s="627">
        <f t="shared" si="2"/>
        <v>100</v>
      </c>
      <c r="X10" s="628"/>
      <c r="Y10" s="3654"/>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5"/>
      <c r="Q11" s="1296">
        <f t="shared" si="6"/>
        <v>111</v>
      </c>
      <c r="R11" s="626" t="s">
        <v>25</v>
      </c>
      <c r="S11" s="627">
        <f t="shared" si="0"/>
        <v>100</v>
      </c>
      <c r="T11" s="626" t="s">
        <v>25</v>
      </c>
      <c r="U11" s="627">
        <f t="shared" si="1"/>
        <v>100</v>
      </c>
      <c r="V11" s="626" t="s">
        <v>25</v>
      </c>
      <c r="W11" s="627">
        <f t="shared" si="2"/>
        <v>100</v>
      </c>
      <c r="X11" s="628"/>
      <c r="Y11" s="3654"/>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5"/>
      <c r="Q12" s="1296">
        <f t="shared" si="6"/>
        <v>111</v>
      </c>
      <c r="R12" s="626" t="s">
        <v>25</v>
      </c>
      <c r="S12" s="627">
        <f t="shared" si="0"/>
        <v>100</v>
      </c>
      <c r="T12" s="626" t="s">
        <v>25</v>
      </c>
      <c r="U12" s="627">
        <f t="shared" si="1"/>
        <v>100</v>
      </c>
      <c r="V12" s="626" t="s">
        <v>25</v>
      </c>
      <c r="W12" s="627">
        <f t="shared" si="2"/>
        <v>100</v>
      </c>
      <c r="X12" s="628"/>
      <c r="Y12" s="3654"/>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5"/>
      <c r="Q13" s="1296">
        <f t="shared" si="6"/>
        <v>111</v>
      </c>
      <c r="R13" s="626" t="s">
        <v>25</v>
      </c>
      <c r="S13" s="627">
        <f t="shared" si="0"/>
        <v>100</v>
      </c>
      <c r="T13" s="626" t="s">
        <v>25</v>
      </c>
      <c r="U13" s="627">
        <f t="shared" si="1"/>
        <v>100</v>
      </c>
      <c r="V13" s="626" t="s">
        <v>25</v>
      </c>
      <c r="W13" s="627">
        <f t="shared" si="2"/>
        <v>100</v>
      </c>
      <c r="X13" s="628"/>
      <c r="Y13" s="3654"/>
      <c r="Z13" s="19">
        <f t="shared" si="7"/>
        <v>111</v>
      </c>
      <c r="AA13" s="629">
        <f t="shared" si="3"/>
        <v>1</v>
      </c>
      <c r="AB13" s="629">
        <f t="shared" si="4"/>
        <v>1</v>
      </c>
      <c r="AC13" s="629">
        <f t="shared" si="5"/>
        <v>1</v>
      </c>
    </row>
    <row r="14" spans="1:29" ht="85.5">
      <c r="A14" s="294" t="s">
        <v>2210</v>
      </c>
      <c r="B14" s="511" t="s">
        <v>2348</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52" t="s">
        <v>2211</v>
      </c>
      <c r="Q14" s="1303" t="str">
        <f t="shared" si="6"/>
        <v>交通便捷度</v>
      </c>
      <c r="R14" s="630" t="s">
        <v>25</v>
      </c>
      <c r="S14" s="631">
        <f t="shared" si="0"/>
        <v>100</v>
      </c>
      <c r="T14" s="630" t="s">
        <v>25</v>
      </c>
      <c r="U14" s="631">
        <f t="shared" si="1"/>
        <v>100</v>
      </c>
      <c r="V14" s="630" t="s">
        <v>25</v>
      </c>
      <c r="W14" s="631">
        <f t="shared" si="2"/>
        <v>100</v>
      </c>
      <c r="X14" s="1304"/>
      <c r="Y14" s="3652" t="s">
        <v>2211</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53"/>
      <c r="Q15" s="1303"/>
      <c r="R15" s="630"/>
      <c r="S15" s="631"/>
      <c r="T15" s="630"/>
      <c r="U15" s="631"/>
      <c r="V15" s="630"/>
      <c r="W15" s="631"/>
      <c r="X15" s="1304"/>
      <c r="Y15" s="3653"/>
      <c r="Z15" s="1305"/>
      <c r="AA15" s="1306">
        <v>1</v>
      </c>
      <c r="AB15" s="1306">
        <v>1</v>
      </c>
      <c r="AC15" s="1306">
        <v>1</v>
      </c>
    </row>
    <row r="16" spans="1:29" ht="42.75">
      <c r="A16" s="297"/>
      <c r="B16" s="513" t="s">
        <v>2326</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3"/>
      <c r="Q16" s="1303" t="str">
        <f>B16</f>
        <v>公共配套设施</v>
      </c>
      <c r="R16" s="630" t="s">
        <v>25</v>
      </c>
      <c r="S16" s="631">
        <f>F16</f>
        <v>100</v>
      </c>
      <c r="T16" s="630" t="s">
        <v>25</v>
      </c>
      <c r="U16" s="631">
        <f>H16</f>
        <v>100</v>
      </c>
      <c r="V16" s="630" t="s">
        <v>25</v>
      </c>
      <c r="W16" s="631">
        <f>J16</f>
        <v>100</v>
      </c>
      <c r="X16" s="1304"/>
      <c r="Y16" s="3653"/>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53"/>
      <c r="Q17" s="1303"/>
      <c r="R17" s="630"/>
      <c r="S17" s="631"/>
      <c r="T17" s="630"/>
      <c r="U17" s="631"/>
      <c r="V17" s="630"/>
      <c r="W17" s="631"/>
      <c r="X17" s="1304"/>
      <c r="Y17" s="3653"/>
      <c r="Z17" s="1305"/>
      <c r="AA17" s="1306">
        <v>1</v>
      </c>
      <c r="AB17" s="1306">
        <v>1</v>
      </c>
      <c r="AC17" s="1306">
        <v>1</v>
      </c>
    </row>
    <row r="18" spans="1:29" ht="28.5">
      <c r="A18" s="297"/>
      <c r="B18" s="515" t="s">
        <v>2327</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3"/>
      <c r="Q18" s="1303" t="str">
        <f>B18</f>
        <v>基础设施水平</v>
      </c>
      <c r="R18" s="630" t="s">
        <v>25</v>
      </c>
      <c r="S18" s="631">
        <f>F18</f>
        <v>100</v>
      </c>
      <c r="T18" s="630" t="s">
        <v>25</v>
      </c>
      <c r="U18" s="631">
        <f>H18</f>
        <v>100</v>
      </c>
      <c r="V18" s="630" t="s">
        <v>25</v>
      </c>
      <c r="W18" s="631">
        <f>J18</f>
        <v>100</v>
      </c>
      <c r="X18" s="1304"/>
      <c r="Y18" s="3653"/>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53"/>
      <c r="Q19" s="1303"/>
      <c r="R19" s="630"/>
      <c r="S19" s="631"/>
      <c r="T19" s="630"/>
      <c r="U19" s="631"/>
      <c r="V19" s="630"/>
      <c r="W19" s="631"/>
      <c r="X19" s="1304"/>
      <c r="Y19" s="3653"/>
      <c r="Z19" s="1305"/>
      <c r="AA19" s="1306">
        <v>1</v>
      </c>
      <c r="AB19" s="1306">
        <v>1</v>
      </c>
      <c r="AC19" s="1306">
        <v>1</v>
      </c>
    </row>
    <row r="20" spans="1:29" ht="57">
      <c r="A20" s="297"/>
      <c r="B20" s="513" t="s">
        <v>2349</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3"/>
      <c r="Q20" s="1303" t="str">
        <f>B20</f>
        <v>自然及人文环境</v>
      </c>
      <c r="R20" s="630" t="s">
        <v>25</v>
      </c>
      <c r="S20" s="631">
        <f>F20</f>
        <v>100</v>
      </c>
      <c r="T20" s="630" t="s">
        <v>25</v>
      </c>
      <c r="U20" s="631">
        <f>H20</f>
        <v>100</v>
      </c>
      <c r="V20" s="630" t="s">
        <v>25</v>
      </c>
      <c r="W20" s="631">
        <f>J20</f>
        <v>100</v>
      </c>
      <c r="X20" s="1304"/>
      <c r="Y20" s="3653"/>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53"/>
      <c r="Q21" s="1303"/>
      <c r="R21" s="630"/>
      <c r="S21" s="631"/>
      <c r="T21" s="630"/>
      <c r="U21" s="631"/>
      <c r="V21" s="630"/>
      <c r="W21" s="631"/>
      <c r="X21" s="1304"/>
      <c r="Y21" s="3653"/>
      <c r="Z21" s="1305"/>
      <c r="AA21" s="1306">
        <v>1</v>
      </c>
      <c r="AB21" s="1306">
        <v>1</v>
      </c>
      <c r="AC21" s="1306">
        <v>1</v>
      </c>
    </row>
    <row r="22" spans="1:29" ht="15">
      <c r="A22" s="297"/>
      <c r="B22" s="513" t="s">
        <v>2350</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3"/>
      <c r="Q22" s="1303" t="str">
        <f>B22</f>
        <v>楼层</v>
      </c>
      <c r="R22" s="630" t="s">
        <v>25</v>
      </c>
      <c r="S22" s="631">
        <f>F22</f>
        <v>100</v>
      </c>
      <c r="T22" s="630" t="s">
        <v>25</v>
      </c>
      <c r="U22" s="631">
        <f>H22</f>
        <v>100</v>
      </c>
      <c r="V22" s="630" t="s">
        <v>25</v>
      </c>
      <c r="W22" s="631">
        <f>J22</f>
        <v>100</v>
      </c>
      <c r="X22" s="1304"/>
      <c r="Y22" s="3653"/>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53"/>
      <c r="Q23" s="1303">
        <f>B23</f>
        <v>111</v>
      </c>
      <c r="R23" s="630" t="s">
        <v>25</v>
      </c>
      <c r="S23" s="631">
        <f>F23</f>
        <v>100</v>
      </c>
      <c r="T23" s="630" t="s">
        <v>25</v>
      </c>
      <c r="U23" s="631">
        <f>H23</f>
        <v>100</v>
      </c>
      <c r="V23" s="630" t="s">
        <v>25</v>
      </c>
      <c r="W23" s="631">
        <f>J23</f>
        <v>100</v>
      </c>
      <c r="X23" s="1304"/>
      <c r="Y23" s="3653"/>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53"/>
      <c r="Q24" s="1303">
        <f t="shared" ref="Q24:Q36" si="11">B24</f>
        <v>111</v>
      </c>
      <c r="R24" s="630" t="s">
        <v>25</v>
      </c>
      <c r="S24" s="631">
        <f>F24</f>
        <v>100</v>
      </c>
      <c r="T24" s="630" t="s">
        <v>25</v>
      </c>
      <c r="U24" s="631">
        <f>H24</f>
        <v>100</v>
      </c>
      <c r="V24" s="630" t="s">
        <v>25</v>
      </c>
      <c r="W24" s="631">
        <f>J24</f>
        <v>100</v>
      </c>
      <c r="X24" s="1304"/>
      <c r="Y24" s="3653"/>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3"/>
      <c r="Q25" s="1296">
        <f t="shared" si="11"/>
        <v>111</v>
      </c>
      <c r="R25" s="626" t="s">
        <v>25</v>
      </c>
      <c r="S25" s="627">
        <f>F25</f>
        <v>100</v>
      </c>
      <c r="T25" s="626" t="s">
        <v>25</v>
      </c>
      <c r="U25" s="627">
        <f>H25</f>
        <v>100</v>
      </c>
      <c r="V25" s="626" t="s">
        <v>25</v>
      </c>
      <c r="W25" s="627">
        <f>J25</f>
        <v>100</v>
      </c>
      <c r="X25" s="628"/>
      <c r="Y25" s="3653"/>
      <c r="Z25" s="19">
        <f>Q25</f>
        <v>111</v>
      </c>
      <c r="AA25" s="1306">
        <f>D25/F25</f>
        <v>1</v>
      </c>
      <c r="AB25" s="1306">
        <f>D25/H25</f>
        <v>1</v>
      </c>
      <c r="AC25" s="1306">
        <f>D25/J25</f>
        <v>1</v>
      </c>
    </row>
    <row r="26" spans="1:29" ht="28.5">
      <c r="A26" s="533" t="s">
        <v>2215</v>
      </c>
      <c r="B26" s="23" t="s">
        <v>2351</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40" t="s">
        <v>2217</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41" t="s">
        <v>2217</v>
      </c>
      <c r="Z26" s="1305" t="str">
        <f t="shared" ref="Z26:Z36" si="15">Q26</f>
        <v>配套类型</v>
      </c>
      <c r="AA26" s="1306">
        <f t="shared" si="3"/>
        <v>1</v>
      </c>
      <c r="AB26" s="1306">
        <f t="shared" si="4"/>
        <v>1</v>
      </c>
      <c r="AC26" s="1306">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41"/>
      <c r="Q27" s="632" t="str">
        <f t="shared" si="11"/>
        <v>项目停车位配比</v>
      </c>
      <c r="R27" s="633" t="s">
        <v>25</v>
      </c>
      <c r="S27" s="634">
        <f t="shared" si="12"/>
        <v>100</v>
      </c>
      <c r="T27" s="633" t="s">
        <v>25</v>
      </c>
      <c r="U27" s="634">
        <f t="shared" si="13"/>
        <v>100</v>
      </c>
      <c r="V27" s="633" t="s">
        <v>25</v>
      </c>
      <c r="W27" s="634">
        <f t="shared" si="14"/>
        <v>100</v>
      </c>
      <c r="X27" s="635"/>
      <c r="Y27" s="3641"/>
      <c r="Z27" s="636" t="str">
        <f t="shared" si="15"/>
        <v>项目停车位配比</v>
      </c>
      <c r="AA27" s="1306">
        <f t="shared" si="3"/>
        <v>1</v>
      </c>
      <c r="AB27" s="1306">
        <f t="shared" si="4"/>
        <v>1</v>
      </c>
      <c r="AC27" s="1306">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41"/>
      <c r="Q28" s="1303" t="str">
        <f t="shared" si="11"/>
        <v>公共部分装修</v>
      </c>
      <c r="R28" s="630" t="s">
        <v>25</v>
      </c>
      <c r="S28" s="631">
        <f t="shared" si="12"/>
        <v>100</v>
      </c>
      <c r="T28" s="630" t="s">
        <v>25</v>
      </c>
      <c r="U28" s="631">
        <f t="shared" si="13"/>
        <v>100</v>
      </c>
      <c r="V28" s="630" t="s">
        <v>25</v>
      </c>
      <c r="W28" s="631">
        <f t="shared" si="14"/>
        <v>100</v>
      </c>
      <c r="X28" s="1304"/>
      <c r="Y28" s="3641"/>
      <c r="Z28" s="1305" t="str">
        <f t="shared" si="15"/>
        <v>公共部分装修</v>
      </c>
      <c r="AA28" s="1306">
        <f t="shared" si="3"/>
        <v>1</v>
      </c>
      <c r="AB28" s="1306">
        <f t="shared" si="4"/>
        <v>1</v>
      </c>
      <c r="AC28" s="1306">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41"/>
      <c r="Q29" s="1303" t="str">
        <f t="shared" si="11"/>
        <v>成新率</v>
      </c>
      <c r="R29" s="630" t="s">
        <v>25</v>
      </c>
      <c r="S29" s="631" t="e">
        <f t="shared" si="12"/>
        <v>#N/A</v>
      </c>
      <c r="T29" s="630" t="s">
        <v>25</v>
      </c>
      <c r="U29" s="631" t="e">
        <f t="shared" si="13"/>
        <v>#N/A</v>
      </c>
      <c r="V29" s="630" t="s">
        <v>25</v>
      </c>
      <c r="W29" s="631" t="e">
        <f t="shared" si="14"/>
        <v>#N/A</v>
      </c>
      <c r="X29" s="1304"/>
      <c r="Y29" s="3641"/>
      <c r="Z29" s="1305" t="str">
        <f t="shared" si="15"/>
        <v>成新率</v>
      </c>
      <c r="AA29" s="1306" t="e">
        <f t="shared" si="3"/>
        <v>#N/A</v>
      </c>
      <c r="AB29" s="1306" t="e">
        <f t="shared" si="4"/>
        <v>#N/A</v>
      </c>
      <c r="AC29" s="1306"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41"/>
      <c r="Q30" s="1303" t="str">
        <f t="shared" si="11"/>
        <v>物业等级</v>
      </c>
      <c r="R30" s="630" t="s">
        <v>25</v>
      </c>
      <c r="S30" s="631">
        <f t="shared" si="12"/>
        <v>100</v>
      </c>
      <c r="T30" s="630" t="s">
        <v>25</v>
      </c>
      <c r="U30" s="631">
        <f t="shared" si="13"/>
        <v>100</v>
      </c>
      <c r="V30" s="630" t="s">
        <v>25</v>
      </c>
      <c r="W30" s="631">
        <f t="shared" si="14"/>
        <v>100</v>
      </c>
      <c r="X30" s="1304"/>
      <c r="Y30" s="3641"/>
      <c r="Z30" s="1305" t="str">
        <f t="shared" si="15"/>
        <v>物业等级</v>
      </c>
      <c r="AA30" s="1306">
        <f t="shared" si="3"/>
        <v>1</v>
      </c>
      <c r="AB30" s="1306">
        <f t="shared" si="4"/>
        <v>1</v>
      </c>
      <c r="AC30" s="1306">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41"/>
      <c r="Q31" s="1296" t="str">
        <f t="shared" si="11"/>
        <v>停车位面积</v>
      </c>
      <c r="R31" s="626" t="s">
        <v>25</v>
      </c>
      <c r="S31" s="627" t="e">
        <f t="shared" si="12"/>
        <v>#N/A</v>
      </c>
      <c r="T31" s="626" t="s">
        <v>25</v>
      </c>
      <c r="U31" s="627" t="e">
        <f t="shared" si="13"/>
        <v>#N/A</v>
      </c>
      <c r="V31" s="626" t="s">
        <v>25</v>
      </c>
      <c r="W31" s="627" t="e">
        <f t="shared" si="14"/>
        <v>#N/A</v>
      </c>
      <c r="X31" s="628"/>
      <c r="Y31" s="3641"/>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41" t="s">
        <v>2217</v>
      </c>
      <c r="Q32" s="1303" t="str">
        <f t="shared" si="11"/>
        <v>车位类型</v>
      </c>
      <c r="R32" s="630" t="s">
        <v>25</v>
      </c>
      <c r="S32" s="631">
        <f t="shared" si="12"/>
        <v>100</v>
      </c>
      <c r="T32" s="630" t="s">
        <v>25</v>
      </c>
      <c r="U32" s="631">
        <f t="shared" si="13"/>
        <v>100</v>
      </c>
      <c r="V32" s="630" t="s">
        <v>25</v>
      </c>
      <c r="W32" s="631">
        <f t="shared" si="14"/>
        <v>100</v>
      </c>
      <c r="X32" s="1304"/>
      <c r="Y32" s="3641" t="s">
        <v>2217</v>
      </c>
      <c r="Z32" s="1305" t="str">
        <f t="shared" si="15"/>
        <v>车位类型</v>
      </c>
      <c r="AA32" s="1306">
        <f t="shared" si="3"/>
        <v>1</v>
      </c>
      <c r="AB32" s="1306">
        <f t="shared" si="4"/>
        <v>1</v>
      </c>
      <c r="AC32" s="1306">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41"/>
      <c r="Q33" s="1303" t="str">
        <f t="shared" si="11"/>
        <v>是否直接入户</v>
      </c>
      <c r="R33" s="630" t="s">
        <v>25</v>
      </c>
      <c r="S33" s="631">
        <f t="shared" si="12"/>
        <v>100</v>
      </c>
      <c r="T33" s="630" t="s">
        <v>25</v>
      </c>
      <c r="U33" s="631">
        <f t="shared" si="13"/>
        <v>100</v>
      </c>
      <c r="V33" s="630" t="s">
        <v>25</v>
      </c>
      <c r="W33" s="631">
        <f t="shared" si="14"/>
        <v>100</v>
      </c>
      <c r="X33" s="1304"/>
      <c r="Y33" s="3641"/>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41"/>
      <c r="Q34" s="1303">
        <f t="shared" si="11"/>
        <v>111</v>
      </c>
      <c r="R34" s="630" t="s">
        <v>25</v>
      </c>
      <c r="S34" s="631">
        <f t="shared" si="12"/>
        <v>100</v>
      </c>
      <c r="T34" s="630" t="s">
        <v>25</v>
      </c>
      <c r="U34" s="631">
        <f t="shared" si="13"/>
        <v>100</v>
      </c>
      <c r="V34" s="630" t="s">
        <v>25</v>
      </c>
      <c r="W34" s="631">
        <f t="shared" si="14"/>
        <v>100</v>
      </c>
      <c r="X34" s="1304"/>
      <c r="Y34" s="3641"/>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41"/>
      <c r="Q35" s="632">
        <f t="shared" si="11"/>
        <v>111</v>
      </c>
      <c r="R35" s="633" t="s">
        <v>25</v>
      </c>
      <c r="S35" s="634">
        <f t="shared" si="12"/>
        <v>100</v>
      </c>
      <c r="T35" s="633" t="s">
        <v>25</v>
      </c>
      <c r="U35" s="634">
        <f t="shared" si="13"/>
        <v>100</v>
      </c>
      <c r="V35" s="633" t="s">
        <v>25</v>
      </c>
      <c r="W35" s="634">
        <f t="shared" si="14"/>
        <v>100</v>
      </c>
      <c r="X35" s="635"/>
      <c r="Y35" s="3641"/>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41"/>
      <c r="Q36" s="1303">
        <f t="shared" si="11"/>
        <v>111</v>
      </c>
      <c r="R36" s="630" t="s">
        <v>25</v>
      </c>
      <c r="S36" s="631">
        <f t="shared" si="12"/>
        <v>100</v>
      </c>
      <c r="T36" s="630" t="s">
        <v>25</v>
      </c>
      <c r="U36" s="631">
        <f t="shared" si="13"/>
        <v>100</v>
      </c>
      <c r="V36" s="630" t="s">
        <v>25</v>
      </c>
      <c r="W36" s="631">
        <f t="shared" si="14"/>
        <v>100</v>
      </c>
      <c r="X36" s="1304"/>
      <c r="Y36" s="3641"/>
      <c r="Z36" s="1305">
        <f t="shared" si="15"/>
        <v>111</v>
      </c>
      <c r="AA36" s="1306">
        <f t="shared" si="3"/>
        <v>1</v>
      </c>
      <c r="AB36" s="1306">
        <f t="shared" si="4"/>
        <v>1</v>
      </c>
      <c r="AC36" s="1306">
        <f t="shared" si="5"/>
        <v>1</v>
      </c>
    </row>
    <row r="37" spans="1:29" ht="15">
      <c r="A37" s="367" t="s">
        <v>2359</v>
      </c>
      <c r="B37" s="839" t="s">
        <v>2360</v>
      </c>
      <c r="C37" s="1123" t="s">
        <v>1</v>
      </c>
      <c r="D37" s="1124"/>
      <c r="E37" s="1125"/>
      <c r="F37" s="1126"/>
      <c r="G37" s="1127"/>
      <c r="H37" s="1128"/>
      <c r="I37" s="1125"/>
      <c r="J37" s="1128"/>
      <c r="K37" s="503"/>
      <c r="L37" s="3006"/>
      <c r="N37" s="2995"/>
      <c r="P37" s="3635" t="str">
        <f>A37</f>
        <v>成交单价</v>
      </c>
      <c r="Q37" s="3635"/>
      <c r="R37" s="3636">
        <f>E37</f>
        <v>0</v>
      </c>
      <c r="S37" s="3636"/>
      <c r="T37" s="3636">
        <f>G37</f>
        <v>0</v>
      </c>
      <c r="U37" s="3636"/>
      <c r="V37" s="3636">
        <f>I37</f>
        <v>0</v>
      </c>
      <c r="W37" s="3636"/>
      <c r="X37" s="617"/>
      <c r="Y37" s="637"/>
      <c r="Z37" s="617"/>
      <c r="AA37" s="617"/>
      <c r="AB37" s="617"/>
      <c r="AC37" s="617"/>
    </row>
    <row r="38" spans="1:29" ht="15.75" thickBot="1">
      <c r="A38" s="374" t="s">
        <v>2361</v>
      </c>
      <c r="B38" s="375" t="str">
        <f>B37</f>
        <v>元/平方米</v>
      </c>
      <c r="C38" s="1129" t="e">
        <f>R39</f>
        <v>#DIV/0!</v>
      </c>
      <c r="D38" s="1766" t="s">
        <v>2685</v>
      </c>
      <c r="E38" s="1130" t="e">
        <f>R38</f>
        <v>#DIV/0!</v>
      </c>
      <c r="F38" s="1768"/>
      <c r="G38" s="1129" t="e">
        <f>T38</f>
        <v>#DIV/0!</v>
      </c>
      <c r="H38" s="1768"/>
      <c r="I38" s="1130" t="e">
        <f>V38</f>
        <v>#DIV/0!</v>
      </c>
      <c r="J38" s="1768"/>
      <c r="K38" s="2480">
        <f>F38+H38+J38</f>
        <v>0</v>
      </c>
      <c r="L38" s="3006"/>
      <c r="P38" s="3635" t="str">
        <f>A38</f>
        <v>比较价值</v>
      </c>
      <c r="Q38" s="3635"/>
      <c r="R38" s="3636" t="e">
        <f>IF(E1="售价",ROUND(PRODUCT(R37,AA7:AA36),0),ROUND(PRODUCT(R37,AA7:AA36),1))</f>
        <v>#DIV/0!</v>
      </c>
      <c r="S38" s="3636"/>
      <c r="T38" s="3636" t="e">
        <f>IF(E1="售价",ROUND(PRODUCT(T37,AB7:AB36),0),ROUND(PRODUCT(T37,AB7:AB36),1))</f>
        <v>#DIV/0!</v>
      </c>
      <c r="U38" s="3636"/>
      <c r="V38" s="3636" t="e">
        <f>IF(E1="售价",ROUND(PRODUCT(V37,AC7:AC36),0),ROUND(PRODUCT(V37,AC7:AC36),1))</f>
        <v>#DIV/0!</v>
      </c>
      <c r="W38" s="3636"/>
      <c r="X38" s="617"/>
      <c r="Y38" s="617"/>
      <c r="Z38" s="617"/>
      <c r="AA38" s="617"/>
      <c r="AB38" s="617"/>
      <c r="AC38" s="617"/>
    </row>
    <row r="39" spans="1:29" ht="15.75" thickBot="1">
      <c r="A39" s="378" t="s">
        <v>2362</v>
      </c>
      <c r="B39" s="379"/>
      <c r="C39" s="1131" t="e">
        <f>R39</f>
        <v>#DIV/0!</v>
      </c>
      <c r="D39" s="1131"/>
      <c r="E39" s="1131"/>
      <c r="F39" s="1131"/>
      <c r="G39" s="1131"/>
      <c r="H39" s="1131"/>
      <c r="I39" s="1131"/>
      <c r="J39" s="1131"/>
      <c r="K39" s="504"/>
      <c r="L39" s="3006"/>
      <c r="P39" s="3637" t="str">
        <f>A39</f>
        <v>估价对象XX用房的比较价值（楼面单价，元/平方米）</v>
      </c>
      <c r="Q39" s="3638"/>
      <c r="R39" s="3639" t="e">
        <f>IF(E1="售价",ROUND(IF(D38="简单平均",AVERAGE(R38:W38),R38*F38+T38*H38+V38*J38),0),ROUND(IF(D38="简单平均",AVERAGE(R38:V38),R38*F38+T38*H38+V38*J38),1))</f>
        <v>#DIV/0!</v>
      </c>
      <c r="S39" s="3639"/>
      <c r="T39" s="3639"/>
      <c r="U39" s="3639"/>
      <c r="V39" s="3639"/>
      <c r="W39" s="3639"/>
      <c r="X39" s="617"/>
      <c r="Y39" s="617"/>
      <c r="Z39" s="617"/>
      <c r="AA39" s="617"/>
      <c r="AB39" s="617"/>
      <c r="AC39" s="617"/>
    </row>
    <row r="40" spans="1:29">
      <c r="G40" s="300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8"/>
      <c r="Q44" s="618"/>
      <c r="R44" s="618"/>
      <c r="S44" s="618"/>
      <c r="T44" s="618"/>
      <c r="U44" s="618"/>
      <c r="V44" s="618"/>
      <c r="W44" s="618"/>
      <c r="X44" s="618"/>
      <c r="Y44" s="618"/>
      <c r="Z44" s="618"/>
      <c r="AA44" s="618"/>
      <c r="AB44" s="618"/>
      <c r="AC44" s="618"/>
    </row>
    <row r="45" spans="1:29" s="388" customFormat="1">
      <c r="B45" s="3008"/>
      <c r="C45" s="3011"/>
      <c r="K45" s="3010"/>
      <c r="L45" s="3007"/>
      <c r="P45" s="618"/>
      <c r="Q45" s="618"/>
      <c r="R45" s="618"/>
      <c r="S45" s="618"/>
      <c r="T45" s="618"/>
      <c r="U45" s="618"/>
      <c r="V45" s="618"/>
      <c r="W45" s="618"/>
      <c r="X45" s="618"/>
      <c r="Y45" s="618"/>
      <c r="Z45" s="618"/>
      <c r="AA45" s="618"/>
      <c r="AB45" s="618"/>
      <c r="AC45" s="618"/>
    </row>
    <row r="46" spans="1:29">
      <c r="B46" s="3008"/>
      <c r="C46" s="3011"/>
      <c r="P46" s="617"/>
      <c r="Q46" s="617"/>
      <c r="R46" s="617"/>
      <c r="S46" s="617"/>
      <c r="T46" s="617"/>
      <c r="U46" s="617"/>
      <c r="V46" s="617"/>
      <c r="W46" s="617"/>
      <c r="X46" s="617"/>
      <c r="Y46" s="617"/>
      <c r="Z46" s="617"/>
      <c r="AA46" s="617"/>
      <c r="AB46" s="617"/>
      <c r="AC46" s="617"/>
    </row>
    <row r="47" spans="1:29" ht="21.75" thickBot="1">
      <c r="A47" s="1133" t="s">
        <v>2366</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2367</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2346</v>
      </c>
      <c r="B1" s="1551"/>
      <c r="C1" s="1191"/>
      <c r="D1" s="1201"/>
      <c r="E1" s="1528" t="s">
        <v>2686</v>
      </c>
      <c r="F1" s="1202" t="s">
        <v>2184</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2185</v>
      </c>
      <c r="D3" s="292">
        <f>IF(C1="仅计算典型户型",'数据-取费表'!E5,'数据-取费表'!B5)</f>
        <v>447.86</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58" t="s">
        <v>2187</v>
      </c>
      <c r="D4" s="3659"/>
      <c r="E4" s="3660" t="s">
        <v>2188</v>
      </c>
      <c r="F4" s="3661"/>
      <c r="G4" s="3658" t="s">
        <v>2189</v>
      </c>
      <c r="H4" s="3659"/>
      <c r="I4" s="3658" t="s">
        <v>2190</v>
      </c>
      <c r="J4" s="3659"/>
      <c r="K4" s="496" t="s">
        <v>2191</v>
      </c>
      <c r="L4" s="2994"/>
      <c r="M4" s="2995"/>
      <c r="N4" s="2995"/>
      <c r="O4" s="2995"/>
      <c r="P4" s="3662" t="s">
        <v>2192</v>
      </c>
      <c r="Q4" s="3663"/>
      <c r="R4" s="3645" t="s">
        <v>2188</v>
      </c>
      <c r="S4" s="3646"/>
      <c r="T4" s="3645" t="s">
        <v>2189</v>
      </c>
      <c r="U4" s="3646"/>
      <c r="V4" s="3668" t="s">
        <v>2190</v>
      </c>
      <c r="W4" s="3668"/>
      <c r="X4" s="1304"/>
      <c r="Y4" s="3645" t="s">
        <v>2192</v>
      </c>
      <c r="Z4" s="3646"/>
      <c r="AA4" s="3655" t="s">
        <v>2188</v>
      </c>
      <c r="AB4" s="3656" t="s">
        <v>2189</v>
      </c>
      <c r="AC4" s="3655" t="s">
        <v>2190</v>
      </c>
    </row>
    <row r="5" spans="1:29" ht="15">
      <c r="A5" s="297"/>
      <c r="B5" s="298"/>
      <c r="C5" s="3671" t="s">
        <v>2193</v>
      </c>
      <c r="D5" s="3672"/>
      <c r="E5" s="3669" t="s">
        <v>2194</v>
      </c>
      <c r="F5" s="3670"/>
      <c r="G5" s="3671" t="s">
        <v>2195</v>
      </c>
      <c r="H5" s="3672"/>
      <c r="I5" s="3671" t="s">
        <v>2196</v>
      </c>
      <c r="J5" s="3672"/>
      <c r="K5" s="496"/>
      <c r="L5" s="2994"/>
      <c r="M5" s="2995"/>
      <c r="N5" s="2995"/>
      <c r="O5" s="2995"/>
      <c r="P5" s="3664"/>
      <c r="Q5" s="3665"/>
      <c r="R5" s="3647"/>
      <c r="S5" s="3648"/>
      <c r="T5" s="3647"/>
      <c r="U5" s="3648"/>
      <c r="V5" s="3668"/>
      <c r="W5" s="3668"/>
      <c r="X5" s="1304"/>
      <c r="Y5" s="3647"/>
      <c r="Z5" s="3648"/>
      <c r="AA5" s="3656"/>
      <c r="AB5" s="3656"/>
      <c r="AC5" s="3656"/>
    </row>
    <row r="6" spans="1:29" ht="15.75" thickBot="1">
      <c r="A6" s="299"/>
      <c r="B6" s="300"/>
      <c r="C6" s="3673" t="s">
        <v>2197</v>
      </c>
      <c r="D6" s="3674"/>
      <c r="E6" s="3675" t="s">
        <v>2197</v>
      </c>
      <c r="F6" s="3676"/>
      <c r="G6" s="3673" t="s">
        <v>2197</v>
      </c>
      <c r="H6" s="3674"/>
      <c r="I6" s="3673" t="s">
        <v>2197</v>
      </c>
      <c r="J6" s="3674"/>
      <c r="K6" s="496" t="s">
        <v>2198</v>
      </c>
      <c r="L6" s="2994"/>
      <c r="M6" s="2995"/>
      <c r="N6" s="2995"/>
      <c r="O6" s="2995"/>
      <c r="P6" s="3666"/>
      <c r="Q6" s="3667"/>
      <c r="R6" s="3647"/>
      <c r="S6" s="3648"/>
      <c r="T6" s="3649"/>
      <c r="U6" s="3650"/>
      <c r="V6" s="3668"/>
      <c r="W6" s="3668"/>
      <c r="X6" s="1304"/>
      <c r="Y6" s="3649"/>
      <c r="Z6" s="3650"/>
      <c r="AA6" s="3657"/>
      <c r="AB6" s="3657"/>
      <c r="AC6" s="3657"/>
    </row>
    <row r="7" spans="1:29" s="25" customFormat="1" ht="15.75" thickBot="1">
      <c r="A7" s="301" t="s">
        <v>2199</v>
      </c>
      <c r="B7" s="302"/>
      <c r="C7" s="303">
        <f>'数据-取费表'!B2</f>
        <v>44644</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43" t="s">
        <v>2200</v>
      </c>
      <c r="Q7" s="3651"/>
      <c r="R7" s="626" t="s">
        <v>25</v>
      </c>
      <c r="S7" s="627">
        <f t="shared" ref="S7:S14" si="0">F7</f>
        <v>0</v>
      </c>
      <c r="T7" s="626" t="s">
        <v>25</v>
      </c>
      <c r="U7" s="627">
        <f t="shared" ref="U7:U14" si="1">H7</f>
        <v>0</v>
      </c>
      <c r="V7" s="626" t="s">
        <v>25</v>
      </c>
      <c r="W7" s="627">
        <f t="shared" ref="W7:W14" si="2">J7</f>
        <v>0</v>
      </c>
      <c r="X7" s="628"/>
      <c r="Y7" s="3643" t="s">
        <v>2200</v>
      </c>
      <c r="Z7" s="3644"/>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43" t="s">
        <v>2203</v>
      </c>
      <c r="Q8" s="3644"/>
      <c r="R8" s="626" t="s">
        <v>25</v>
      </c>
      <c r="S8" s="627">
        <f t="shared" si="0"/>
        <v>0</v>
      </c>
      <c r="T8" s="626" t="s">
        <v>25</v>
      </c>
      <c r="U8" s="627">
        <f t="shared" si="1"/>
        <v>0</v>
      </c>
      <c r="V8" s="626" t="s">
        <v>25</v>
      </c>
      <c r="W8" s="627">
        <f t="shared" si="2"/>
        <v>0</v>
      </c>
      <c r="X8" s="628"/>
      <c r="Y8" s="3643" t="s">
        <v>2203</v>
      </c>
      <c r="Z8" s="3644"/>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5" t="s">
        <v>2206</v>
      </c>
      <c r="Q9" s="1296" t="str">
        <f t="shared" ref="Q9:Q14" si="6">B9</f>
        <v>用途</v>
      </c>
      <c r="R9" s="626" t="s">
        <v>25</v>
      </c>
      <c r="S9" s="627">
        <f t="shared" si="0"/>
        <v>100</v>
      </c>
      <c r="T9" s="626" t="s">
        <v>25</v>
      </c>
      <c r="U9" s="627">
        <f t="shared" si="1"/>
        <v>100</v>
      </c>
      <c r="V9" s="626" t="s">
        <v>25</v>
      </c>
      <c r="W9" s="627">
        <f t="shared" si="2"/>
        <v>100</v>
      </c>
      <c r="X9" s="628"/>
      <c r="Y9" s="3654"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5"/>
      <c r="Q10" s="1296" t="str">
        <f t="shared" si="6"/>
        <v>土地使用年限（年）</v>
      </c>
      <c r="R10" s="626" t="s">
        <v>25</v>
      </c>
      <c r="S10" s="627">
        <f t="shared" si="0"/>
        <v>100</v>
      </c>
      <c r="T10" s="626" t="s">
        <v>25</v>
      </c>
      <c r="U10" s="627">
        <f t="shared" si="1"/>
        <v>100</v>
      </c>
      <c r="V10" s="626" t="s">
        <v>25</v>
      </c>
      <c r="W10" s="627">
        <f t="shared" si="2"/>
        <v>100</v>
      </c>
      <c r="X10" s="628"/>
      <c r="Y10" s="3654"/>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5"/>
      <c r="Q11" s="1296">
        <f t="shared" si="6"/>
        <v>111</v>
      </c>
      <c r="R11" s="626" t="s">
        <v>25</v>
      </c>
      <c r="S11" s="627">
        <f t="shared" si="0"/>
        <v>100</v>
      </c>
      <c r="T11" s="626" t="s">
        <v>25</v>
      </c>
      <c r="U11" s="627">
        <f t="shared" si="1"/>
        <v>100</v>
      </c>
      <c r="V11" s="626" t="s">
        <v>25</v>
      </c>
      <c r="W11" s="627">
        <f t="shared" si="2"/>
        <v>100</v>
      </c>
      <c r="X11" s="628"/>
      <c r="Y11" s="3654"/>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5"/>
      <c r="Q12" s="1296">
        <f t="shared" si="6"/>
        <v>111</v>
      </c>
      <c r="R12" s="626" t="s">
        <v>25</v>
      </c>
      <c r="S12" s="627">
        <f t="shared" si="0"/>
        <v>100</v>
      </c>
      <c r="T12" s="626" t="s">
        <v>25</v>
      </c>
      <c r="U12" s="627">
        <f t="shared" si="1"/>
        <v>100</v>
      </c>
      <c r="V12" s="626" t="s">
        <v>25</v>
      </c>
      <c r="W12" s="627">
        <f t="shared" si="2"/>
        <v>100</v>
      </c>
      <c r="X12" s="628"/>
      <c r="Y12" s="3654"/>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5"/>
      <c r="Q13" s="1296">
        <f t="shared" si="6"/>
        <v>111</v>
      </c>
      <c r="R13" s="626" t="s">
        <v>25</v>
      </c>
      <c r="S13" s="627">
        <f t="shared" si="0"/>
        <v>100</v>
      </c>
      <c r="T13" s="626" t="s">
        <v>25</v>
      </c>
      <c r="U13" s="627">
        <f t="shared" si="1"/>
        <v>100</v>
      </c>
      <c r="V13" s="626" t="s">
        <v>25</v>
      </c>
      <c r="W13" s="627">
        <f t="shared" si="2"/>
        <v>100</v>
      </c>
      <c r="X13" s="628"/>
      <c r="Y13" s="3654"/>
      <c r="Z13" s="19">
        <f t="shared" si="7"/>
        <v>111</v>
      </c>
      <c r="AA13" s="629">
        <f t="shared" si="3"/>
        <v>1</v>
      </c>
      <c r="AB13" s="629">
        <f t="shared" si="4"/>
        <v>1</v>
      </c>
      <c r="AC13" s="629">
        <f t="shared" si="5"/>
        <v>1</v>
      </c>
    </row>
    <row r="14" spans="1:29" ht="85.5">
      <c r="A14" s="329" t="s">
        <v>2210</v>
      </c>
      <c r="B14" s="22" t="s">
        <v>2348</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52" t="s">
        <v>2211</v>
      </c>
      <c r="Q14" s="1303" t="str">
        <f t="shared" si="6"/>
        <v>交通便捷度</v>
      </c>
      <c r="R14" s="630" t="s">
        <v>25</v>
      </c>
      <c r="S14" s="631">
        <f t="shared" si="0"/>
        <v>100</v>
      </c>
      <c r="T14" s="630" t="s">
        <v>25</v>
      </c>
      <c r="U14" s="631">
        <f t="shared" si="1"/>
        <v>100</v>
      </c>
      <c r="V14" s="630" t="s">
        <v>25</v>
      </c>
      <c r="W14" s="631">
        <f t="shared" si="2"/>
        <v>100</v>
      </c>
      <c r="X14" s="1304"/>
      <c r="Y14" s="3652" t="s">
        <v>2211</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53"/>
      <c r="Q15" s="1303"/>
      <c r="R15" s="630"/>
      <c r="S15" s="631"/>
      <c r="T15" s="630"/>
      <c r="U15" s="631"/>
      <c r="V15" s="630"/>
      <c r="W15" s="631"/>
      <c r="X15" s="1304"/>
      <c r="Y15" s="3653"/>
      <c r="Z15" s="1305"/>
      <c r="AA15" s="1306">
        <v>1</v>
      </c>
      <c r="AB15" s="1306">
        <v>1</v>
      </c>
      <c r="AC15" s="1306">
        <v>1</v>
      </c>
    </row>
    <row r="16" spans="1:29" ht="42.75">
      <c r="A16" s="318"/>
      <c r="B16" s="513" t="s">
        <v>2326</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3"/>
      <c r="Q16" s="1303" t="str">
        <f>B16</f>
        <v>公共配套设施</v>
      </c>
      <c r="R16" s="630" t="s">
        <v>25</v>
      </c>
      <c r="S16" s="631">
        <f>F16</f>
        <v>100</v>
      </c>
      <c r="T16" s="630" t="s">
        <v>25</v>
      </c>
      <c r="U16" s="631">
        <f>H16</f>
        <v>100</v>
      </c>
      <c r="V16" s="630" t="s">
        <v>25</v>
      </c>
      <c r="W16" s="631">
        <f>J16</f>
        <v>100</v>
      </c>
      <c r="X16" s="1304"/>
      <c r="Y16" s="3653"/>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53"/>
      <c r="Q17" s="1303"/>
      <c r="R17" s="630"/>
      <c r="S17" s="631"/>
      <c r="T17" s="630"/>
      <c r="U17" s="631"/>
      <c r="V17" s="630"/>
      <c r="W17" s="631"/>
      <c r="X17" s="1304"/>
      <c r="Y17" s="3653"/>
      <c r="Z17" s="1305"/>
      <c r="AA17" s="1306">
        <v>1</v>
      </c>
      <c r="AB17" s="1306">
        <v>1</v>
      </c>
      <c r="AC17" s="1306">
        <v>1</v>
      </c>
    </row>
    <row r="18" spans="1:29" ht="28.5">
      <c r="A18" s="318"/>
      <c r="B18" s="515" t="s">
        <v>2327</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3"/>
      <c r="Q18" s="1303" t="str">
        <f>B18</f>
        <v>基础设施水平</v>
      </c>
      <c r="R18" s="630" t="s">
        <v>25</v>
      </c>
      <c r="S18" s="631">
        <f>F18</f>
        <v>100</v>
      </c>
      <c r="T18" s="630" t="s">
        <v>25</v>
      </c>
      <c r="U18" s="631">
        <f>H18</f>
        <v>100</v>
      </c>
      <c r="V18" s="630" t="s">
        <v>25</v>
      </c>
      <c r="W18" s="631">
        <f>J18</f>
        <v>100</v>
      </c>
      <c r="X18" s="1304"/>
      <c r="Y18" s="3653"/>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53"/>
      <c r="Q19" s="1303"/>
      <c r="R19" s="630"/>
      <c r="S19" s="631"/>
      <c r="T19" s="630"/>
      <c r="U19" s="631"/>
      <c r="V19" s="630"/>
      <c r="W19" s="631"/>
      <c r="X19" s="1304"/>
      <c r="Y19" s="3653"/>
      <c r="Z19" s="1305"/>
      <c r="AA19" s="1306">
        <v>1</v>
      </c>
      <c r="AB19" s="1306">
        <v>1</v>
      </c>
      <c r="AC19" s="1306">
        <v>1</v>
      </c>
    </row>
    <row r="20" spans="1:29" ht="57">
      <c r="A20" s="318"/>
      <c r="B20" s="340" t="s">
        <v>2349</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3"/>
      <c r="Q20" s="1303" t="str">
        <f>B20</f>
        <v>自然及人文环境</v>
      </c>
      <c r="R20" s="630" t="s">
        <v>25</v>
      </c>
      <c r="S20" s="631">
        <f>F20</f>
        <v>100</v>
      </c>
      <c r="T20" s="630" t="s">
        <v>25</v>
      </c>
      <c r="U20" s="631">
        <f>H20</f>
        <v>100</v>
      </c>
      <c r="V20" s="630" t="s">
        <v>25</v>
      </c>
      <c r="W20" s="631">
        <f>J20</f>
        <v>100</v>
      </c>
      <c r="X20" s="1304"/>
      <c r="Y20" s="3653"/>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53"/>
      <c r="Q21" s="1303"/>
      <c r="R21" s="630"/>
      <c r="S21" s="631"/>
      <c r="T21" s="630"/>
      <c r="U21" s="631"/>
      <c r="V21" s="630"/>
      <c r="W21" s="631"/>
      <c r="X21" s="1304"/>
      <c r="Y21" s="3653"/>
      <c r="Z21" s="1305"/>
      <c r="AA21" s="1306">
        <v>1</v>
      </c>
      <c r="AB21" s="1306">
        <v>1</v>
      </c>
      <c r="AC21" s="1306">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3"/>
      <c r="Q22" s="1303" t="str">
        <f>B22</f>
        <v>楼层</v>
      </c>
      <c r="R22" s="630" t="s">
        <v>25</v>
      </c>
      <c r="S22" s="631">
        <f>F22</f>
        <v>100</v>
      </c>
      <c r="T22" s="630" t="s">
        <v>25</v>
      </c>
      <c r="U22" s="631">
        <f>H22</f>
        <v>100</v>
      </c>
      <c r="V22" s="630" t="s">
        <v>25</v>
      </c>
      <c r="W22" s="631">
        <f>J22</f>
        <v>100</v>
      </c>
      <c r="X22" s="1304"/>
      <c r="Y22" s="3653"/>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3"/>
      <c r="Q23" s="1303">
        <f>B23</f>
        <v>111</v>
      </c>
      <c r="R23" s="630" t="s">
        <v>25</v>
      </c>
      <c r="S23" s="631">
        <f>F23</f>
        <v>100</v>
      </c>
      <c r="T23" s="630" t="s">
        <v>25</v>
      </c>
      <c r="U23" s="631">
        <f>H23</f>
        <v>100</v>
      </c>
      <c r="V23" s="630" t="s">
        <v>25</v>
      </c>
      <c r="W23" s="631">
        <f>J23</f>
        <v>100</v>
      </c>
      <c r="X23" s="1304"/>
      <c r="Y23" s="3653"/>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3"/>
      <c r="Q24" s="1303">
        <f t="shared" ref="Q24:Q34" si="11">B24</f>
        <v>111</v>
      </c>
      <c r="R24" s="630" t="s">
        <v>25</v>
      </c>
      <c r="S24" s="631">
        <f>F24</f>
        <v>100</v>
      </c>
      <c r="T24" s="630" t="s">
        <v>25</v>
      </c>
      <c r="U24" s="631">
        <f>H24</f>
        <v>100</v>
      </c>
      <c r="V24" s="630" t="s">
        <v>25</v>
      </c>
      <c r="W24" s="631">
        <f>J24</f>
        <v>100</v>
      </c>
      <c r="X24" s="1304"/>
      <c r="Y24" s="3653"/>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53"/>
      <c r="Q25" s="1296">
        <f t="shared" si="11"/>
        <v>111</v>
      </c>
      <c r="R25" s="626" t="s">
        <v>25</v>
      </c>
      <c r="S25" s="627">
        <f>F25</f>
        <v>100</v>
      </c>
      <c r="T25" s="626" t="s">
        <v>25</v>
      </c>
      <c r="U25" s="627">
        <f>H25</f>
        <v>100</v>
      </c>
      <c r="V25" s="626" t="s">
        <v>25</v>
      </c>
      <c r="W25" s="627">
        <f>J25</f>
        <v>100</v>
      </c>
      <c r="X25" s="628"/>
      <c r="Y25" s="3653"/>
      <c r="Z25" s="19">
        <f>Q25</f>
        <v>111</v>
      </c>
      <c r="AA25" s="1306">
        <f>D25/F25</f>
        <v>1</v>
      </c>
      <c r="AB25" s="1306">
        <f>D25/H25</f>
        <v>1</v>
      </c>
      <c r="AC25" s="1306">
        <f>D25/J25</f>
        <v>1</v>
      </c>
    </row>
    <row r="26" spans="1:29" ht="28.5">
      <c r="A26" s="354" t="s">
        <v>2215</v>
      </c>
      <c r="B26" s="24" t="s">
        <v>2353</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40" t="s">
        <v>2217</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41" t="s">
        <v>2217</v>
      </c>
      <c r="Z26" s="1305" t="str">
        <f t="shared" ref="Z26:Z34" si="15">Q26</f>
        <v>公共部分装修</v>
      </c>
      <c r="AA26" s="1306">
        <f t="shared" si="3"/>
        <v>1</v>
      </c>
      <c r="AB26" s="1306">
        <f t="shared" si="4"/>
        <v>1</v>
      </c>
      <c r="AC26" s="1306">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41"/>
      <c r="Q27" s="632" t="str">
        <f t="shared" si="11"/>
        <v>成新率</v>
      </c>
      <c r="R27" s="633" t="s">
        <v>25</v>
      </c>
      <c r="S27" s="634" t="e">
        <f t="shared" si="12"/>
        <v>#N/A</v>
      </c>
      <c r="T27" s="633" t="s">
        <v>25</v>
      </c>
      <c r="U27" s="634" t="e">
        <f t="shared" si="13"/>
        <v>#N/A</v>
      </c>
      <c r="V27" s="633" t="s">
        <v>25</v>
      </c>
      <c r="W27" s="634" t="e">
        <f t="shared" si="14"/>
        <v>#N/A</v>
      </c>
      <c r="X27" s="635"/>
      <c r="Y27" s="3641"/>
      <c r="Z27" s="636" t="str">
        <f t="shared" si="15"/>
        <v>成新率</v>
      </c>
      <c r="AA27" s="1306" t="e">
        <f t="shared" si="3"/>
        <v>#N/A</v>
      </c>
      <c r="AB27" s="1306" t="e">
        <f t="shared" si="4"/>
        <v>#N/A</v>
      </c>
      <c r="AC27" s="1306"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41"/>
      <c r="Q28" s="1303" t="str">
        <f t="shared" si="11"/>
        <v>物业等级</v>
      </c>
      <c r="R28" s="630" t="s">
        <v>25</v>
      </c>
      <c r="S28" s="631">
        <f t="shared" si="12"/>
        <v>100</v>
      </c>
      <c r="T28" s="630" t="s">
        <v>25</v>
      </c>
      <c r="U28" s="631">
        <f t="shared" si="13"/>
        <v>100</v>
      </c>
      <c r="V28" s="630" t="s">
        <v>25</v>
      </c>
      <c r="W28" s="631">
        <f t="shared" si="14"/>
        <v>100</v>
      </c>
      <c r="X28" s="1304"/>
      <c r="Y28" s="3641"/>
      <c r="Z28" s="1305" t="str">
        <f t="shared" si="15"/>
        <v>物业等级</v>
      </c>
      <c r="AA28" s="1306">
        <f t="shared" si="3"/>
        <v>1</v>
      </c>
      <c r="AB28" s="1306">
        <f t="shared" si="4"/>
        <v>1</v>
      </c>
      <c r="AC28" s="1306">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41"/>
      <c r="Q29" s="1303" t="str">
        <f t="shared" si="11"/>
        <v>有无电梯</v>
      </c>
      <c r="R29" s="630" t="s">
        <v>25</v>
      </c>
      <c r="S29" s="631">
        <f t="shared" si="12"/>
        <v>100</v>
      </c>
      <c r="T29" s="630" t="s">
        <v>25</v>
      </c>
      <c r="U29" s="631">
        <f t="shared" si="13"/>
        <v>100</v>
      </c>
      <c r="V29" s="630" t="s">
        <v>25</v>
      </c>
      <c r="W29" s="631">
        <f t="shared" si="14"/>
        <v>100</v>
      </c>
      <c r="X29" s="1304"/>
      <c r="Y29" s="3641"/>
      <c r="Z29" s="1305" t="str">
        <f t="shared" si="15"/>
        <v>有无电梯</v>
      </c>
      <c r="AA29" s="1306">
        <f t="shared" si="3"/>
        <v>1</v>
      </c>
      <c r="AB29" s="1306">
        <f t="shared" si="4"/>
        <v>1</v>
      </c>
      <c r="AC29" s="1306">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41"/>
      <c r="Q30" s="1303" t="str">
        <f t="shared" si="11"/>
        <v>建筑面积</v>
      </c>
      <c r="R30" s="630" t="s">
        <v>25</v>
      </c>
      <c r="S30" s="631" t="e">
        <f t="shared" si="12"/>
        <v>#N/A</v>
      </c>
      <c r="T30" s="630" t="s">
        <v>25</v>
      </c>
      <c r="U30" s="631" t="e">
        <f t="shared" si="13"/>
        <v>#N/A</v>
      </c>
      <c r="V30" s="630" t="s">
        <v>25</v>
      </c>
      <c r="W30" s="631" t="e">
        <f t="shared" si="14"/>
        <v>#N/A</v>
      </c>
      <c r="X30" s="1304"/>
      <c r="Y30" s="3641"/>
      <c r="Z30" s="1305" t="str">
        <f t="shared" si="15"/>
        <v>建筑面积</v>
      </c>
      <c r="AA30" s="1306" t="e">
        <f t="shared" si="3"/>
        <v>#N/A</v>
      </c>
      <c r="AB30" s="1306" t="e">
        <f t="shared" si="4"/>
        <v>#N/A</v>
      </c>
      <c r="AC30" s="1306"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41"/>
      <c r="Q31" s="1296" t="str">
        <f t="shared" si="11"/>
        <v>是否封闭</v>
      </c>
      <c r="R31" s="626" t="s">
        <v>25</v>
      </c>
      <c r="S31" s="627">
        <f t="shared" si="12"/>
        <v>100</v>
      </c>
      <c r="T31" s="626" t="s">
        <v>25</v>
      </c>
      <c r="U31" s="627">
        <f t="shared" si="13"/>
        <v>100</v>
      </c>
      <c r="V31" s="626" t="s">
        <v>25</v>
      </c>
      <c r="W31" s="627">
        <f t="shared" si="14"/>
        <v>100</v>
      </c>
      <c r="X31" s="628"/>
      <c r="Y31" s="3641"/>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41" t="s">
        <v>2217</v>
      </c>
      <c r="Q32" s="1303">
        <f t="shared" si="11"/>
        <v>111</v>
      </c>
      <c r="R32" s="630" t="s">
        <v>25</v>
      </c>
      <c r="S32" s="631">
        <f t="shared" si="12"/>
        <v>100</v>
      </c>
      <c r="T32" s="630" t="s">
        <v>25</v>
      </c>
      <c r="U32" s="631">
        <f t="shared" si="13"/>
        <v>100</v>
      </c>
      <c r="V32" s="630" t="s">
        <v>25</v>
      </c>
      <c r="W32" s="631">
        <f t="shared" si="14"/>
        <v>100</v>
      </c>
      <c r="X32" s="1304"/>
      <c r="Y32" s="3641" t="s">
        <v>2217</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41"/>
      <c r="Q33" s="1303">
        <f t="shared" si="11"/>
        <v>111</v>
      </c>
      <c r="R33" s="630" t="s">
        <v>25</v>
      </c>
      <c r="S33" s="631">
        <f t="shared" si="12"/>
        <v>100</v>
      </c>
      <c r="T33" s="630" t="s">
        <v>25</v>
      </c>
      <c r="U33" s="631">
        <f t="shared" si="13"/>
        <v>100</v>
      </c>
      <c r="V33" s="630" t="s">
        <v>25</v>
      </c>
      <c r="W33" s="631">
        <f t="shared" si="14"/>
        <v>100</v>
      </c>
      <c r="X33" s="1304"/>
      <c r="Y33" s="3641"/>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41"/>
      <c r="Q34" s="1303">
        <f t="shared" si="11"/>
        <v>111</v>
      </c>
      <c r="R34" s="630" t="s">
        <v>25</v>
      </c>
      <c r="S34" s="631">
        <f t="shared" si="12"/>
        <v>100</v>
      </c>
      <c r="T34" s="630" t="s">
        <v>25</v>
      </c>
      <c r="U34" s="631">
        <f t="shared" si="13"/>
        <v>100</v>
      </c>
      <c r="V34" s="630" t="s">
        <v>25</v>
      </c>
      <c r="W34" s="631">
        <f t="shared" si="14"/>
        <v>100</v>
      </c>
      <c r="X34" s="1304"/>
      <c r="Y34" s="3641"/>
      <c r="Z34" s="1305">
        <f t="shared" si="15"/>
        <v>111</v>
      </c>
      <c r="AA34" s="1306">
        <f t="shared" si="3"/>
        <v>1</v>
      </c>
      <c r="AB34" s="1306">
        <f t="shared" si="4"/>
        <v>1</v>
      </c>
      <c r="AC34" s="1306">
        <f t="shared" si="5"/>
        <v>1</v>
      </c>
    </row>
    <row r="35" spans="1:29" ht="15">
      <c r="A35" s="367" t="s">
        <v>2229</v>
      </c>
      <c r="B35" s="368"/>
      <c r="C35" s="1123" t="s">
        <v>1</v>
      </c>
      <c r="D35" s="1124"/>
      <c r="E35" s="1125"/>
      <c r="F35" s="1126"/>
      <c r="G35" s="1127"/>
      <c r="H35" s="1128"/>
      <c r="I35" s="1125"/>
      <c r="J35" s="1128"/>
      <c r="K35" s="639"/>
      <c r="L35" s="3006"/>
      <c r="N35" s="2995"/>
      <c r="P35" s="3635" t="str">
        <f>A35</f>
        <v>成交单价（元/平方米）</v>
      </c>
      <c r="Q35" s="3635"/>
      <c r="R35" s="3636">
        <f>E35</f>
        <v>0</v>
      </c>
      <c r="S35" s="3636"/>
      <c r="T35" s="3636">
        <f>G35</f>
        <v>0</v>
      </c>
      <c r="U35" s="3636"/>
      <c r="V35" s="3636">
        <f>I35</f>
        <v>0</v>
      </c>
      <c r="W35" s="3636"/>
      <c r="X35" s="617"/>
      <c r="Y35" s="637"/>
      <c r="Z35" s="617"/>
      <c r="AA35" s="617"/>
      <c r="AB35" s="617"/>
      <c r="AC35" s="617"/>
    </row>
    <row r="36" spans="1:29" ht="15.75" thickBot="1">
      <c r="A36" s="374" t="s">
        <v>2312</v>
      </c>
      <c r="B36" s="375"/>
      <c r="C36" s="1129" t="e">
        <f>R37</f>
        <v>#DIV/0!</v>
      </c>
      <c r="D36" s="1766" t="s">
        <v>2685</v>
      </c>
      <c r="E36" s="1130" t="e">
        <f>R36</f>
        <v>#DIV/0!</v>
      </c>
      <c r="F36" s="1768"/>
      <c r="G36" s="1129" t="e">
        <f>T36</f>
        <v>#DIV/0!</v>
      </c>
      <c r="H36" s="1768"/>
      <c r="I36" s="1130" t="e">
        <f>V36</f>
        <v>#DIV/0!</v>
      </c>
      <c r="J36" s="1768"/>
      <c r="K36" s="2480">
        <f>F36+H36+J36</f>
        <v>0</v>
      </c>
      <c r="L36" s="3006"/>
      <c r="N36" s="2995"/>
      <c r="P36" s="3635" t="str">
        <f>A36</f>
        <v>比较价值（元/平方米）</v>
      </c>
      <c r="Q36" s="3635"/>
      <c r="R36" s="3636" t="e">
        <f>IF(E1="售价",ROUND(PRODUCT(R35,AA7:AA34),0),ROUND(PRODUCT(R35,AA7:AA34),1))</f>
        <v>#DIV/0!</v>
      </c>
      <c r="S36" s="3636"/>
      <c r="T36" s="3636" t="e">
        <f>IF(E1="售价",ROUND(PRODUCT(T35,AB7:AB34),0),ROUND(PRODUCT(T35,AB7:AB34),1))</f>
        <v>#DIV/0!</v>
      </c>
      <c r="U36" s="3636"/>
      <c r="V36" s="3636" t="e">
        <f>IF(E1="售价",ROUND(PRODUCT(V35,AC7:AC34),0),ROUND(PRODUCT(V35,AC7:AC34),1))</f>
        <v>#DIV/0!</v>
      </c>
      <c r="W36" s="3636"/>
      <c r="X36" s="617"/>
      <c r="Y36" s="617"/>
      <c r="Z36" s="617"/>
      <c r="AA36" s="617"/>
      <c r="AB36" s="617"/>
      <c r="AC36" s="617"/>
    </row>
    <row r="37" spans="1:29" ht="15.75" thickBot="1">
      <c r="A37" s="378" t="s">
        <v>2335</v>
      </c>
      <c r="B37" s="379"/>
      <c r="C37" s="1131" t="e">
        <f>R37</f>
        <v>#DIV/0!</v>
      </c>
      <c r="D37" s="1131"/>
      <c r="E37" s="1131"/>
      <c r="F37" s="1131"/>
      <c r="G37" s="1131"/>
      <c r="H37" s="1131"/>
      <c r="I37" s="1131"/>
      <c r="J37" s="1131"/>
      <c r="K37" s="640"/>
      <c r="L37" s="3006"/>
      <c r="P37" s="3637" t="str">
        <f>A37</f>
        <v>估价对象XX用房的比较价值（楼面单价，元/平方米）</v>
      </c>
      <c r="Q37" s="3638"/>
      <c r="R37" s="3639" t="e">
        <f>IF(E1="售价",ROUND(IF(D36="简单平均",AVERAGE(R36:W36),R36*F36+T36*H36+V36*J36),0),ROUND(IF(D36="简单平均",AVERAGE(R36:V36),R36*F36+T36*H36+V36*J36),1))</f>
        <v>#DIV/0!</v>
      </c>
      <c r="S37" s="3639"/>
      <c r="T37" s="3639"/>
      <c r="U37" s="3639"/>
      <c r="V37" s="3639"/>
      <c r="W37" s="3639"/>
      <c r="X37" s="617"/>
      <c r="Y37" s="617"/>
      <c r="Z37" s="617"/>
      <c r="AA37" s="617"/>
      <c r="AB37" s="617"/>
      <c r="AC37" s="617"/>
    </row>
    <row r="38" spans="1:29">
      <c r="G38" s="3009"/>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19" t="s">
        <v>2317</v>
      </c>
      <c r="B45" s="617"/>
      <c r="C45" s="620"/>
      <c r="D45" s="620"/>
      <c r="E45" s="620"/>
      <c r="F45" s="621"/>
      <c r="G45" s="621"/>
      <c r="H45" s="620"/>
      <c r="I45" s="620"/>
      <c r="J45" s="620"/>
      <c r="K45" s="622"/>
      <c r="L45" s="623"/>
      <c r="M45" s="620"/>
      <c r="N45" s="3012"/>
      <c r="O45" s="3012"/>
      <c r="P45" s="389"/>
      <c r="Q45" s="390"/>
    </row>
    <row r="46" spans="1:29" s="394" customFormat="1" ht="15">
      <c r="A46" s="391" t="s">
        <v>2199</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2382</v>
      </c>
      <c r="B1" s="1921"/>
      <c r="C1" s="1922" t="s">
        <v>2383</v>
      </c>
      <c r="D1" s="1921"/>
      <c r="E1" s="1921"/>
      <c r="F1" s="1923" t="s">
        <v>2184</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2384</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2385</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2186</v>
      </c>
      <c r="B4" s="1633"/>
      <c r="C4" s="3617" t="s">
        <v>2187</v>
      </c>
      <c r="D4" s="3618"/>
      <c r="E4" s="3619" t="s">
        <v>2188</v>
      </c>
      <c r="F4" s="3620"/>
      <c r="G4" s="3617" t="s">
        <v>2189</v>
      </c>
      <c r="H4" s="3618"/>
      <c r="I4" s="3617" t="s">
        <v>2190</v>
      </c>
      <c r="J4" s="3618"/>
      <c r="K4" s="1935" t="s">
        <v>2191</v>
      </c>
      <c r="L4" s="2966"/>
      <c r="M4" s="2967"/>
      <c r="N4" s="2967"/>
      <c r="O4" s="2967"/>
      <c r="P4" s="3621" t="s">
        <v>2192</v>
      </c>
      <c r="Q4" s="3622"/>
      <c r="R4" s="3606" t="s">
        <v>2188</v>
      </c>
      <c r="S4" s="3607"/>
      <c r="T4" s="3606" t="s">
        <v>2189</v>
      </c>
      <c r="U4" s="3607"/>
      <c r="V4" s="3627" t="s">
        <v>2190</v>
      </c>
      <c r="W4" s="3627"/>
      <c r="X4" s="1635"/>
      <c r="Y4" s="3606" t="s">
        <v>2192</v>
      </c>
      <c r="Z4" s="3607"/>
      <c r="AA4" s="3614" t="s">
        <v>2188</v>
      </c>
      <c r="AB4" s="3615" t="s">
        <v>2189</v>
      </c>
      <c r="AC4" s="3614" t="s">
        <v>2190</v>
      </c>
    </row>
    <row r="5" spans="1:30" ht="15">
      <c r="A5" s="1637"/>
      <c r="B5" s="1638"/>
      <c r="C5" s="3602" t="s">
        <v>2193</v>
      </c>
      <c r="D5" s="3603"/>
      <c r="E5" s="3628" t="s">
        <v>2194</v>
      </c>
      <c r="F5" s="3629"/>
      <c r="G5" s="3602" t="s">
        <v>2195</v>
      </c>
      <c r="H5" s="3603"/>
      <c r="I5" s="3602" t="s">
        <v>2196</v>
      </c>
      <c r="J5" s="3603"/>
      <c r="K5" s="1935"/>
      <c r="L5" s="2966"/>
      <c r="M5" s="2967"/>
      <c r="N5" s="2967"/>
      <c r="O5" s="2967"/>
      <c r="P5" s="3623"/>
      <c r="Q5" s="3624"/>
      <c r="R5" s="3608"/>
      <c r="S5" s="3609"/>
      <c r="T5" s="3608"/>
      <c r="U5" s="3609"/>
      <c r="V5" s="3627"/>
      <c r="W5" s="3627"/>
      <c r="X5" s="1635"/>
      <c r="Y5" s="3608"/>
      <c r="Z5" s="3609"/>
      <c r="AA5" s="3615"/>
      <c r="AB5" s="3615"/>
      <c r="AC5" s="3615"/>
    </row>
    <row r="6" spans="1:30" ht="15.75" thickBot="1">
      <c r="A6" s="1640"/>
      <c r="B6" s="1641"/>
      <c r="C6" s="3600" t="s">
        <v>2197</v>
      </c>
      <c r="D6" s="3601"/>
      <c r="E6" s="3630" t="s">
        <v>2197</v>
      </c>
      <c r="F6" s="3631"/>
      <c r="G6" s="3600" t="s">
        <v>2197</v>
      </c>
      <c r="H6" s="3601"/>
      <c r="I6" s="3600" t="s">
        <v>2197</v>
      </c>
      <c r="J6" s="3601"/>
      <c r="K6" s="1935" t="s">
        <v>2198</v>
      </c>
      <c r="L6" s="2966"/>
      <c r="M6" s="2967"/>
      <c r="N6" s="2967"/>
      <c r="O6" s="2967"/>
      <c r="P6" s="3625"/>
      <c r="Q6" s="3626"/>
      <c r="R6" s="3608"/>
      <c r="S6" s="3609"/>
      <c r="T6" s="3610"/>
      <c r="U6" s="3611"/>
      <c r="V6" s="3627"/>
      <c r="W6" s="3627"/>
      <c r="X6" s="1635"/>
      <c r="Y6" s="3610"/>
      <c r="Z6" s="3611"/>
      <c r="AA6" s="3616"/>
      <c r="AB6" s="3616"/>
      <c r="AC6" s="3616"/>
    </row>
    <row r="7" spans="1:30" s="1654" customFormat="1" ht="15.75" thickBot="1">
      <c r="A7" s="1642" t="s">
        <v>2199</v>
      </c>
      <c r="B7" s="1643"/>
      <c r="C7" s="1644">
        <f>'数据-取费表'!B2</f>
        <v>44644</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04" t="s">
        <v>2200</v>
      </c>
      <c r="Q7" s="3612"/>
      <c r="R7" s="1650" t="s">
        <v>25</v>
      </c>
      <c r="S7" s="1651">
        <f t="shared" ref="S7:S15" si="0">F7</f>
        <v>0</v>
      </c>
      <c r="T7" s="1650" t="s">
        <v>25</v>
      </c>
      <c r="U7" s="1651">
        <f t="shared" ref="U7:U15" si="1">H7</f>
        <v>0</v>
      </c>
      <c r="V7" s="1650" t="s">
        <v>25</v>
      </c>
      <c r="W7" s="1651">
        <f t="shared" ref="W7:W15" si="2">J7</f>
        <v>0</v>
      </c>
      <c r="X7" s="1652"/>
      <c r="Y7" s="3604" t="s">
        <v>2200</v>
      </c>
      <c r="Z7" s="3605"/>
      <c r="AA7" s="1653" t="e">
        <f>D7/F7</f>
        <v>#DIV/0!</v>
      </c>
      <c r="AB7" s="1653" t="e">
        <f>D7/H7</f>
        <v>#DIV/0!</v>
      </c>
      <c r="AC7" s="1653" t="e">
        <f>D7/J7</f>
        <v>#DIV/0!</v>
      </c>
    </row>
    <row r="8" spans="1:30" s="1654" customFormat="1" ht="15.75" thickBot="1">
      <c r="A8" s="1642" t="s">
        <v>2201</v>
      </c>
      <c r="B8" s="1643"/>
      <c r="C8" s="1655" t="s">
        <v>2386</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04" t="s">
        <v>2203</v>
      </c>
      <c r="Q8" s="3605"/>
      <c r="R8" s="1650" t="s">
        <v>25</v>
      </c>
      <c r="S8" s="1651">
        <f t="shared" si="0"/>
        <v>0</v>
      </c>
      <c r="T8" s="1650" t="s">
        <v>25</v>
      </c>
      <c r="U8" s="1651">
        <f t="shared" si="1"/>
        <v>0</v>
      </c>
      <c r="V8" s="1650" t="s">
        <v>25</v>
      </c>
      <c r="W8" s="1651">
        <f t="shared" si="2"/>
        <v>0</v>
      </c>
      <c r="X8" s="1652"/>
      <c r="Y8" s="3604" t="s">
        <v>2203</v>
      </c>
      <c r="Z8" s="3605"/>
      <c r="AA8" s="1653" t="e">
        <f t="shared" ref="AA8:AA45" si="3">D8/F8</f>
        <v>#DIV/0!</v>
      </c>
      <c r="AB8" s="1653" t="e">
        <f t="shared" ref="AB8:AB45" si="4">D8/H8</f>
        <v>#DIV/0!</v>
      </c>
      <c r="AC8" s="1653" t="e">
        <f t="shared" ref="AC8:AC45" si="5">D8/J8</f>
        <v>#DIV/0!</v>
      </c>
    </row>
    <row r="9" spans="1:30" s="1654" customFormat="1">
      <c r="A9" s="1605" t="s">
        <v>2204</v>
      </c>
      <c r="B9" s="1657" t="s">
        <v>2205</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590" t="s">
        <v>2206</v>
      </c>
      <c r="Q9" s="1604" t="str">
        <f t="shared" ref="Q9:Q15" si="6">B9</f>
        <v>用途</v>
      </c>
      <c r="R9" s="1650" t="s">
        <v>25</v>
      </c>
      <c r="S9" s="1651">
        <f t="shared" si="0"/>
        <v>100</v>
      </c>
      <c r="T9" s="1650" t="s">
        <v>25</v>
      </c>
      <c r="U9" s="1651">
        <f t="shared" si="1"/>
        <v>100</v>
      </c>
      <c r="V9" s="1650" t="s">
        <v>25</v>
      </c>
      <c r="W9" s="1651">
        <f t="shared" si="2"/>
        <v>100</v>
      </c>
      <c r="X9" s="1652"/>
      <c r="Y9" s="3450" t="s">
        <v>2207</v>
      </c>
      <c r="Z9" s="1663" t="str">
        <f t="shared" ref="Z9:Z15" si="7">Q9</f>
        <v>用途</v>
      </c>
      <c r="AA9" s="1653">
        <f t="shared" si="3"/>
        <v>1</v>
      </c>
      <c r="AB9" s="1653">
        <f t="shared" si="4"/>
        <v>1</v>
      </c>
      <c r="AC9" s="1653">
        <f t="shared" si="5"/>
        <v>1</v>
      </c>
    </row>
    <row r="10" spans="1:30" s="1671" customFormat="1" ht="27">
      <c r="A10" s="1664"/>
      <c r="B10" s="1665" t="s">
        <v>2208</v>
      </c>
      <c r="C10" s="1677"/>
      <c r="D10" s="1667">
        <v>100</v>
      </c>
      <c r="E10" s="1729"/>
      <c r="F10" s="1667">
        <f>ROUND(100/'数据-取费表'!B14,0)</f>
        <v>108</v>
      </c>
      <c r="G10" s="1727"/>
      <c r="H10" s="1667">
        <f>ROUND(100/'数据-取费表'!B14,0)</f>
        <v>108</v>
      </c>
      <c r="I10" s="1727"/>
      <c r="J10" s="1667">
        <f>ROUND(100/'数据-取费表'!B14,0)</f>
        <v>108</v>
      </c>
      <c r="K10" s="1939"/>
      <c r="L10" s="2968"/>
      <c r="M10" s="2969"/>
      <c r="N10" s="2969"/>
      <c r="O10" s="3014"/>
      <c r="P10" s="3590"/>
      <c r="Q10" s="1604" t="str">
        <f t="shared" si="6"/>
        <v>土地使用年限（年）</v>
      </c>
      <c r="R10" s="1650" t="s">
        <v>25</v>
      </c>
      <c r="S10" s="1651">
        <f t="shared" si="0"/>
        <v>108</v>
      </c>
      <c r="T10" s="1650" t="s">
        <v>25</v>
      </c>
      <c r="U10" s="1651">
        <f t="shared" si="1"/>
        <v>108</v>
      </c>
      <c r="V10" s="1650" t="s">
        <v>25</v>
      </c>
      <c r="W10" s="1651">
        <f t="shared" si="2"/>
        <v>108</v>
      </c>
      <c r="X10" s="1652"/>
      <c r="Y10" s="3450"/>
      <c r="Z10" s="1663" t="str">
        <f t="shared" si="7"/>
        <v>土地使用年限（年）</v>
      </c>
      <c r="AA10" s="1653">
        <f t="shared" si="3"/>
        <v>0.92592592592592593</v>
      </c>
      <c r="AB10" s="1653">
        <f t="shared" si="4"/>
        <v>0.92592592592592593</v>
      </c>
      <c r="AC10" s="1653">
        <f t="shared" si="5"/>
        <v>0.92592592592592593</v>
      </c>
    </row>
    <row r="11" spans="1:30" ht="15">
      <c r="A11" s="1672"/>
      <c r="B11" s="1665" t="s">
        <v>2209</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590"/>
      <c r="Q11" s="1604" t="str">
        <f t="shared" si="6"/>
        <v>容积率</v>
      </c>
      <c r="R11" s="1650" t="s">
        <v>25</v>
      </c>
      <c r="S11" s="1651" t="e">
        <f t="shared" si="0"/>
        <v>#N/A</v>
      </c>
      <c r="T11" s="1650" t="s">
        <v>25</v>
      </c>
      <c r="U11" s="1651" t="e">
        <f t="shared" si="1"/>
        <v>#N/A</v>
      </c>
      <c r="V11" s="1650" t="s">
        <v>25</v>
      </c>
      <c r="W11" s="1651" t="e">
        <f t="shared" si="2"/>
        <v>#N/A</v>
      </c>
      <c r="X11" s="1652"/>
      <c r="Y11" s="3450"/>
      <c r="Z11" s="1663" t="str">
        <f t="shared" si="7"/>
        <v>容积率</v>
      </c>
      <c r="AA11" s="1653" t="e">
        <f t="shared" si="3"/>
        <v>#N/A</v>
      </c>
      <c r="AB11" s="1653" t="e">
        <f t="shared" si="4"/>
        <v>#N/A</v>
      </c>
      <c r="AC11" s="1653" t="e">
        <f t="shared" si="5"/>
        <v>#N/A</v>
      </c>
    </row>
    <row r="12" spans="1:30" s="1654" customFormat="1" ht="15">
      <c r="A12" s="1675"/>
      <c r="B12" s="1676" t="s">
        <v>2387</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590"/>
      <c r="Q12" s="1604" t="str">
        <f t="shared" si="6"/>
        <v>配建</v>
      </c>
      <c r="R12" s="1650" t="s">
        <v>25</v>
      </c>
      <c r="S12" s="1651">
        <f t="shared" si="0"/>
        <v>100</v>
      </c>
      <c r="T12" s="1650" t="s">
        <v>25</v>
      </c>
      <c r="U12" s="1651">
        <f t="shared" si="1"/>
        <v>100</v>
      </c>
      <c r="V12" s="1650" t="s">
        <v>25</v>
      </c>
      <c r="W12" s="1651">
        <f t="shared" si="2"/>
        <v>100</v>
      </c>
      <c r="X12" s="1652"/>
      <c r="Y12" s="3450"/>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590"/>
      <c r="Q13" s="1604">
        <f t="shared" si="6"/>
        <v>111</v>
      </c>
      <c r="R13" s="1650" t="s">
        <v>25</v>
      </c>
      <c r="S13" s="1651">
        <f t="shared" si="0"/>
        <v>100</v>
      </c>
      <c r="T13" s="1650" t="s">
        <v>25</v>
      </c>
      <c r="U13" s="1651">
        <f t="shared" si="1"/>
        <v>100</v>
      </c>
      <c r="V13" s="1650" t="s">
        <v>25</v>
      </c>
      <c r="W13" s="1651">
        <f t="shared" si="2"/>
        <v>100</v>
      </c>
      <c r="X13" s="1652"/>
      <c r="Y13" s="3450"/>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590"/>
      <c r="Q14" s="1604">
        <f t="shared" si="6"/>
        <v>111</v>
      </c>
      <c r="R14" s="1650" t="s">
        <v>25</v>
      </c>
      <c r="S14" s="1651">
        <f t="shared" si="0"/>
        <v>100</v>
      </c>
      <c r="T14" s="1650" t="s">
        <v>25</v>
      </c>
      <c r="U14" s="1651">
        <f t="shared" si="1"/>
        <v>100</v>
      </c>
      <c r="V14" s="1650" t="s">
        <v>25</v>
      </c>
      <c r="W14" s="1651">
        <f t="shared" si="2"/>
        <v>100</v>
      </c>
      <c r="X14" s="1652"/>
      <c r="Y14" s="3450"/>
      <c r="Z14" s="1663">
        <f t="shared" si="7"/>
        <v>111</v>
      </c>
      <c r="AA14" s="1653">
        <f>D14/F14</f>
        <v>1</v>
      </c>
      <c r="AB14" s="1653">
        <f>D14/H14</f>
        <v>1</v>
      </c>
      <c r="AC14" s="1653">
        <f>D14/J14</f>
        <v>1</v>
      </c>
    </row>
    <row r="15" spans="1:30" ht="99.75">
      <c r="A15" s="1632" t="s">
        <v>2210</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593" t="s">
        <v>2211</v>
      </c>
      <c r="Q15" s="1585" t="str">
        <f t="shared" si="6"/>
        <v>居住社区成熟度</v>
      </c>
      <c r="R15" s="1695" t="s">
        <v>25</v>
      </c>
      <c r="S15" s="1696">
        <f t="shared" si="0"/>
        <v>100</v>
      </c>
      <c r="T15" s="1695" t="s">
        <v>25</v>
      </c>
      <c r="U15" s="1696">
        <f t="shared" si="1"/>
        <v>100</v>
      </c>
      <c r="V15" s="1695" t="s">
        <v>25</v>
      </c>
      <c r="W15" s="1696">
        <f t="shared" si="2"/>
        <v>100</v>
      </c>
      <c r="X15" s="1635"/>
      <c r="Y15" s="3593" t="s">
        <v>2211</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594"/>
      <c r="Q16" s="1585"/>
      <c r="R16" s="1695"/>
      <c r="S16" s="1696"/>
      <c r="T16" s="1695"/>
      <c r="U16" s="1696"/>
      <c r="V16" s="1695"/>
      <c r="W16" s="1696"/>
      <c r="X16" s="1635"/>
      <c r="Y16" s="3594"/>
      <c r="Z16" s="1697"/>
      <c r="AA16" s="1698">
        <v>1</v>
      </c>
      <c r="AB16" s="1698">
        <v>1</v>
      </c>
      <c r="AC16" s="1698">
        <v>1</v>
      </c>
    </row>
    <row r="17" spans="1:29" ht="71.25">
      <c r="A17" s="1637"/>
      <c r="B17" s="1946" t="s">
        <v>2296</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594"/>
      <c r="Q17" s="1585" t="str">
        <f>B17</f>
        <v>商业繁华度</v>
      </c>
      <c r="R17" s="1695" t="s">
        <v>25</v>
      </c>
      <c r="S17" s="1696">
        <f>F17</f>
        <v>100</v>
      </c>
      <c r="T17" s="1695" t="s">
        <v>25</v>
      </c>
      <c r="U17" s="1696">
        <f>H17</f>
        <v>100</v>
      </c>
      <c r="V17" s="1695" t="s">
        <v>25</v>
      </c>
      <c r="W17" s="1696">
        <f>J17</f>
        <v>100</v>
      </c>
      <c r="X17" s="1635"/>
      <c r="Y17" s="3594"/>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594"/>
      <c r="Q18" s="1585"/>
      <c r="R18" s="1695"/>
      <c r="S18" s="1696"/>
      <c r="T18" s="1695"/>
      <c r="U18" s="1696"/>
      <c r="V18" s="1695"/>
      <c r="W18" s="1696"/>
      <c r="X18" s="1635"/>
      <c r="Y18" s="3594"/>
      <c r="Z18" s="1697"/>
      <c r="AA18" s="1698">
        <v>1</v>
      </c>
      <c r="AB18" s="1698">
        <v>1</v>
      </c>
      <c r="AC18" s="1698">
        <v>1</v>
      </c>
    </row>
    <row r="19" spans="1:29" ht="71.25">
      <c r="A19" s="1637"/>
      <c r="B19" s="1946" t="s">
        <v>2325</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594"/>
      <c r="Q19" s="1585" t="str">
        <f>B19</f>
        <v>办公集聚程度</v>
      </c>
      <c r="R19" s="1695" t="s">
        <v>25</v>
      </c>
      <c r="S19" s="1696">
        <f>F19</f>
        <v>100</v>
      </c>
      <c r="T19" s="1695" t="s">
        <v>25</v>
      </c>
      <c r="U19" s="1696">
        <f>H19</f>
        <v>100</v>
      </c>
      <c r="V19" s="1695" t="s">
        <v>25</v>
      </c>
      <c r="W19" s="1696">
        <f>J19</f>
        <v>100</v>
      </c>
      <c r="X19" s="1635"/>
      <c r="Y19" s="3594"/>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594"/>
      <c r="Q20" s="1585"/>
      <c r="R20" s="1695"/>
      <c r="S20" s="1696"/>
      <c r="T20" s="1695"/>
      <c r="U20" s="1696"/>
      <c r="V20" s="1695"/>
      <c r="W20" s="1696"/>
      <c r="X20" s="1635"/>
      <c r="Y20" s="3594"/>
      <c r="Z20" s="1697"/>
      <c r="AA20" s="1698">
        <v>1</v>
      </c>
      <c r="AB20" s="1698">
        <v>1</v>
      </c>
      <c r="AC20" s="1698">
        <v>1</v>
      </c>
    </row>
    <row r="21" spans="1:29" ht="85.5">
      <c r="A21" s="1637"/>
      <c r="B21" s="1946" t="s">
        <v>2348</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594"/>
      <c r="Q21" s="1585" t="str">
        <f>B21</f>
        <v>交通便捷度</v>
      </c>
      <c r="R21" s="1695" t="s">
        <v>25</v>
      </c>
      <c r="S21" s="1696">
        <f>F21</f>
        <v>100</v>
      </c>
      <c r="T21" s="1695" t="s">
        <v>25</v>
      </c>
      <c r="U21" s="1696">
        <f>H21</f>
        <v>100</v>
      </c>
      <c r="V21" s="1695" t="s">
        <v>25</v>
      </c>
      <c r="W21" s="1696">
        <f>J21</f>
        <v>100</v>
      </c>
      <c r="X21" s="1635"/>
      <c r="Y21" s="3594"/>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594"/>
      <c r="Q22" s="1585"/>
      <c r="R22" s="1695"/>
      <c r="S22" s="1696"/>
      <c r="T22" s="1695"/>
      <c r="U22" s="1696"/>
      <c r="V22" s="1695"/>
      <c r="W22" s="1696"/>
      <c r="X22" s="1635"/>
      <c r="Y22" s="3594"/>
      <c r="Z22" s="1697"/>
      <c r="AA22" s="1698">
        <v>1</v>
      </c>
      <c r="AB22" s="1698">
        <v>1</v>
      </c>
      <c r="AC22" s="1698">
        <v>1</v>
      </c>
    </row>
    <row r="23" spans="1:29" ht="15">
      <c r="A23" s="1637"/>
      <c r="B23" s="1427" t="s">
        <v>2388</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594"/>
      <c r="Q23" s="1585" t="str">
        <f t="shared" ref="Q23:Q37" si="8">B23</f>
        <v>区域土地利用方向</v>
      </c>
      <c r="R23" s="1695" t="s">
        <v>25</v>
      </c>
      <c r="S23" s="1696">
        <f>F23</f>
        <v>100</v>
      </c>
      <c r="T23" s="1695" t="s">
        <v>25</v>
      </c>
      <c r="U23" s="1696">
        <f>H23</f>
        <v>100</v>
      </c>
      <c r="V23" s="1695" t="s">
        <v>25</v>
      </c>
      <c r="W23" s="1696">
        <f>J23</f>
        <v>100</v>
      </c>
      <c r="X23" s="1635"/>
      <c r="Y23" s="3594"/>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594"/>
      <c r="Q24" s="1585"/>
      <c r="R24" s="1695"/>
      <c r="S24" s="1696"/>
      <c r="T24" s="1695"/>
      <c r="U24" s="1696"/>
      <c r="V24" s="1695"/>
      <c r="W24" s="1696"/>
      <c r="X24" s="1635"/>
      <c r="Y24" s="3594"/>
      <c r="Z24" s="1697"/>
      <c r="AA24" s="1698"/>
      <c r="AB24" s="1698"/>
      <c r="AC24" s="1698"/>
    </row>
    <row r="25" spans="1:29" ht="57">
      <c r="A25" s="1637"/>
      <c r="B25" s="1951" t="s">
        <v>2389</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594"/>
      <c r="Q25" s="1585" t="str">
        <f t="shared" si="8"/>
        <v>自然及人文环境状况</v>
      </c>
      <c r="R25" s="1695" t="s">
        <v>25</v>
      </c>
      <c r="S25" s="1696">
        <f>F25</f>
        <v>100</v>
      </c>
      <c r="T25" s="1695" t="s">
        <v>25</v>
      </c>
      <c r="U25" s="1696">
        <f>H25</f>
        <v>100</v>
      </c>
      <c r="V25" s="1695" t="s">
        <v>25</v>
      </c>
      <c r="W25" s="1696">
        <f>J25</f>
        <v>100</v>
      </c>
      <c r="X25" s="1635"/>
      <c r="Y25" s="3594"/>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594"/>
      <c r="Q26" s="1585"/>
      <c r="R26" s="1695"/>
      <c r="S26" s="1696"/>
      <c r="T26" s="1695"/>
      <c r="U26" s="1696"/>
      <c r="V26" s="1695"/>
      <c r="W26" s="1696"/>
      <c r="X26" s="1635"/>
      <c r="Y26" s="3594"/>
      <c r="Z26" s="1697"/>
      <c r="AA26" s="1698">
        <v>1</v>
      </c>
      <c r="AB26" s="1698">
        <v>1</v>
      </c>
      <c r="AC26" s="1698">
        <v>1</v>
      </c>
    </row>
    <row r="27" spans="1:29" ht="42.75">
      <c r="A27" s="1637"/>
      <c r="B27" s="1951" t="s">
        <v>2297</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594"/>
      <c r="Q27" s="1604" t="str">
        <f t="shared" ref="Q27" si="9">B27</f>
        <v>公共配套设施</v>
      </c>
      <c r="R27" s="1650" t="s">
        <v>25</v>
      </c>
      <c r="S27" s="1651">
        <f>F27</f>
        <v>100</v>
      </c>
      <c r="T27" s="1650" t="s">
        <v>25</v>
      </c>
      <c r="U27" s="1651">
        <f>H27</f>
        <v>100</v>
      </c>
      <c r="V27" s="1650" t="s">
        <v>25</v>
      </c>
      <c r="W27" s="1651">
        <f>J27</f>
        <v>100</v>
      </c>
      <c r="X27" s="1635"/>
      <c r="Y27" s="3594"/>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594"/>
      <c r="Q28" s="1585"/>
      <c r="R28" s="1695"/>
      <c r="S28" s="1696"/>
      <c r="T28" s="1695"/>
      <c r="U28" s="1696"/>
      <c r="V28" s="1695"/>
      <c r="W28" s="1696"/>
      <c r="X28" s="1635"/>
      <c r="Y28" s="3594"/>
      <c r="Z28" s="1663"/>
      <c r="AA28" s="1698">
        <v>1</v>
      </c>
      <c r="AB28" s="1698">
        <v>1</v>
      </c>
      <c r="AC28" s="1698">
        <v>1</v>
      </c>
    </row>
    <row r="29" spans="1:29" s="1654" customFormat="1" ht="28.5">
      <c r="A29" s="1957"/>
      <c r="B29" s="1951" t="s">
        <v>2298</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594"/>
      <c r="Q29" s="1604" t="str">
        <f t="shared" si="8"/>
        <v>基础设施水平</v>
      </c>
      <c r="R29" s="1650" t="s">
        <v>25</v>
      </c>
      <c r="S29" s="1651">
        <f>F29</f>
        <v>100</v>
      </c>
      <c r="T29" s="1650" t="s">
        <v>25</v>
      </c>
      <c r="U29" s="1651">
        <f>H29</f>
        <v>100</v>
      </c>
      <c r="V29" s="1650" t="s">
        <v>25</v>
      </c>
      <c r="W29" s="1651">
        <f>J29</f>
        <v>100</v>
      </c>
      <c r="X29" s="1652"/>
      <c r="Y29" s="3594"/>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594"/>
      <c r="Q30" s="1604"/>
      <c r="R30" s="1650"/>
      <c r="S30" s="1651"/>
      <c r="T30" s="1650"/>
      <c r="U30" s="1651"/>
      <c r="V30" s="1650"/>
      <c r="W30" s="1651"/>
      <c r="X30" s="1652"/>
      <c r="Y30" s="3594"/>
      <c r="Z30" s="1663"/>
      <c r="AA30" s="1698">
        <v>1</v>
      </c>
      <c r="AB30" s="1698">
        <v>1</v>
      </c>
      <c r="AC30" s="1698">
        <v>1</v>
      </c>
    </row>
    <row r="31" spans="1:29" ht="15">
      <c r="A31" s="1637"/>
      <c r="B31" s="1948" t="s">
        <v>2299</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594"/>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94"/>
      <c r="Z31" s="1697" t="str">
        <f t="shared" ref="Z31:Z45" si="13">Q31</f>
        <v>临街状况</v>
      </c>
      <c r="AA31" s="1698">
        <f t="shared" si="3"/>
        <v>1</v>
      </c>
      <c r="AB31" s="1698">
        <f t="shared" si="4"/>
        <v>1</v>
      </c>
      <c r="AC31" s="1698">
        <f t="shared" si="5"/>
        <v>1</v>
      </c>
    </row>
    <row r="32" spans="1:29" ht="27">
      <c r="A32" s="1637"/>
      <c r="B32" s="1951" t="s">
        <v>2329</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594"/>
      <c r="Q32" s="1585" t="str">
        <f t="shared" si="8"/>
        <v>毗邻道路的类型与等级</v>
      </c>
      <c r="R32" s="1695" t="s">
        <v>25</v>
      </c>
      <c r="S32" s="1696">
        <f t="shared" si="10"/>
        <v>100</v>
      </c>
      <c r="T32" s="1695" t="s">
        <v>25</v>
      </c>
      <c r="U32" s="1696">
        <f t="shared" si="11"/>
        <v>100</v>
      </c>
      <c r="V32" s="1695" t="s">
        <v>25</v>
      </c>
      <c r="W32" s="1696">
        <f t="shared" si="12"/>
        <v>100</v>
      </c>
      <c r="X32" s="1635"/>
      <c r="Y32" s="3594"/>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594"/>
      <c r="Q33" s="1585"/>
      <c r="R33" s="1695"/>
      <c r="S33" s="1696"/>
      <c r="T33" s="1695"/>
      <c r="U33" s="1696"/>
      <c r="V33" s="1695"/>
      <c r="W33" s="1696"/>
      <c r="X33" s="1635"/>
      <c r="Y33" s="3594"/>
      <c r="Z33" s="1697"/>
      <c r="AA33" s="1698">
        <v>1</v>
      </c>
      <c r="AB33" s="1698">
        <v>1</v>
      </c>
      <c r="AC33" s="1698">
        <v>1</v>
      </c>
    </row>
    <row r="34" spans="1:29" ht="15">
      <c r="A34" s="1637"/>
      <c r="B34" s="1960" t="s">
        <v>2390</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594"/>
      <c r="Q34" s="1585" t="str">
        <f t="shared" si="8"/>
        <v>土地级别</v>
      </c>
      <c r="R34" s="1695" t="s">
        <v>25</v>
      </c>
      <c r="S34" s="1696">
        <f t="shared" si="10"/>
        <v>100</v>
      </c>
      <c r="T34" s="1695" t="s">
        <v>25</v>
      </c>
      <c r="U34" s="1696">
        <f t="shared" si="11"/>
        <v>100</v>
      </c>
      <c r="V34" s="1695" t="s">
        <v>25</v>
      </c>
      <c r="W34" s="1696">
        <f t="shared" si="12"/>
        <v>100</v>
      </c>
      <c r="X34" s="1635"/>
      <c r="Y34" s="3594"/>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594"/>
      <c r="Q35" s="1585">
        <f t="shared" si="8"/>
        <v>111</v>
      </c>
      <c r="R35" s="1695" t="s">
        <v>25</v>
      </c>
      <c r="S35" s="1696">
        <f t="shared" si="10"/>
        <v>100</v>
      </c>
      <c r="T35" s="1695" t="s">
        <v>25</v>
      </c>
      <c r="U35" s="1696">
        <f t="shared" si="11"/>
        <v>100</v>
      </c>
      <c r="V35" s="1695" t="s">
        <v>25</v>
      </c>
      <c r="W35" s="1696">
        <f t="shared" si="12"/>
        <v>100</v>
      </c>
      <c r="X35" s="1635"/>
      <c r="Y35" s="3594"/>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32" t="s">
        <v>2217</v>
      </c>
      <c r="Q36" s="1585">
        <f t="shared" si="8"/>
        <v>111</v>
      </c>
      <c r="R36" s="1695" t="s">
        <v>25</v>
      </c>
      <c r="S36" s="1696">
        <f t="shared" si="10"/>
        <v>100</v>
      </c>
      <c r="T36" s="1695" t="s">
        <v>25</v>
      </c>
      <c r="U36" s="1696">
        <f t="shared" si="11"/>
        <v>100</v>
      </c>
      <c r="V36" s="1695" t="s">
        <v>25</v>
      </c>
      <c r="W36" s="1696">
        <f t="shared" si="12"/>
        <v>100</v>
      </c>
      <c r="X36" s="1635"/>
      <c r="Y36" s="3598" t="s">
        <v>2217</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598"/>
      <c r="Q37" s="1585">
        <f t="shared" si="8"/>
        <v>111</v>
      </c>
      <c r="R37" s="1737" t="s">
        <v>25</v>
      </c>
      <c r="S37" s="1738">
        <f t="shared" si="10"/>
        <v>100</v>
      </c>
      <c r="T37" s="1737" t="s">
        <v>25</v>
      </c>
      <c r="U37" s="1738">
        <f t="shared" si="11"/>
        <v>100</v>
      </c>
      <c r="V37" s="1737" t="s">
        <v>25</v>
      </c>
      <c r="W37" s="1738">
        <f t="shared" si="12"/>
        <v>100</v>
      </c>
      <c r="X37" s="1739"/>
      <c r="Y37" s="3598"/>
      <c r="Z37" s="1740">
        <f t="shared" si="13"/>
        <v>111</v>
      </c>
      <c r="AA37" s="1698">
        <f t="shared" si="3"/>
        <v>1</v>
      </c>
      <c r="AB37" s="1698">
        <f t="shared" si="4"/>
        <v>1</v>
      </c>
      <c r="AC37" s="1698">
        <f t="shared" si="5"/>
        <v>1</v>
      </c>
    </row>
    <row r="38" spans="1:29" ht="15">
      <c r="A38" s="1632" t="s">
        <v>2215</v>
      </c>
      <c r="B38" s="1713" t="s">
        <v>2391</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598"/>
      <c r="Q38" s="1585" t="str">
        <f>B38</f>
        <v>宗地面积</v>
      </c>
      <c r="R38" s="1695" t="s">
        <v>25</v>
      </c>
      <c r="S38" s="1696" t="e">
        <f t="shared" si="10"/>
        <v>#N/A</v>
      </c>
      <c r="T38" s="1695" t="s">
        <v>25</v>
      </c>
      <c r="U38" s="1696" t="e">
        <f t="shared" si="11"/>
        <v>#N/A</v>
      </c>
      <c r="V38" s="1695" t="s">
        <v>25</v>
      </c>
      <c r="W38" s="1696" t="e">
        <f t="shared" si="12"/>
        <v>#N/A</v>
      </c>
      <c r="X38" s="1635"/>
      <c r="Y38" s="3598"/>
      <c r="Z38" s="1697" t="str">
        <f t="shared" si="13"/>
        <v>宗地面积</v>
      </c>
      <c r="AA38" s="1698" t="e">
        <f t="shared" si="3"/>
        <v>#N/A</v>
      </c>
      <c r="AB38" s="1698" t="e">
        <f t="shared" si="4"/>
        <v>#N/A</v>
      </c>
      <c r="AC38" s="1698" t="e">
        <f t="shared" si="5"/>
        <v>#N/A</v>
      </c>
    </row>
    <row r="39" spans="1:29" ht="15">
      <c r="A39" s="1742"/>
      <c r="B39" s="1665" t="s">
        <v>2392</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598"/>
      <c r="Q39" s="1585" t="str">
        <f t="shared" ref="Q39:Q45" si="14">B39</f>
        <v>宗地形状</v>
      </c>
      <c r="R39" s="1695" t="s">
        <v>25</v>
      </c>
      <c r="S39" s="1696">
        <f t="shared" si="10"/>
        <v>100</v>
      </c>
      <c r="T39" s="1695" t="s">
        <v>25</v>
      </c>
      <c r="U39" s="1696">
        <f t="shared" si="11"/>
        <v>100</v>
      </c>
      <c r="V39" s="1695" t="s">
        <v>25</v>
      </c>
      <c r="W39" s="1696">
        <f t="shared" si="12"/>
        <v>100</v>
      </c>
      <c r="X39" s="1635"/>
      <c r="Y39" s="3598"/>
      <c r="Z39" s="1697" t="str">
        <f t="shared" si="13"/>
        <v>宗地形状</v>
      </c>
      <c r="AA39" s="1698">
        <f t="shared" si="3"/>
        <v>1</v>
      </c>
      <c r="AB39" s="1698">
        <f t="shared" si="4"/>
        <v>1</v>
      </c>
      <c r="AC39" s="1698">
        <f t="shared" si="5"/>
        <v>1</v>
      </c>
    </row>
    <row r="40" spans="1:29" ht="15">
      <c r="A40" s="1742"/>
      <c r="B40" s="1665" t="s">
        <v>2393</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598"/>
      <c r="Q40" s="1585" t="str">
        <f t="shared" si="14"/>
        <v>临街宽度及深度</v>
      </c>
      <c r="R40" s="1695" t="s">
        <v>25</v>
      </c>
      <c r="S40" s="1696">
        <f t="shared" si="10"/>
        <v>100</v>
      </c>
      <c r="T40" s="1695" t="s">
        <v>25</v>
      </c>
      <c r="U40" s="1696">
        <f t="shared" si="11"/>
        <v>100</v>
      </c>
      <c r="V40" s="1695" t="s">
        <v>25</v>
      </c>
      <c r="W40" s="1696">
        <f t="shared" si="12"/>
        <v>100</v>
      </c>
      <c r="X40" s="1635"/>
      <c r="Y40" s="3598"/>
      <c r="Z40" s="1697" t="str">
        <f t="shared" si="13"/>
        <v>临街宽度及深度</v>
      </c>
      <c r="AA40" s="1698">
        <f t="shared" si="3"/>
        <v>1</v>
      </c>
      <c r="AB40" s="1698">
        <f t="shared" si="4"/>
        <v>1</v>
      </c>
      <c r="AC40" s="1698">
        <f t="shared" si="5"/>
        <v>1</v>
      </c>
    </row>
    <row r="41" spans="1:29" s="1654" customFormat="1" ht="15">
      <c r="A41" s="1745"/>
      <c r="B41" s="1665" t="s">
        <v>2394</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598"/>
      <c r="Q41" s="1585" t="str">
        <f t="shared" si="14"/>
        <v>宗地开发程度</v>
      </c>
      <c r="R41" s="1650" t="s">
        <v>25</v>
      </c>
      <c r="S41" s="1651">
        <f t="shared" si="10"/>
        <v>100</v>
      </c>
      <c r="T41" s="1650" t="s">
        <v>25</v>
      </c>
      <c r="U41" s="1651">
        <f t="shared" si="11"/>
        <v>100</v>
      </c>
      <c r="V41" s="1650" t="s">
        <v>25</v>
      </c>
      <c r="W41" s="1651">
        <f t="shared" si="12"/>
        <v>100</v>
      </c>
      <c r="X41" s="1652"/>
      <c r="Y41" s="3598"/>
      <c r="Z41" s="1663" t="str">
        <f t="shared" si="13"/>
        <v>宗地开发程度</v>
      </c>
      <c r="AA41" s="1653">
        <f t="shared" si="3"/>
        <v>1</v>
      </c>
      <c r="AB41" s="1653">
        <f t="shared" si="4"/>
        <v>1</v>
      </c>
      <c r="AC41" s="1653">
        <f t="shared" si="5"/>
        <v>1</v>
      </c>
    </row>
    <row r="42" spans="1:29" ht="15">
      <c r="A42" s="1742"/>
      <c r="B42" s="1665" t="s">
        <v>2395</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598" t="s">
        <v>2217</v>
      </c>
      <c r="Q42" s="1585" t="str">
        <f t="shared" si="14"/>
        <v>工程地质条件</v>
      </c>
      <c r="R42" s="1695" t="s">
        <v>25</v>
      </c>
      <c r="S42" s="1696">
        <f t="shared" si="10"/>
        <v>100</v>
      </c>
      <c r="T42" s="1695" t="s">
        <v>25</v>
      </c>
      <c r="U42" s="1696">
        <f t="shared" si="11"/>
        <v>100</v>
      </c>
      <c r="V42" s="1695" t="s">
        <v>25</v>
      </c>
      <c r="W42" s="1696">
        <f t="shared" si="12"/>
        <v>100</v>
      </c>
      <c r="X42" s="1635"/>
      <c r="Y42" s="3598" t="s">
        <v>2217</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598"/>
      <c r="Q43" s="1585">
        <f t="shared" si="14"/>
        <v>111</v>
      </c>
      <c r="R43" s="1695" t="s">
        <v>25</v>
      </c>
      <c r="S43" s="1696">
        <f t="shared" si="10"/>
        <v>100</v>
      </c>
      <c r="T43" s="1695" t="s">
        <v>25</v>
      </c>
      <c r="U43" s="1696">
        <f t="shared" si="11"/>
        <v>100</v>
      </c>
      <c r="V43" s="1695" t="s">
        <v>25</v>
      </c>
      <c r="W43" s="1696">
        <f t="shared" si="12"/>
        <v>100</v>
      </c>
      <c r="X43" s="1635"/>
      <c r="Y43" s="3598"/>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598"/>
      <c r="Q44" s="1585">
        <f t="shared" si="14"/>
        <v>111</v>
      </c>
      <c r="R44" s="1695" t="s">
        <v>25</v>
      </c>
      <c r="S44" s="1696">
        <f t="shared" si="10"/>
        <v>100</v>
      </c>
      <c r="T44" s="1695" t="s">
        <v>25</v>
      </c>
      <c r="U44" s="1696">
        <f t="shared" si="11"/>
        <v>100</v>
      </c>
      <c r="V44" s="1695" t="s">
        <v>25</v>
      </c>
      <c r="W44" s="1696">
        <f t="shared" si="12"/>
        <v>100</v>
      </c>
      <c r="X44" s="1635"/>
      <c r="Y44" s="3598"/>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598"/>
      <c r="Q45" s="1585">
        <f t="shared" si="14"/>
        <v>111</v>
      </c>
      <c r="R45" s="1737" t="s">
        <v>25</v>
      </c>
      <c r="S45" s="1738">
        <f t="shared" si="10"/>
        <v>100</v>
      </c>
      <c r="T45" s="1737" t="s">
        <v>25</v>
      </c>
      <c r="U45" s="1738">
        <f t="shared" si="11"/>
        <v>100</v>
      </c>
      <c r="V45" s="1737" t="s">
        <v>25</v>
      </c>
      <c r="W45" s="1738">
        <f t="shared" si="12"/>
        <v>100</v>
      </c>
      <c r="X45" s="1739"/>
      <c r="Y45" s="3598"/>
      <c r="Z45" s="1740">
        <f t="shared" si="13"/>
        <v>111</v>
      </c>
      <c r="AA45" s="1698">
        <f t="shared" si="3"/>
        <v>1</v>
      </c>
      <c r="AB45" s="1698">
        <f t="shared" si="4"/>
        <v>1</v>
      </c>
      <c r="AC45" s="1698">
        <f t="shared" si="5"/>
        <v>1</v>
      </c>
    </row>
    <row r="46" spans="1:29" ht="15">
      <c r="A46" s="1751" t="s">
        <v>2359</v>
      </c>
      <c r="B46" s="1976" t="s">
        <v>2396</v>
      </c>
      <c r="C46" s="1977" t="s">
        <v>1</v>
      </c>
      <c r="D46" s="1978"/>
      <c r="E46" s="1979"/>
      <c r="F46" s="1980"/>
      <c r="G46" s="1981"/>
      <c r="H46" s="1982"/>
      <c r="I46" s="1979"/>
      <c r="J46" s="1982"/>
      <c r="K46" s="1983"/>
      <c r="L46" s="2972"/>
      <c r="N46" s="2967"/>
      <c r="P46" s="3590" t="str">
        <f>A46</f>
        <v>成交单价</v>
      </c>
      <c r="Q46" s="3590"/>
      <c r="R46" s="3627">
        <f>E46</f>
        <v>0</v>
      </c>
      <c r="S46" s="3627"/>
      <c r="T46" s="3627">
        <f>G46</f>
        <v>0</v>
      </c>
      <c r="U46" s="3627"/>
      <c r="V46" s="3627">
        <f>I46</f>
        <v>0</v>
      </c>
      <c r="W46" s="3627"/>
      <c r="X46" s="1761"/>
      <c r="Y46" s="1762"/>
      <c r="Z46" s="1761"/>
      <c r="AA46" s="1761"/>
      <c r="AB46" s="1761"/>
      <c r="AC46" s="1761"/>
    </row>
    <row r="47" spans="1:29" ht="15.75" thickBot="1">
      <c r="A47" s="1763" t="s">
        <v>2312</v>
      </c>
      <c r="B47" s="1984"/>
      <c r="C47" s="1985" t="e">
        <f>R48</f>
        <v>#DIV/0!</v>
      </c>
      <c r="D47" s="1766" t="s">
        <v>2685</v>
      </c>
      <c r="E47" s="1985" t="e">
        <f>R47</f>
        <v>#DIV/0!</v>
      </c>
      <c r="F47" s="1768"/>
      <c r="G47" s="1986" t="e">
        <f>T47</f>
        <v>#DIV/0!</v>
      </c>
      <c r="H47" s="1768"/>
      <c r="I47" s="1985" t="e">
        <f>V47</f>
        <v>#DIV/0!</v>
      </c>
      <c r="J47" s="1768"/>
      <c r="K47" s="2480">
        <f>F47+H47+J47</f>
        <v>0</v>
      </c>
      <c r="L47" s="2972"/>
      <c r="P47" s="3590" t="str">
        <f>A47</f>
        <v>比较价值（元/平方米）</v>
      </c>
      <c r="Q47" s="3590"/>
      <c r="R47" s="3677" t="e">
        <f>ROUND(PRODUCT(R46,AA7:AA45),0)</f>
        <v>#DIV/0!</v>
      </c>
      <c r="S47" s="3677"/>
      <c r="T47" s="3677" t="e">
        <f>ROUND(PRODUCT(T46,AB7:AB45),0)</f>
        <v>#DIV/0!</v>
      </c>
      <c r="U47" s="3677"/>
      <c r="V47" s="3677" t="e">
        <f>ROUND(PRODUCT(V46,AC7:AC45),0)</f>
        <v>#DIV/0!</v>
      </c>
      <c r="W47" s="3677"/>
      <c r="X47" s="1761"/>
      <c r="Y47" s="1761"/>
      <c r="Z47" s="1761"/>
      <c r="AA47" s="1761"/>
      <c r="AB47" s="1761"/>
      <c r="AC47" s="1761"/>
    </row>
    <row r="48" spans="1:29" ht="15.75" thickBot="1">
      <c r="A48" s="1769" t="s">
        <v>2335</v>
      </c>
      <c r="B48" s="1770"/>
      <c r="C48" s="1987" t="e">
        <f>R48</f>
        <v>#DIV/0!</v>
      </c>
      <c r="D48" s="1987"/>
      <c r="E48" s="1987"/>
      <c r="F48" s="1987"/>
      <c r="G48" s="1987"/>
      <c r="H48" s="1987"/>
      <c r="I48" s="1987"/>
      <c r="J48" s="1987"/>
      <c r="K48" s="1988"/>
      <c r="L48" s="2972"/>
      <c r="P48" s="3587" t="str">
        <f>A48</f>
        <v>估价对象XX用房的比较价值（楼面单价，元/平方米）</v>
      </c>
      <c r="Q48" s="3588"/>
      <c r="R48" s="3678" t="e">
        <f>ROUND(IF(D47="简单平均",AVERAGE(R47:W47),R47*F47+T47*H47+V47*J47),0)</f>
        <v>#DIV/0!</v>
      </c>
      <c r="S48" s="3678"/>
      <c r="T48" s="3678"/>
      <c r="U48" s="3678"/>
      <c r="V48" s="3678"/>
      <c r="W48" s="3678"/>
      <c r="X48" s="1761"/>
      <c r="Y48" s="1761"/>
      <c r="Z48" s="1761"/>
      <c r="AA48" s="1761"/>
      <c r="AB48" s="1761"/>
      <c r="AC48" s="1761"/>
    </row>
    <row r="49" spans="1:14">
      <c r="G49" s="2976"/>
    </row>
    <row r="51" spans="1:14" ht="13.5" customHeight="1">
      <c r="C51" s="383" t="s">
        <v>2314</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2315</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2316</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2397</v>
      </c>
      <c r="B55" s="1989" t="s">
        <v>2398</v>
      </c>
      <c r="C55" s="1990" t="s">
        <v>2399</v>
      </c>
      <c r="D55" s="1991" t="s">
        <v>2400</v>
      </c>
      <c r="E55" s="1992" t="s">
        <v>2401</v>
      </c>
      <c r="F55" s="1993" t="s">
        <v>2402</v>
      </c>
      <c r="G55" s="1888" t="s">
        <v>2403</v>
      </c>
      <c r="H55" s="1888" t="str">
        <f>项目基本情况!G8</f>
        <v>XX</v>
      </c>
      <c r="I55" s="1563" t="s">
        <v>2404</v>
      </c>
      <c r="J55" s="1994"/>
      <c r="K55" s="1775"/>
    </row>
    <row r="56" spans="1:14" s="2001" customFormat="1">
      <c r="A56" s="1995" t="s">
        <v>2405</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2406</v>
      </c>
      <c r="B57" s="2003" t="e">
        <f>ROUND($C$48*C57*D57,0)</f>
        <v>#DIV/0!</v>
      </c>
      <c r="C57" s="50">
        <f>IF($C$55="北京市系数",G57,H57)</f>
        <v>0.7</v>
      </c>
      <c r="D57" s="2004">
        <v>0.25</v>
      </c>
      <c r="E57" s="1998">
        <v>0</v>
      </c>
      <c r="F57" s="1999" t="e">
        <f t="shared" si="15"/>
        <v>#DIV/0!</v>
      </c>
      <c r="G57" s="2000">
        <f>SUMIF(修正!$A$45:$A$56,项目基本情况!$F$9,修正!B45:B56)</f>
        <v>0.7</v>
      </c>
      <c r="H57" s="2005"/>
      <c r="I57" s="1636"/>
      <c r="J57" s="1879"/>
      <c r="K57" s="1880"/>
      <c r="L57" s="1880"/>
      <c r="M57" s="1636"/>
      <c r="N57" s="1636"/>
    </row>
    <row r="58" spans="1:14" s="2001" customFormat="1">
      <c r="A58" s="2002" t="s">
        <v>2407</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9"/>
      <c r="L58" s="2973"/>
      <c r="M58" s="1783"/>
      <c r="N58" s="1783"/>
    </row>
    <row r="59" spans="1:14" s="2001" customFormat="1">
      <c r="A59" s="2002" t="s">
        <v>2408</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6"/>
      <c r="J59" s="1879"/>
      <c r="K59" s="1880"/>
      <c r="L59" s="1880"/>
      <c r="M59" s="1636"/>
      <c r="N59" s="1636"/>
    </row>
    <row r="60" spans="1:14" s="2001" customFormat="1">
      <c r="A60" s="2002" t="s">
        <v>2409</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9"/>
      <c r="L60" s="2973"/>
      <c r="M60" s="1783"/>
      <c r="N60" s="1783"/>
    </row>
    <row r="61" spans="1:14" s="2001" customFormat="1">
      <c r="A61" s="2002" t="s">
        <v>2410</v>
      </c>
      <c r="B61" s="2003" t="e">
        <f t="shared" si="16"/>
        <v>#DIV/0!</v>
      </c>
      <c r="C61" s="50">
        <f t="shared" si="17"/>
        <v>0.25</v>
      </c>
      <c r="D61" s="2004">
        <v>0.25</v>
      </c>
      <c r="E61" s="1998">
        <v>0</v>
      </c>
      <c r="F61" s="1999" t="e">
        <f t="shared" si="15"/>
        <v>#DIV/0!</v>
      </c>
      <c r="G61" s="2000">
        <f>SUMIF(修正!A45:A56,项目基本情况!F9,修正!F45:F56)</f>
        <v>0.25</v>
      </c>
      <c r="H61" s="2005"/>
      <c r="I61" s="1636"/>
      <c r="J61" s="1879"/>
      <c r="K61" s="1880"/>
      <c r="L61" s="1880"/>
      <c r="M61" s="1636"/>
      <c r="N61" s="1636"/>
    </row>
    <row r="62" spans="1:14" s="2001" customFormat="1">
      <c r="A62" s="2002" t="s">
        <v>2411</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9"/>
      <c r="L62" s="2973"/>
      <c r="M62" s="1783"/>
      <c r="N62" s="1783"/>
    </row>
    <row r="63" spans="1:14" s="2001" customFormat="1">
      <c r="A63" s="2002" t="s">
        <v>2412</v>
      </c>
      <c r="B63" s="2003" t="e">
        <f t="shared" si="16"/>
        <v>#DIV/0!</v>
      </c>
      <c r="C63" s="50">
        <f>IF($C$55="北京市系数",G63,H63)</f>
        <v>0.2</v>
      </c>
      <c r="D63" s="2004">
        <v>0.25</v>
      </c>
      <c r="E63" s="1998">
        <v>0</v>
      </c>
      <c r="F63" s="1999" t="e">
        <f t="shared" si="15"/>
        <v>#DIV/0!</v>
      </c>
      <c r="G63" s="2000">
        <f>SUMIF(修正!A45:A56,项目基本情况!F9,修正!H45:H56)</f>
        <v>0.2</v>
      </c>
      <c r="H63" s="2005"/>
      <c r="I63" s="1636"/>
      <c r="J63" s="1879"/>
      <c r="K63" s="1880"/>
      <c r="L63" s="1880"/>
      <c r="M63" s="1636"/>
      <c r="N63" s="1636"/>
    </row>
    <row r="64" spans="1:14" s="2001" customFormat="1">
      <c r="A64" s="2002" t="s">
        <v>2413</v>
      </c>
      <c r="B64" s="2003" t="e">
        <f t="shared" si="16"/>
        <v>#DIV/0!</v>
      </c>
      <c r="C64" s="50">
        <f t="shared" si="17"/>
        <v>0.2</v>
      </c>
      <c r="D64" s="2004">
        <v>0.25</v>
      </c>
      <c r="E64" s="1998">
        <v>0</v>
      </c>
      <c r="F64" s="1999" t="e">
        <f t="shared" si="15"/>
        <v>#DIV/0!</v>
      </c>
      <c r="G64" s="2000">
        <f>G63</f>
        <v>0.2</v>
      </c>
      <c r="H64" s="2005"/>
      <c r="I64" s="1783"/>
      <c r="J64" s="1783"/>
      <c r="K64" s="2979"/>
      <c r="L64" s="2973"/>
      <c r="M64" s="1783"/>
      <c r="N64" s="1783"/>
    </row>
    <row r="65" spans="1:17" s="2001" customFormat="1">
      <c r="A65" s="2002" t="s">
        <v>2414</v>
      </c>
      <c r="B65" s="2003" t="e">
        <f t="shared" si="16"/>
        <v>#DIV/0!</v>
      </c>
      <c r="C65" s="50">
        <f t="shared" si="17"/>
        <v>0.2</v>
      </c>
      <c r="D65" s="2004">
        <v>0.25</v>
      </c>
      <c r="E65" s="1998">
        <v>0</v>
      </c>
      <c r="F65" s="1999" t="e">
        <f t="shared" si="15"/>
        <v>#DIV/0!</v>
      </c>
      <c r="G65" s="2000">
        <f>G63</f>
        <v>0.2</v>
      </c>
      <c r="H65" s="2005"/>
      <c r="I65" s="1636"/>
      <c r="J65" s="1879"/>
      <c r="K65" s="1880"/>
      <c r="L65" s="1880"/>
      <c r="M65" s="1636"/>
      <c r="N65" s="1636"/>
    </row>
    <row r="66" spans="1:17" s="2001" customFormat="1" ht="13.5" thickBot="1">
      <c r="A66" s="2006" t="s">
        <v>2415</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2317</v>
      </c>
      <c r="B69" s="1761"/>
      <c r="C69" s="1787"/>
      <c r="D69" s="1787"/>
      <c r="E69" s="1787"/>
      <c r="F69" s="1787"/>
      <c r="G69" s="1787"/>
      <c r="H69" s="1787"/>
      <c r="I69" s="2012"/>
      <c r="J69" s="2012"/>
      <c r="K69" s="2013"/>
      <c r="L69" s="2014"/>
      <c r="M69" s="2012"/>
      <c r="N69" s="2012"/>
      <c r="O69" s="2012"/>
      <c r="P69" s="2015"/>
      <c r="Q69" s="1791"/>
    </row>
    <row r="70" spans="1:17" s="2020" customFormat="1" ht="15">
      <c r="A70" s="2016" t="s">
        <v>2416</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2417</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4" customFormat="1" ht="15.75" thickBot="1">
      <c r="A72" s="1804" t="s">
        <v>2237</v>
      </c>
      <c r="B72" s="1805"/>
      <c r="C72" s="1806"/>
      <c r="D72" s="1807"/>
      <c r="E72" s="1807"/>
      <c r="F72" s="1807"/>
      <c r="G72" s="1807"/>
      <c r="H72" s="1807"/>
      <c r="I72" s="1807"/>
      <c r="J72" s="1807"/>
      <c r="K72" s="1807"/>
      <c r="L72" s="1807"/>
      <c r="M72" s="1808"/>
      <c r="N72" s="1807"/>
      <c r="O72" s="2025"/>
      <c r="P72" s="1791"/>
      <c r="Q72" s="1791"/>
    </row>
    <row r="73" spans="1:17" s="1654" customFormat="1" ht="15">
      <c r="A73" s="1809" t="s">
        <v>2201</v>
      </c>
      <c r="B73" s="1799"/>
      <c r="C73" s="1810" t="s">
        <v>2202</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2240</v>
      </c>
      <c r="B75" s="1817" t="s">
        <v>2205</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2208</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2209</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2210</v>
      </c>
      <c r="B88" s="1817" t="s">
        <v>2248</v>
      </c>
      <c r="C88" s="1855" t="s">
        <v>2249</v>
      </c>
      <c r="D88" s="1855" t="s">
        <v>2250</v>
      </c>
      <c r="E88" s="1855" t="s">
        <v>2251</v>
      </c>
      <c r="F88" s="1855" t="s">
        <v>2252</v>
      </c>
      <c r="G88" s="1855" t="s">
        <v>2253</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2418</v>
      </c>
      <c r="C90" s="579" t="s">
        <v>2249</v>
      </c>
      <c r="D90" s="579" t="s">
        <v>2250</v>
      </c>
      <c r="E90" s="579" t="s">
        <v>2251</v>
      </c>
      <c r="F90" s="579" t="s">
        <v>2252</v>
      </c>
      <c r="G90" s="579" t="s">
        <v>2253</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2336</v>
      </c>
      <c r="C92" s="579" t="s">
        <v>2249</v>
      </c>
      <c r="D92" s="579" t="s">
        <v>2250</v>
      </c>
      <c r="E92" s="579" t="s">
        <v>2251</v>
      </c>
      <c r="F92" s="579" t="s">
        <v>2252</v>
      </c>
      <c r="G92" s="579" t="s">
        <v>2253</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2254</v>
      </c>
      <c r="C94" s="579" t="s">
        <v>2249</v>
      </c>
      <c r="D94" s="579" t="s">
        <v>2250</v>
      </c>
      <c r="E94" s="579" t="s">
        <v>2251</v>
      </c>
      <c r="F94" s="579" t="s">
        <v>2252</v>
      </c>
      <c r="G94" s="579" t="s">
        <v>2253</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2419</v>
      </c>
      <c r="C96" s="579" t="s">
        <v>2249</v>
      </c>
      <c r="D96" s="579" t="s">
        <v>2250</v>
      </c>
      <c r="E96" s="579" t="s">
        <v>2251</v>
      </c>
      <c r="F96" s="579" t="s">
        <v>2252</v>
      </c>
      <c r="G96" s="579" t="s">
        <v>2253</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2420</v>
      </c>
      <c r="C98" s="1855" t="s">
        <v>2249</v>
      </c>
      <c r="D98" s="1855" t="s">
        <v>2250</v>
      </c>
      <c r="E98" s="1855" t="s">
        <v>2251</v>
      </c>
      <c r="F98" s="1855" t="s">
        <v>2252</v>
      </c>
      <c r="G98" s="1855" t="s">
        <v>2253</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2297</v>
      </c>
      <c r="C100" s="1855" t="s">
        <v>2249</v>
      </c>
      <c r="D100" s="1855" t="s">
        <v>2250</v>
      </c>
      <c r="E100" s="1855" t="s">
        <v>2251</v>
      </c>
      <c r="F100" s="1855" t="s">
        <v>2252</v>
      </c>
      <c r="G100" s="1855" t="s">
        <v>2253</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2298</v>
      </c>
      <c r="C102" s="1829" t="s">
        <v>2256</v>
      </c>
      <c r="D102" s="1829" t="s">
        <v>2257</v>
      </c>
      <c r="E102" s="1829" t="s">
        <v>2258</v>
      </c>
      <c r="F102" s="1829" t="s">
        <v>2259</v>
      </c>
      <c r="G102" s="1829" t="s">
        <v>2260</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2421</v>
      </c>
      <c r="D104" s="1829" t="s">
        <v>2422</v>
      </c>
      <c r="E104" s="1829" t="s">
        <v>2423</v>
      </c>
      <c r="F104" s="1829" t="s">
        <v>2424</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2329</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2390</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2215</v>
      </c>
      <c r="B116" s="1817" t="s">
        <v>2425</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2426</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2427</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2428</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2429</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2384</v>
      </c>
      <c r="D2" s="2989"/>
      <c r="E2" s="2989"/>
      <c r="F2" s="2992"/>
      <c r="G2" s="2989"/>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2385</v>
      </c>
      <c r="D3" s="2989"/>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58" t="s">
        <v>2187</v>
      </c>
      <c r="D4" s="3659"/>
      <c r="E4" s="3660" t="s">
        <v>2188</v>
      </c>
      <c r="F4" s="3661"/>
      <c r="G4" s="3658" t="s">
        <v>2189</v>
      </c>
      <c r="H4" s="3659"/>
      <c r="I4" s="3658" t="s">
        <v>2190</v>
      </c>
      <c r="J4" s="3659"/>
      <c r="K4" s="496" t="s">
        <v>2191</v>
      </c>
      <c r="L4" s="2994"/>
      <c r="M4" s="2995"/>
      <c r="N4" s="2995"/>
      <c r="O4" s="2995"/>
      <c r="P4" s="3662" t="s">
        <v>2192</v>
      </c>
      <c r="Q4" s="3663"/>
      <c r="R4" s="3645" t="s">
        <v>2188</v>
      </c>
      <c r="S4" s="3646"/>
      <c r="T4" s="3645" t="s">
        <v>2189</v>
      </c>
      <c r="U4" s="3646"/>
      <c r="V4" s="3668" t="s">
        <v>2190</v>
      </c>
      <c r="W4" s="3668"/>
      <c r="X4" s="1304"/>
      <c r="Y4" s="3645" t="s">
        <v>2192</v>
      </c>
      <c r="Z4" s="3646"/>
      <c r="AA4" s="3655" t="s">
        <v>2188</v>
      </c>
      <c r="AB4" s="3656" t="s">
        <v>2189</v>
      </c>
      <c r="AC4" s="3655" t="s">
        <v>2190</v>
      </c>
    </row>
    <row r="5" spans="1:29" ht="15">
      <c r="A5" s="297"/>
      <c r="B5" s="298"/>
      <c r="C5" s="3671" t="s">
        <v>2193</v>
      </c>
      <c r="D5" s="3672"/>
      <c r="E5" s="3669" t="s">
        <v>2194</v>
      </c>
      <c r="F5" s="3670"/>
      <c r="G5" s="3671" t="s">
        <v>2195</v>
      </c>
      <c r="H5" s="3672"/>
      <c r="I5" s="3671" t="s">
        <v>2196</v>
      </c>
      <c r="J5" s="3672"/>
      <c r="K5" s="496"/>
      <c r="L5" s="2994"/>
      <c r="M5" s="2995"/>
      <c r="N5" s="2995"/>
      <c r="O5" s="2995"/>
      <c r="P5" s="3664"/>
      <c r="Q5" s="3665"/>
      <c r="R5" s="3647"/>
      <c r="S5" s="3648"/>
      <c r="T5" s="3647"/>
      <c r="U5" s="3648"/>
      <c r="V5" s="3668"/>
      <c r="W5" s="3668"/>
      <c r="X5" s="1304"/>
      <c r="Y5" s="3647"/>
      <c r="Z5" s="3648"/>
      <c r="AA5" s="3656"/>
      <c r="AB5" s="3656"/>
      <c r="AC5" s="3656"/>
    </row>
    <row r="6" spans="1:29" ht="15.75" thickBot="1">
      <c r="A6" s="299"/>
      <c r="B6" s="300"/>
      <c r="C6" s="3673" t="s">
        <v>2197</v>
      </c>
      <c r="D6" s="3674"/>
      <c r="E6" s="3675" t="s">
        <v>2197</v>
      </c>
      <c r="F6" s="3676"/>
      <c r="G6" s="3673" t="s">
        <v>2197</v>
      </c>
      <c r="H6" s="3674"/>
      <c r="I6" s="3673" t="s">
        <v>2197</v>
      </c>
      <c r="J6" s="3674"/>
      <c r="K6" s="496" t="s">
        <v>2198</v>
      </c>
      <c r="L6" s="2994"/>
      <c r="M6" s="2995"/>
      <c r="N6" s="2995"/>
      <c r="O6" s="2995"/>
      <c r="P6" s="3666"/>
      <c r="Q6" s="3667"/>
      <c r="R6" s="3647"/>
      <c r="S6" s="3648"/>
      <c r="T6" s="3649"/>
      <c r="U6" s="3650"/>
      <c r="V6" s="3668"/>
      <c r="W6" s="3668"/>
      <c r="X6" s="1304"/>
      <c r="Y6" s="3649"/>
      <c r="Z6" s="3650"/>
      <c r="AA6" s="3657"/>
      <c r="AB6" s="3657"/>
      <c r="AC6" s="3657"/>
    </row>
    <row r="7" spans="1:29" s="25" customFormat="1" ht="15.75" thickBot="1">
      <c r="A7" s="301" t="s">
        <v>2199</v>
      </c>
      <c r="B7" s="302"/>
      <c r="C7" s="303">
        <f>'数据-取费表'!B2</f>
        <v>44644</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43" t="s">
        <v>2200</v>
      </c>
      <c r="Q7" s="3651"/>
      <c r="R7" s="626" t="s">
        <v>25</v>
      </c>
      <c r="S7" s="627">
        <f t="shared" ref="S7:S15" si="0">F7</f>
        <v>0</v>
      </c>
      <c r="T7" s="626" t="s">
        <v>25</v>
      </c>
      <c r="U7" s="627">
        <f t="shared" ref="U7:U15" si="1">H7</f>
        <v>0</v>
      </c>
      <c r="V7" s="626" t="s">
        <v>25</v>
      </c>
      <c r="W7" s="627">
        <f t="shared" ref="W7:W15" si="2">J7</f>
        <v>0</v>
      </c>
      <c r="X7" s="628"/>
      <c r="Y7" s="3643" t="s">
        <v>2200</v>
      </c>
      <c r="Z7" s="3644"/>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43" t="s">
        <v>2203</v>
      </c>
      <c r="Q8" s="3644"/>
      <c r="R8" s="626" t="s">
        <v>25</v>
      </c>
      <c r="S8" s="627">
        <f t="shared" si="0"/>
        <v>0</v>
      </c>
      <c r="T8" s="626" t="s">
        <v>25</v>
      </c>
      <c r="U8" s="627">
        <f t="shared" si="1"/>
        <v>0</v>
      </c>
      <c r="V8" s="626" t="s">
        <v>25</v>
      </c>
      <c r="W8" s="627">
        <f t="shared" si="2"/>
        <v>0</v>
      </c>
      <c r="X8" s="628"/>
      <c r="Y8" s="3643" t="s">
        <v>2203</v>
      </c>
      <c r="Z8" s="3644"/>
      <c r="AA8" s="629" t="e">
        <f t="shared" ref="AA8:AA40" si="3">D8/F8</f>
        <v>#DIV/0!</v>
      </c>
      <c r="AB8" s="629" t="e">
        <f t="shared" ref="AB8:AB40" si="4">D8/H8</f>
        <v>#DIV/0!</v>
      </c>
      <c r="AC8" s="629" t="e">
        <f t="shared" ref="AC8:AC40" si="5">D8/J8</f>
        <v>#DIV/0!</v>
      </c>
    </row>
    <row r="9" spans="1:29" s="25" customFormat="1">
      <c r="A9" s="308" t="s">
        <v>2204</v>
      </c>
      <c r="B9" s="24" t="s">
        <v>2205</v>
      </c>
      <c r="C9" s="1555" t="s">
        <v>2431</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35" t="s">
        <v>2206</v>
      </c>
      <c r="Q9" s="1296" t="str">
        <f t="shared" ref="Q9:Q15" si="6">B9</f>
        <v>用途</v>
      </c>
      <c r="R9" s="626" t="s">
        <v>25</v>
      </c>
      <c r="S9" s="627">
        <f t="shared" si="0"/>
        <v>100</v>
      </c>
      <c r="T9" s="626" t="s">
        <v>25</v>
      </c>
      <c r="U9" s="627">
        <f t="shared" si="1"/>
        <v>100</v>
      </c>
      <c r="V9" s="626" t="s">
        <v>25</v>
      </c>
      <c r="W9" s="627">
        <f t="shared" si="2"/>
        <v>100</v>
      </c>
      <c r="X9" s="628"/>
      <c r="Y9" s="3654"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108</v>
      </c>
      <c r="G10" s="322"/>
      <c r="H10" s="29">
        <f>ROUND(100/'数据-取费表'!B14,0)</f>
        <v>108</v>
      </c>
      <c r="I10" s="322"/>
      <c r="J10" s="29">
        <f>ROUND(100/'数据-取费表'!B14,0)</f>
        <v>108</v>
      </c>
      <c r="K10" s="553"/>
      <c r="L10" s="2999"/>
      <c r="M10" s="3000"/>
      <c r="N10" s="3000"/>
      <c r="O10" s="3001"/>
      <c r="P10" s="3635"/>
      <c r="Q10" s="1296" t="str">
        <f t="shared" si="6"/>
        <v>土地使用年限（年）</v>
      </c>
      <c r="R10" s="626" t="s">
        <v>25</v>
      </c>
      <c r="S10" s="627">
        <f t="shared" si="0"/>
        <v>108</v>
      </c>
      <c r="T10" s="626" t="s">
        <v>25</v>
      </c>
      <c r="U10" s="627">
        <f t="shared" si="1"/>
        <v>108</v>
      </c>
      <c r="V10" s="626" t="s">
        <v>25</v>
      </c>
      <c r="W10" s="627">
        <f t="shared" si="2"/>
        <v>108</v>
      </c>
      <c r="X10" s="628"/>
      <c r="Y10" s="3654"/>
      <c r="Z10" s="19" t="str">
        <f t="shared" si="7"/>
        <v>土地使用年限（年）</v>
      </c>
      <c r="AA10" s="629">
        <f t="shared" si="3"/>
        <v>0.92592592592592593</v>
      </c>
      <c r="AB10" s="629">
        <f t="shared" si="4"/>
        <v>0.92592592592592593</v>
      </c>
      <c r="AC10" s="629">
        <f t="shared" si="5"/>
        <v>0.92592592592592593</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5"/>
      <c r="Q11" s="1296" t="str">
        <f t="shared" si="6"/>
        <v>容积率</v>
      </c>
      <c r="R11" s="626" t="s">
        <v>25</v>
      </c>
      <c r="S11" s="627" t="e">
        <f t="shared" si="0"/>
        <v>#N/A</v>
      </c>
      <c r="T11" s="626" t="s">
        <v>25</v>
      </c>
      <c r="U11" s="627" t="e">
        <f t="shared" si="1"/>
        <v>#N/A</v>
      </c>
      <c r="V11" s="626" t="s">
        <v>25</v>
      </c>
      <c r="W11" s="627" t="e">
        <f t="shared" si="2"/>
        <v>#N/A</v>
      </c>
      <c r="X11" s="628"/>
      <c r="Y11" s="3654"/>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5"/>
      <c r="Q12" s="1296">
        <f t="shared" si="6"/>
        <v>111</v>
      </c>
      <c r="R12" s="626" t="s">
        <v>25</v>
      </c>
      <c r="S12" s="627">
        <f t="shared" si="0"/>
        <v>100</v>
      </c>
      <c r="T12" s="626" t="s">
        <v>25</v>
      </c>
      <c r="U12" s="627">
        <f t="shared" si="1"/>
        <v>100</v>
      </c>
      <c r="V12" s="626" t="s">
        <v>25</v>
      </c>
      <c r="W12" s="627">
        <f t="shared" si="2"/>
        <v>100</v>
      </c>
      <c r="X12" s="628"/>
      <c r="Y12" s="3654"/>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5"/>
      <c r="Q13" s="1296">
        <f t="shared" si="6"/>
        <v>111</v>
      </c>
      <c r="R13" s="626" t="s">
        <v>25</v>
      </c>
      <c r="S13" s="627">
        <f t="shared" si="0"/>
        <v>100</v>
      </c>
      <c r="T13" s="626" t="s">
        <v>25</v>
      </c>
      <c r="U13" s="627">
        <f t="shared" si="1"/>
        <v>100</v>
      </c>
      <c r="V13" s="626" t="s">
        <v>25</v>
      </c>
      <c r="W13" s="627">
        <f t="shared" si="2"/>
        <v>100</v>
      </c>
      <c r="X13" s="628"/>
      <c r="Y13" s="3654"/>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5"/>
      <c r="Q14" s="1296">
        <f t="shared" si="6"/>
        <v>111</v>
      </c>
      <c r="R14" s="626" t="s">
        <v>25</v>
      </c>
      <c r="S14" s="627">
        <f t="shared" si="0"/>
        <v>100</v>
      </c>
      <c r="T14" s="626" t="s">
        <v>25</v>
      </c>
      <c r="U14" s="627">
        <f t="shared" si="1"/>
        <v>100</v>
      </c>
      <c r="V14" s="626" t="s">
        <v>25</v>
      </c>
      <c r="W14" s="627">
        <f t="shared" si="2"/>
        <v>100</v>
      </c>
      <c r="X14" s="628"/>
      <c r="Y14" s="3654"/>
      <c r="Z14" s="19">
        <f t="shared" si="7"/>
        <v>111</v>
      </c>
      <c r="AA14" s="629">
        <f t="shared" si="3"/>
        <v>1</v>
      </c>
      <c r="AB14" s="629">
        <f t="shared" si="4"/>
        <v>1</v>
      </c>
      <c r="AC14" s="629">
        <f t="shared" si="5"/>
        <v>1</v>
      </c>
    </row>
    <row r="15" spans="1:29" ht="57">
      <c r="A15" s="329" t="s">
        <v>2210</v>
      </c>
      <c r="B15" s="511" t="s">
        <v>2432</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52" t="s">
        <v>2211</v>
      </c>
      <c r="Q15" s="1303" t="str">
        <f t="shared" si="6"/>
        <v>产业集聚程度</v>
      </c>
      <c r="R15" s="630" t="s">
        <v>25</v>
      </c>
      <c r="S15" s="631">
        <f t="shared" si="0"/>
        <v>100</v>
      </c>
      <c r="T15" s="630" t="s">
        <v>25</v>
      </c>
      <c r="U15" s="631">
        <f t="shared" si="1"/>
        <v>100</v>
      </c>
      <c r="V15" s="630" t="s">
        <v>25</v>
      </c>
      <c r="W15" s="631">
        <f t="shared" si="2"/>
        <v>100</v>
      </c>
      <c r="X15" s="1304"/>
      <c r="Y15" s="3652" t="s">
        <v>2211</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53"/>
      <c r="Q16" s="1303"/>
      <c r="R16" s="630"/>
      <c r="S16" s="631"/>
      <c r="T16" s="630"/>
      <c r="U16" s="631"/>
      <c r="V16" s="630"/>
      <c r="W16" s="631"/>
      <c r="X16" s="1304"/>
      <c r="Y16" s="3653"/>
      <c r="Z16" s="1305"/>
      <c r="AA16" s="1306">
        <v>1</v>
      </c>
      <c r="AB16" s="1306">
        <v>1</v>
      </c>
      <c r="AC16" s="1306">
        <v>1</v>
      </c>
    </row>
    <row r="17" spans="1:29" ht="85.5">
      <c r="A17" s="318"/>
      <c r="B17" s="513" t="s">
        <v>2348</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3"/>
      <c r="Q17" s="1303" t="str">
        <f>B17</f>
        <v>交通便捷度</v>
      </c>
      <c r="R17" s="630" t="s">
        <v>25</v>
      </c>
      <c r="S17" s="631">
        <f>F17</f>
        <v>100</v>
      </c>
      <c r="T17" s="630" t="s">
        <v>25</v>
      </c>
      <c r="U17" s="631">
        <f>H17</f>
        <v>100</v>
      </c>
      <c r="V17" s="630" t="s">
        <v>25</v>
      </c>
      <c r="W17" s="631">
        <f>J17</f>
        <v>100</v>
      </c>
      <c r="X17" s="1304"/>
      <c r="Y17" s="3653"/>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53"/>
      <c r="Q18" s="1303"/>
      <c r="R18" s="630"/>
      <c r="S18" s="631"/>
      <c r="T18" s="630"/>
      <c r="U18" s="631"/>
      <c r="V18" s="630"/>
      <c r="W18" s="631"/>
      <c r="X18" s="1304"/>
      <c r="Y18" s="3653"/>
      <c r="Z18" s="1305"/>
      <c r="AA18" s="1306">
        <v>1</v>
      </c>
      <c r="AB18" s="1306">
        <v>1</v>
      </c>
      <c r="AC18" s="1306">
        <v>1</v>
      </c>
    </row>
    <row r="19" spans="1:29" ht="15">
      <c r="A19" s="318"/>
      <c r="B19" s="513" t="s">
        <v>2388</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3"/>
      <c r="Q19" s="1303" t="str">
        <f t="shared" ref="Q19:Q33" si="8">B19</f>
        <v>区域土地利用方向</v>
      </c>
      <c r="R19" s="630" t="s">
        <v>25</v>
      </c>
      <c r="S19" s="631">
        <f>F19</f>
        <v>100</v>
      </c>
      <c r="T19" s="630" t="s">
        <v>25</v>
      </c>
      <c r="U19" s="631">
        <f>H19</f>
        <v>100</v>
      </c>
      <c r="V19" s="630" t="s">
        <v>25</v>
      </c>
      <c r="W19" s="631">
        <f>J19</f>
        <v>100</v>
      </c>
      <c r="X19" s="1304"/>
      <c r="Y19" s="3653"/>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4"/>
      <c r="M20" s="2995"/>
      <c r="N20" s="2995"/>
      <c r="O20" s="3003"/>
      <c r="P20" s="3653"/>
      <c r="Q20" s="1303"/>
      <c r="R20" s="630"/>
      <c r="S20" s="631"/>
      <c r="T20" s="630"/>
      <c r="U20" s="631"/>
      <c r="V20" s="630"/>
      <c r="W20" s="631"/>
      <c r="X20" s="1304"/>
      <c r="Y20" s="3653"/>
      <c r="Z20" s="1305"/>
      <c r="AA20" s="1306"/>
      <c r="AB20" s="1306"/>
      <c r="AC20" s="1306"/>
    </row>
    <row r="21" spans="1:29" ht="71.25">
      <c r="A21" s="297"/>
      <c r="B21" s="513" t="s">
        <v>2433</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3"/>
      <c r="Q21" s="1303" t="str">
        <f t="shared" si="8"/>
        <v>环境状况</v>
      </c>
      <c r="R21" s="630" t="s">
        <v>25</v>
      </c>
      <c r="S21" s="631">
        <f>F21</f>
        <v>100</v>
      </c>
      <c r="T21" s="630" t="s">
        <v>25</v>
      </c>
      <c r="U21" s="631">
        <f>H21</f>
        <v>100</v>
      </c>
      <c r="V21" s="630" t="s">
        <v>25</v>
      </c>
      <c r="W21" s="631">
        <f>J21</f>
        <v>100</v>
      </c>
      <c r="X21" s="1304"/>
      <c r="Y21" s="3653"/>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53"/>
      <c r="Q22" s="1303"/>
      <c r="R22" s="630"/>
      <c r="S22" s="631"/>
      <c r="T22" s="630"/>
      <c r="U22" s="631"/>
      <c r="V22" s="630"/>
      <c r="W22" s="631"/>
      <c r="X22" s="1304"/>
      <c r="Y22" s="3653"/>
      <c r="Z22" s="1305"/>
      <c r="AA22" s="1306">
        <v>1</v>
      </c>
      <c r="AB22" s="1306">
        <v>1</v>
      </c>
      <c r="AC22" s="1306">
        <v>1</v>
      </c>
    </row>
    <row r="23" spans="1:29" s="25" customFormat="1" ht="42.75">
      <c r="A23" s="531"/>
      <c r="B23" s="513" t="s">
        <v>2297</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3"/>
      <c r="Q23" s="1296" t="str">
        <f t="shared" si="8"/>
        <v>公共配套设施</v>
      </c>
      <c r="R23" s="626" t="s">
        <v>25</v>
      </c>
      <c r="S23" s="627">
        <f>F23</f>
        <v>100</v>
      </c>
      <c r="T23" s="626" t="s">
        <v>25</v>
      </c>
      <c r="U23" s="627">
        <f>H23</f>
        <v>100</v>
      </c>
      <c r="V23" s="626" t="s">
        <v>25</v>
      </c>
      <c r="W23" s="627">
        <f>J23</f>
        <v>100</v>
      </c>
      <c r="X23" s="628"/>
      <c r="Y23" s="3653"/>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53"/>
      <c r="Q24" s="1296"/>
      <c r="R24" s="626"/>
      <c r="S24" s="627"/>
      <c r="T24" s="626"/>
      <c r="U24" s="627"/>
      <c r="V24" s="626"/>
      <c r="W24" s="627"/>
      <c r="X24" s="628"/>
      <c r="Y24" s="3653"/>
      <c r="Z24" s="19"/>
      <c r="AA24" s="629">
        <v>1</v>
      </c>
      <c r="AB24" s="629">
        <v>1</v>
      </c>
      <c r="AC24" s="629">
        <v>1</v>
      </c>
    </row>
    <row r="25" spans="1:29" s="25" customFormat="1" ht="28.5">
      <c r="A25" s="531"/>
      <c r="B25" s="515" t="s">
        <v>2298</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3"/>
      <c r="Q25" s="1296" t="str">
        <f t="shared" ref="Q25" si="9">B25</f>
        <v>基础设施水平</v>
      </c>
      <c r="R25" s="626" t="s">
        <v>25</v>
      </c>
      <c r="S25" s="627">
        <f>F25</f>
        <v>100</v>
      </c>
      <c r="T25" s="626" t="s">
        <v>25</v>
      </c>
      <c r="U25" s="627">
        <f>H25</f>
        <v>100</v>
      </c>
      <c r="V25" s="626" t="s">
        <v>25</v>
      </c>
      <c r="W25" s="627">
        <f>J25</f>
        <v>100</v>
      </c>
      <c r="X25" s="628"/>
      <c r="Y25" s="3653"/>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53"/>
      <c r="Q26" s="1296"/>
      <c r="R26" s="626"/>
      <c r="S26" s="627"/>
      <c r="T26" s="626"/>
      <c r="U26" s="627"/>
      <c r="V26" s="626"/>
      <c r="W26" s="627"/>
      <c r="X26" s="628"/>
      <c r="Y26" s="3653"/>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3"/>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3"/>
      <c r="Z27" s="1305" t="str">
        <f t="shared" ref="Z27:Z40" si="13">Q27</f>
        <v>临街状况</v>
      </c>
      <c r="AA27" s="1306">
        <f t="shared" si="3"/>
        <v>1</v>
      </c>
      <c r="AB27" s="1306">
        <f t="shared" si="4"/>
        <v>1</v>
      </c>
      <c r="AC27" s="1306">
        <f t="shared" si="5"/>
        <v>1</v>
      </c>
    </row>
    <row r="28" spans="1:29" ht="27">
      <c r="A28" s="318"/>
      <c r="B28" s="515" t="s">
        <v>2329</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3"/>
      <c r="Q28" s="1303" t="str">
        <f t="shared" si="8"/>
        <v>毗邻道路的类型与等级</v>
      </c>
      <c r="R28" s="630" t="s">
        <v>25</v>
      </c>
      <c r="S28" s="631">
        <f t="shared" si="10"/>
        <v>100</v>
      </c>
      <c r="T28" s="630" t="s">
        <v>25</v>
      </c>
      <c r="U28" s="631">
        <f t="shared" si="11"/>
        <v>100</v>
      </c>
      <c r="V28" s="630" t="s">
        <v>25</v>
      </c>
      <c r="W28" s="631">
        <f t="shared" si="12"/>
        <v>100</v>
      </c>
      <c r="X28" s="1304"/>
      <c r="Y28" s="3653"/>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53"/>
      <c r="Q29" s="1303"/>
      <c r="R29" s="630"/>
      <c r="S29" s="631"/>
      <c r="T29" s="630"/>
      <c r="U29" s="631"/>
      <c r="V29" s="630"/>
      <c r="W29" s="631"/>
      <c r="X29" s="1304"/>
      <c r="Y29" s="3653"/>
      <c r="Z29" s="1305"/>
      <c r="AA29" s="1306">
        <v>1</v>
      </c>
      <c r="AB29" s="1306">
        <v>1</v>
      </c>
      <c r="AC29" s="1306">
        <v>1</v>
      </c>
    </row>
    <row r="30" spans="1:29" ht="15">
      <c r="A30" s="318"/>
      <c r="B30" s="535" t="s">
        <v>2390</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3"/>
      <c r="Q30" s="1303" t="str">
        <f t="shared" si="8"/>
        <v>土地级别</v>
      </c>
      <c r="R30" s="630" t="s">
        <v>25</v>
      </c>
      <c r="S30" s="631">
        <f t="shared" si="10"/>
        <v>100</v>
      </c>
      <c r="T30" s="630" t="s">
        <v>25</v>
      </c>
      <c r="U30" s="631">
        <f t="shared" si="11"/>
        <v>100</v>
      </c>
      <c r="V30" s="630" t="s">
        <v>25</v>
      </c>
      <c r="W30" s="631">
        <f t="shared" si="12"/>
        <v>100</v>
      </c>
      <c r="X30" s="1304"/>
      <c r="Y30" s="3653"/>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3"/>
      <c r="Q31" s="1303">
        <f t="shared" si="8"/>
        <v>111</v>
      </c>
      <c r="R31" s="630" t="s">
        <v>25</v>
      </c>
      <c r="S31" s="631">
        <f t="shared" si="10"/>
        <v>100</v>
      </c>
      <c r="T31" s="630" t="s">
        <v>25</v>
      </c>
      <c r="U31" s="631">
        <f t="shared" si="11"/>
        <v>100</v>
      </c>
      <c r="V31" s="630" t="s">
        <v>25</v>
      </c>
      <c r="W31" s="631">
        <f t="shared" si="12"/>
        <v>100</v>
      </c>
      <c r="X31" s="1304"/>
      <c r="Y31" s="3653"/>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40" t="s">
        <v>2217</v>
      </c>
      <c r="Q32" s="1303">
        <f t="shared" si="8"/>
        <v>111</v>
      </c>
      <c r="R32" s="630" t="s">
        <v>25</v>
      </c>
      <c r="S32" s="631">
        <f t="shared" si="10"/>
        <v>100</v>
      </c>
      <c r="T32" s="630" t="s">
        <v>25</v>
      </c>
      <c r="U32" s="631">
        <f t="shared" si="11"/>
        <v>100</v>
      </c>
      <c r="V32" s="630" t="s">
        <v>25</v>
      </c>
      <c r="W32" s="631">
        <f t="shared" si="12"/>
        <v>100</v>
      </c>
      <c r="X32" s="1304"/>
      <c r="Y32" s="3641" t="s">
        <v>2217</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41"/>
      <c r="Q33" s="1303">
        <f t="shared" si="8"/>
        <v>111</v>
      </c>
      <c r="R33" s="633" t="s">
        <v>25</v>
      </c>
      <c r="S33" s="634">
        <f t="shared" si="10"/>
        <v>100</v>
      </c>
      <c r="T33" s="633" t="s">
        <v>25</v>
      </c>
      <c r="U33" s="634">
        <f t="shared" si="11"/>
        <v>100</v>
      </c>
      <c r="V33" s="633" t="s">
        <v>25</v>
      </c>
      <c r="W33" s="634">
        <f t="shared" si="12"/>
        <v>100</v>
      </c>
      <c r="X33" s="635"/>
      <c r="Y33" s="3641"/>
      <c r="Z33" s="636">
        <f t="shared" si="13"/>
        <v>111</v>
      </c>
      <c r="AA33" s="1306">
        <f t="shared" si="3"/>
        <v>1</v>
      </c>
      <c r="AB33" s="1306">
        <f t="shared" si="4"/>
        <v>1</v>
      </c>
      <c r="AC33" s="1306">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41"/>
      <c r="Q34" s="1303" t="str">
        <f>B34</f>
        <v>宗地面积</v>
      </c>
      <c r="R34" s="630" t="s">
        <v>25</v>
      </c>
      <c r="S34" s="631" t="e">
        <f t="shared" si="10"/>
        <v>#N/A</v>
      </c>
      <c r="T34" s="630" t="s">
        <v>25</v>
      </c>
      <c r="U34" s="631" t="e">
        <f t="shared" si="11"/>
        <v>#N/A</v>
      </c>
      <c r="V34" s="630" t="s">
        <v>25</v>
      </c>
      <c r="W34" s="631" t="e">
        <f t="shared" si="12"/>
        <v>#N/A</v>
      </c>
      <c r="X34" s="1304"/>
      <c r="Y34" s="3641"/>
      <c r="Z34" s="1305" t="str">
        <f t="shared" si="13"/>
        <v>宗地面积</v>
      </c>
      <c r="AA34" s="1306" t="e">
        <f t="shared" si="3"/>
        <v>#N/A</v>
      </c>
      <c r="AB34" s="1306" t="e">
        <f t="shared" si="4"/>
        <v>#N/A</v>
      </c>
      <c r="AC34" s="1306" t="e">
        <f t="shared" si="5"/>
        <v>#N/A</v>
      </c>
    </row>
    <row r="35" spans="1:29" ht="15">
      <c r="A35" s="360"/>
      <c r="B35" s="313" t="s">
        <v>2392</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41"/>
      <c r="Q35" s="1303" t="str">
        <f t="shared" ref="Q35:Q40" si="14">B35</f>
        <v>宗地形状</v>
      </c>
      <c r="R35" s="630" t="s">
        <v>25</v>
      </c>
      <c r="S35" s="631">
        <f t="shared" si="10"/>
        <v>100</v>
      </c>
      <c r="T35" s="630" t="s">
        <v>25</v>
      </c>
      <c r="U35" s="631">
        <f t="shared" si="11"/>
        <v>100</v>
      </c>
      <c r="V35" s="630" t="s">
        <v>25</v>
      </c>
      <c r="W35" s="631">
        <f t="shared" si="12"/>
        <v>100</v>
      </c>
      <c r="X35" s="1304"/>
      <c r="Y35" s="3641"/>
      <c r="Z35" s="1305" t="str">
        <f t="shared" si="13"/>
        <v>宗地形状</v>
      </c>
      <c r="AA35" s="1306">
        <f t="shared" si="3"/>
        <v>1</v>
      </c>
      <c r="AB35" s="1306">
        <f t="shared" si="4"/>
        <v>1</v>
      </c>
      <c r="AC35" s="1306">
        <f t="shared" si="5"/>
        <v>1</v>
      </c>
    </row>
    <row r="36" spans="1:29" s="25" customFormat="1" ht="15">
      <c r="A36" s="361"/>
      <c r="B36" s="313" t="s">
        <v>2394</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41"/>
      <c r="Q36" s="1303" t="str">
        <f t="shared" si="14"/>
        <v>宗地开发程度</v>
      </c>
      <c r="R36" s="626" t="s">
        <v>25</v>
      </c>
      <c r="S36" s="627">
        <f t="shared" si="10"/>
        <v>100</v>
      </c>
      <c r="T36" s="626" t="s">
        <v>25</v>
      </c>
      <c r="U36" s="627">
        <f t="shared" si="11"/>
        <v>100</v>
      </c>
      <c r="V36" s="626" t="s">
        <v>25</v>
      </c>
      <c r="W36" s="627">
        <f t="shared" si="12"/>
        <v>100</v>
      </c>
      <c r="X36" s="628"/>
      <c r="Y36" s="3641"/>
      <c r="Z36" s="19" t="str">
        <f t="shared" si="13"/>
        <v>宗地开发程度</v>
      </c>
      <c r="AA36" s="629">
        <f t="shared" si="3"/>
        <v>1</v>
      </c>
      <c r="AB36" s="629">
        <f t="shared" si="4"/>
        <v>1</v>
      </c>
      <c r="AC36" s="629">
        <f t="shared" si="5"/>
        <v>1</v>
      </c>
    </row>
    <row r="37" spans="1:29" ht="15">
      <c r="A37" s="360"/>
      <c r="B37" s="313" t="s">
        <v>2395</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41" t="s">
        <v>2217</v>
      </c>
      <c r="Q37" s="1303" t="str">
        <f t="shared" si="14"/>
        <v>工程地质条件</v>
      </c>
      <c r="R37" s="630" t="s">
        <v>25</v>
      </c>
      <c r="S37" s="631">
        <f t="shared" si="10"/>
        <v>100</v>
      </c>
      <c r="T37" s="630" t="s">
        <v>25</v>
      </c>
      <c r="U37" s="631">
        <f t="shared" si="11"/>
        <v>100</v>
      </c>
      <c r="V37" s="630" t="s">
        <v>25</v>
      </c>
      <c r="W37" s="631">
        <f t="shared" si="12"/>
        <v>100</v>
      </c>
      <c r="X37" s="1304"/>
      <c r="Y37" s="3641" t="s">
        <v>2217</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41"/>
      <c r="Q38" s="1303">
        <f t="shared" si="14"/>
        <v>111</v>
      </c>
      <c r="R38" s="630" t="s">
        <v>25</v>
      </c>
      <c r="S38" s="631">
        <f t="shared" si="10"/>
        <v>100</v>
      </c>
      <c r="T38" s="630" t="s">
        <v>25</v>
      </c>
      <c r="U38" s="631">
        <f t="shared" si="11"/>
        <v>100</v>
      </c>
      <c r="V38" s="630" t="s">
        <v>25</v>
      </c>
      <c r="W38" s="631">
        <f t="shared" si="12"/>
        <v>100</v>
      </c>
      <c r="X38" s="1304"/>
      <c r="Y38" s="3641"/>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41"/>
      <c r="Q39" s="1303">
        <f t="shared" si="14"/>
        <v>111</v>
      </c>
      <c r="R39" s="630" t="s">
        <v>25</v>
      </c>
      <c r="S39" s="631">
        <f t="shared" si="10"/>
        <v>100</v>
      </c>
      <c r="T39" s="630" t="s">
        <v>25</v>
      </c>
      <c r="U39" s="631">
        <f t="shared" si="11"/>
        <v>100</v>
      </c>
      <c r="V39" s="630" t="s">
        <v>25</v>
      </c>
      <c r="W39" s="631">
        <f t="shared" si="12"/>
        <v>100</v>
      </c>
      <c r="X39" s="1304"/>
      <c r="Y39" s="3641"/>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41"/>
      <c r="Q40" s="1303">
        <f t="shared" si="14"/>
        <v>111</v>
      </c>
      <c r="R40" s="633" t="s">
        <v>25</v>
      </c>
      <c r="S40" s="634">
        <f t="shared" si="10"/>
        <v>100</v>
      </c>
      <c r="T40" s="633" t="s">
        <v>25</v>
      </c>
      <c r="U40" s="634">
        <f t="shared" si="11"/>
        <v>100</v>
      </c>
      <c r="V40" s="633" t="s">
        <v>25</v>
      </c>
      <c r="W40" s="634">
        <f t="shared" si="12"/>
        <v>100</v>
      </c>
      <c r="X40" s="635"/>
      <c r="Y40" s="3641"/>
      <c r="Z40" s="636">
        <f t="shared" si="13"/>
        <v>111</v>
      </c>
      <c r="AA40" s="1306">
        <f t="shared" si="3"/>
        <v>1</v>
      </c>
      <c r="AB40" s="1306">
        <f t="shared" si="4"/>
        <v>1</v>
      </c>
      <c r="AC40" s="1306">
        <f t="shared" si="5"/>
        <v>1</v>
      </c>
    </row>
    <row r="41" spans="1:29" ht="15">
      <c r="A41" s="367" t="s">
        <v>2359</v>
      </c>
      <c r="B41" s="1560" t="s">
        <v>2434</v>
      </c>
      <c r="C41" s="562" t="s">
        <v>1</v>
      </c>
      <c r="D41" s="369"/>
      <c r="E41" s="370"/>
      <c r="F41" s="371"/>
      <c r="G41" s="372"/>
      <c r="H41" s="373"/>
      <c r="I41" s="370"/>
      <c r="J41" s="373"/>
      <c r="K41" s="639"/>
      <c r="L41" s="3006"/>
      <c r="M41" s="2995"/>
      <c r="N41" s="2995"/>
      <c r="P41" s="3635" t="str">
        <f>A41</f>
        <v>成交单价</v>
      </c>
      <c r="Q41" s="3635"/>
      <c r="R41" s="3668">
        <f>E41</f>
        <v>0</v>
      </c>
      <c r="S41" s="3668"/>
      <c r="T41" s="3668">
        <f>G41</f>
        <v>0</v>
      </c>
      <c r="U41" s="3668"/>
      <c r="V41" s="3668">
        <f>I41</f>
        <v>0</v>
      </c>
      <c r="W41" s="3668"/>
      <c r="X41" s="617"/>
      <c r="Y41" s="637"/>
      <c r="Z41" s="617"/>
      <c r="AA41" s="617"/>
      <c r="AB41" s="617"/>
      <c r="AC41" s="617"/>
    </row>
    <row r="42" spans="1:29" ht="15.75" thickBot="1">
      <c r="A42" s="374" t="s">
        <v>2312</v>
      </c>
      <c r="B42" s="563"/>
      <c r="C42" s="377" t="e">
        <f>R43</f>
        <v>#DIV/0!</v>
      </c>
      <c r="D42" s="1766" t="s">
        <v>2685</v>
      </c>
      <c r="E42" s="377" t="e">
        <f>R42</f>
        <v>#DIV/0!</v>
      </c>
      <c r="F42" s="1768"/>
      <c r="G42" s="376" t="e">
        <f>T42</f>
        <v>#DIV/0!</v>
      </c>
      <c r="H42" s="1768"/>
      <c r="I42" s="377" t="e">
        <f>V42</f>
        <v>#DIV/0!</v>
      </c>
      <c r="J42" s="1768"/>
      <c r="K42" s="2480">
        <f>F42+H42+J42</f>
        <v>0</v>
      </c>
      <c r="L42" s="3006"/>
      <c r="M42" s="2995"/>
      <c r="N42" s="2995"/>
      <c r="P42" s="3635" t="str">
        <f>A42</f>
        <v>比较价值（元/平方米）</v>
      </c>
      <c r="Q42" s="3635"/>
      <c r="R42" s="3680" t="e">
        <f>ROUND(PRODUCT(R41,AA7:AA40),0)</f>
        <v>#DIV/0!</v>
      </c>
      <c r="S42" s="3680"/>
      <c r="T42" s="3680" t="e">
        <f>ROUND(PRODUCT(T41,AB7:AB40),0)</f>
        <v>#DIV/0!</v>
      </c>
      <c r="U42" s="3680"/>
      <c r="V42" s="3680" t="e">
        <f>ROUND(PRODUCT(V41,AC7:AC40),0)</f>
        <v>#DIV/0!</v>
      </c>
      <c r="W42" s="3680"/>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6"/>
      <c r="M43" s="2995"/>
      <c r="N43" s="2995"/>
      <c r="P43" s="3637" t="str">
        <f>A43</f>
        <v>估价对象XX用房的比较价值（楼面单价，元/平方米）</v>
      </c>
      <c r="Q43" s="3638"/>
      <c r="R43" s="3679" t="e">
        <f>ROUND(IF(D42="简单平均",AVERAGE(R42:W42),R42*F42+T42*H42+V42*J42),0)</f>
        <v>#DIV/0!</v>
      </c>
      <c r="S43" s="3679"/>
      <c r="T43" s="3679"/>
      <c r="U43" s="3679"/>
      <c r="V43" s="3679"/>
      <c r="W43" s="3679"/>
      <c r="X43" s="617"/>
      <c r="Y43" s="617"/>
      <c r="Z43" s="617"/>
      <c r="AA43" s="617"/>
      <c r="AB43" s="617"/>
      <c r="AC43" s="617"/>
    </row>
    <row r="44" spans="1:29">
      <c r="G44" s="3009"/>
      <c r="M44" s="2995"/>
      <c r="N44" s="2995"/>
    </row>
    <row r="45" spans="1:29">
      <c r="M45" s="2995"/>
      <c r="N45" s="299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2397</v>
      </c>
      <c r="B50" s="565" t="s">
        <v>2398</v>
      </c>
      <c r="C50" s="1561" t="s">
        <v>2399</v>
      </c>
      <c r="D50" s="1562" t="s">
        <v>2400</v>
      </c>
      <c r="E50" s="566" t="s">
        <v>2401</v>
      </c>
      <c r="F50" s="567" t="s">
        <v>2402</v>
      </c>
      <c r="G50" s="1305" t="s">
        <v>2435</v>
      </c>
      <c r="H50" s="1305" t="str">
        <f>项目基本情况!G8</f>
        <v>XX</v>
      </c>
      <c r="I50" s="1279" t="s">
        <v>2404</v>
      </c>
      <c r="J50" s="957"/>
      <c r="K50" s="955"/>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9"/>
      <c r="H61" s="959"/>
      <c r="I61" s="301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2317</v>
      </c>
      <c r="B64" s="617"/>
      <c r="C64" s="620"/>
      <c r="D64" s="620"/>
      <c r="E64" s="620"/>
      <c r="F64" s="621"/>
      <c r="G64" s="621"/>
      <c r="H64" s="620"/>
      <c r="I64" s="962"/>
      <c r="J64" s="962"/>
      <c r="K64" s="960"/>
      <c r="L64" s="961"/>
      <c r="M64" s="962"/>
      <c r="N64" s="962"/>
      <c r="O64" s="962"/>
      <c r="P64" s="389"/>
      <c r="Q64" s="390"/>
    </row>
    <row r="65" spans="1:17" s="394" customFormat="1" ht="15">
      <c r="A65" s="1564" t="s">
        <v>2416</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2436</v>
      </c>
      <c r="B66" s="200" t="str">
        <f>"北京市平均增长率"&amp;TEXT(基准地价修正!P24,"0.00%")</f>
        <v>北京市平均增长率1.18%</v>
      </c>
      <c r="C66" s="491">
        <v>100</v>
      </c>
      <c r="D66" s="483"/>
      <c r="E66" s="483"/>
      <c r="F66" s="483"/>
      <c r="G66" s="483"/>
      <c r="H66" s="483"/>
      <c r="I66" s="483"/>
      <c r="J66" s="483"/>
      <c r="K66" s="483"/>
      <c r="L66" s="483"/>
      <c r="M66" s="1151"/>
      <c r="N66" s="483"/>
      <c r="O66" s="1154"/>
      <c r="P66" s="390"/>
    </row>
    <row r="67" spans="1:17" s="25" customFormat="1" ht="15.75" thickBot="1">
      <c r="A67" s="400" t="s">
        <v>2237</v>
      </c>
      <c r="B67" s="401"/>
      <c r="C67" s="402"/>
      <c r="D67" s="403"/>
      <c r="E67" s="403"/>
      <c r="F67" s="403"/>
      <c r="G67" s="403"/>
      <c r="H67" s="403"/>
      <c r="I67" s="403"/>
      <c r="J67" s="403"/>
      <c r="K67" s="403"/>
      <c r="L67" s="403"/>
      <c r="M67" s="404"/>
      <c r="N67" s="403"/>
      <c r="O67" s="1155"/>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估价对象为北京市房地产，为XX所有。根据《》[]，估价对象建筑面积为447.86平方米。根据《》[]，估价对象（分摊）出让国有建设用地使用权面积为平方米。估价对象用途为。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2022年3月24日（评估专业人员实地查勘之日）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2437</v>
      </c>
      <c r="B1" s="2067"/>
      <c r="C1" s="2068" t="s">
        <v>2438</v>
      </c>
      <c r="D1" s="2069">
        <f>SUM(D29:D30,D33:D39)</f>
        <v>447.86</v>
      </c>
      <c r="E1" s="2069"/>
      <c r="F1" s="2069"/>
      <c r="G1" s="2069"/>
      <c r="H1" s="2069"/>
      <c r="I1" s="2069"/>
      <c r="J1" s="2069"/>
      <c r="K1" s="3019"/>
      <c r="L1" s="2070" t="s">
        <v>2439</v>
      </c>
      <c r="M1" s="2071">
        <f>SUMPRODUCT((区片价!B5:B9=I2)*(区片价!C3:F3=E2)*(区片价!C5:F9))</f>
        <v>0</v>
      </c>
      <c r="N1" s="2072">
        <f>SUMPRODUCT((因素修正幅度!B5:B9=I2)*(因素修正幅度!C3:F3=E2)*(因素修正幅度!C5:F9))</f>
        <v>0</v>
      </c>
      <c r="O1" s="3019"/>
      <c r="P1" s="3019"/>
      <c r="Q1" s="3019"/>
      <c r="R1" s="2073" t="s">
        <v>2440</v>
      </c>
      <c r="S1" s="2073" t="s">
        <v>2441</v>
      </c>
      <c r="T1" s="2073" t="s">
        <v>2442</v>
      </c>
      <c r="U1" s="2073" t="s">
        <v>2443</v>
      </c>
      <c r="V1" s="2073" t="s">
        <v>2444</v>
      </c>
      <c r="W1" s="2074"/>
      <c r="X1" s="2074"/>
      <c r="Y1" s="2074"/>
      <c r="Z1" s="2074"/>
      <c r="AA1" s="2074"/>
      <c r="AB1" s="2074"/>
      <c r="AC1" s="2074"/>
      <c r="AD1" s="2075"/>
      <c r="AE1" s="2075"/>
      <c r="AF1" s="2075"/>
      <c r="AG1" s="2075"/>
      <c r="AH1" s="2075"/>
      <c r="AI1" s="2075"/>
      <c r="AJ1" s="2076"/>
    </row>
    <row r="2" spans="1:36" ht="24.75">
      <c r="A2" s="1930" t="s">
        <v>2445</v>
      </c>
      <c r="B2" s="1628">
        <f>C26</f>
        <v>0</v>
      </c>
      <c r="C2" s="2077" t="s">
        <v>2446</v>
      </c>
      <c r="D2" s="1571" t="s">
        <v>2447</v>
      </c>
      <c r="E2" s="2078" t="s">
        <v>2984</v>
      </c>
      <c r="F2" s="1571" t="s">
        <v>2448</v>
      </c>
      <c r="G2" s="2079" t="str">
        <f>项目基本情况!F9</f>
        <v>四级</v>
      </c>
      <c r="H2" s="1572" t="s">
        <v>2449</v>
      </c>
      <c r="I2" s="2079" t="str">
        <f>项目基本情况!F10</f>
        <v>Ⅳ-19</v>
      </c>
      <c r="J2" s="2080"/>
      <c r="K2" s="3019"/>
      <c r="L2" s="2081" t="s">
        <v>2450</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1.8629</v>
      </c>
      <c r="T2" s="2073">
        <f>ROUND($C$5*$C$18*$C$19*$C$20*S2*$C$24,0)</f>
        <v>41067</v>
      </c>
      <c r="U2" s="2084"/>
      <c r="V2" s="2073">
        <f t="shared" ref="V2:V8" si="0">ROUND(T2*U2,0)</f>
        <v>0</v>
      </c>
      <c r="W2" s="2074"/>
      <c r="X2" s="2074"/>
      <c r="Y2" s="2074"/>
      <c r="Z2" s="2074"/>
      <c r="AA2" s="2074"/>
      <c r="AB2" s="2074"/>
      <c r="AC2" s="2074"/>
      <c r="AD2" s="2075"/>
      <c r="AE2" s="2075"/>
      <c r="AF2" s="2075"/>
      <c r="AG2" s="2075"/>
      <c r="AH2" s="2075"/>
      <c r="AI2" s="2075"/>
      <c r="AJ2" s="2076"/>
    </row>
    <row r="3" spans="1:36" ht="15.75">
      <c r="A3" s="1628" t="s">
        <v>2451</v>
      </c>
      <c r="B3" s="1628">
        <f>ROUND(B2/D1,0)</f>
        <v>0</v>
      </c>
      <c r="C3" s="2077" t="s">
        <v>2452</v>
      </c>
      <c r="D3" s="1571" t="s">
        <v>2453</v>
      </c>
      <c r="E3" s="2078" t="s">
        <v>2991</v>
      </c>
      <c r="F3" s="1573" t="s">
        <v>2454</v>
      </c>
      <c r="G3" s="2085">
        <f>项目基本情况!C15</f>
        <v>3.5</v>
      </c>
      <c r="H3" s="50" t="s">
        <v>2455</v>
      </c>
      <c r="I3" s="2086">
        <v>2</v>
      </c>
      <c r="J3" s="2080" t="s">
        <v>2456</v>
      </c>
      <c r="K3" s="3019"/>
      <c r="L3" s="2081" t="s">
        <v>2457</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1.3371999999999999</v>
      </c>
      <c r="T3" s="2073">
        <f t="shared" ref="T3:T16" si="1">ROUND($C$5*$C$18*$C$19*$C$20*S3*$C$24,0)</f>
        <v>29478</v>
      </c>
      <c r="U3" s="2084"/>
      <c r="V3" s="2073">
        <f t="shared" si="0"/>
        <v>0</v>
      </c>
      <c r="W3" s="2074"/>
      <c r="X3" s="2074"/>
      <c r="Y3" s="2074"/>
      <c r="Z3" s="2074"/>
      <c r="AA3" s="2074"/>
      <c r="AB3" s="2074"/>
      <c r="AC3" s="2074"/>
      <c r="AD3" s="2075"/>
      <c r="AE3" s="2075"/>
      <c r="AF3" s="2075"/>
      <c r="AG3" s="2075"/>
      <c r="AH3" s="2075"/>
      <c r="AI3" s="2075"/>
      <c r="AJ3" s="2076"/>
    </row>
    <row r="4" spans="1:36" ht="15.75">
      <c r="A4" s="3683"/>
      <c r="B4" s="3684"/>
      <c r="C4" s="3684"/>
      <c r="D4" s="3685"/>
      <c r="E4" s="3685"/>
      <c r="F4" s="3685"/>
      <c r="G4" s="3685"/>
      <c r="H4" s="3685"/>
      <c r="I4" s="3685"/>
      <c r="J4" s="3686"/>
      <c r="K4" s="3019"/>
      <c r="L4" s="2081" t="s">
        <v>2458</v>
      </c>
      <c r="M4" s="2082">
        <f>SUMPRODUCT((区片价!B49:B75=I2)*(区片价!C3:F3=E2)*(区片价!C49:F75))</f>
        <v>16080</v>
      </c>
      <c r="N4" s="2083">
        <f>SUMPRODUCT((因素修正幅度!B49:B75=I2)*(因素修正幅度!C3:F3=E2)*(因素修正幅度!C49:F75))</f>
        <v>9.4E-2</v>
      </c>
      <c r="O4" s="3019"/>
      <c r="P4" s="3019"/>
      <c r="Q4" s="3019"/>
      <c r="R4" s="2073">
        <v>3</v>
      </c>
      <c r="S4" s="2073">
        <f>ROUND(IF(G3&gt;1,IF(R4&lt;7,SUMPRODUCT((B93:B98=R4)*(C92:N92=G2)*(C93:N98)),SUMIF(C92:N92,G2,C100:N100)),IF(R4&lt;7,SUMPRODUCT((B102:B107=R4)*(C92:N92=G2)*(C102:N107)),SUMIF(C92:N92,G2,C109:N109))),4)</f>
        <v>1.0788</v>
      </c>
      <c r="T4" s="2073">
        <f t="shared" si="1"/>
        <v>23782</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2459</v>
      </c>
      <c r="B5" s="1574" t="s">
        <v>2460</v>
      </c>
      <c r="C5" s="2087">
        <f>ROUND(IF(E2="商业",C6*C7+C16,(IF(E2="住宅",C6*C12+C16,C6+C16))),0)</f>
        <v>16044</v>
      </c>
      <c r="D5" s="2088">
        <f>ROUND(C6+C16,0)</f>
        <v>16044</v>
      </c>
      <c r="E5" s="2088"/>
      <c r="F5" s="2089"/>
      <c r="G5" s="2090"/>
      <c r="H5" s="2090"/>
      <c r="I5" s="2090"/>
      <c r="J5" s="2047"/>
      <c r="K5" s="1636"/>
      <c r="L5" s="2081" t="s">
        <v>2461</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0.86560000000000004</v>
      </c>
      <c r="T5" s="2073">
        <f t="shared" si="1"/>
        <v>19082</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2462</v>
      </c>
      <c r="C6" s="2096">
        <f>SUMIF(L1:L12,G2,M1:M12)</f>
        <v>16080</v>
      </c>
      <c r="D6" s="2097" t="s">
        <v>2463</v>
      </c>
      <c r="E6" s="1575"/>
      <c r="F6" s="1575"/>
      <c r="G6" s="2098"/>
      <c r="H6" s="2098"/>
      <c r="I6" s="2098"/>
      <c r="J6" s="2099"/>
      <c r="K6" s="3020"/>
      <c r="L6" s="2081" t="s">
        <v>2464</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0.73709999999999998</v>
      </c>
      <c r="T6" s="2073">
        <f t="shared" si="1"/>
        <v>16249</v>
      </c>
      <c r="U6" s="2084"/>
      <c r="V6" s="2073">
        <f t="shared" si="0"/>
        <v>0</v>
      </c>
      <c r="W6" s="2074"/>
      <c r="X6" s="2074"/>
      <c r="Y6" s="2074"/>
      <c r="Z6" s="2074"/>
      <c r="AA6" s="2074"/>
      <c r="AB6" s="2074"/>
      <c r="AC6" s="2091"/>
      <c r="AD6" s="2092"/>
      <c r="AE6" s="2092"/>
      <c r="AF6" s="2092"/>
      <c r="AG6" s="2092"/>
      <c r="AH6" s="2092"/>
      <c r="AI6" s="2092"/>
      <c r="AJ6" s="2093"/>
    </row>
    <row r="7" spans="1:36" ht="24">
      <c r="A7" s="3687" t="str">
        <f>IF(E2="商业",IF(C8="不临58条商业街","",2),"")</f>
        <v/>
      </c>
      <c r="B7" s="1576" t="s">
        <v>2465</v>
      </c>
      <c r="C7" s="2100">
        <f>IF(C8="不临58条商业街",1,ROUND(1+(1.6*E8+1.2*E9+0.8*E10+0.4*E11)*C9,4))</f>
        <v>1</v>
      </c>
      <c r="D7" s="2101" t="s">
        <v>2466</v>
      </c>
      <c r="E7" s="2102"/>
      <c r="F7" s="2103"/>
      <c r="G7" s="2103"/>
      <c r="H7" s="2103"/>
      <c r="I7" s="2103"/>
      <c r="J7" s="2104"/>
      <c r="K7" s="3020"/>
      <c r="L7" s="2081" t="s">
        <v>2467</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0.6482</v>
      </c>
      <c r="T7" s="2073">
        <f t="shared" si="1"/>
        <v>14289</v>
      </c>
      <c r="U7" s="2084"/>
      <c r="V7" s="2073">
        <f t="shared" si="0"/>
        <v>0</v>
      </c>
      <c r="W7" s="2105" t="s">
        <v>2468</v>
      </c>
      <c r="X7" s="2106" t="str">
        <f>G2</f>
        <v>四级</v>
      </c>
      <c r="Y7" s="2106" t="s">
        <v>2469</v>
      </c>
      <c r="Z7" s="2107">
        <f>G3</f>
        <v>3.5</v>
      </c>
      <c r="AA7" s="2074"/>
      <c r="AB7" s="2074"/>
      <c r="AC7" s="2074"/>
      <c r="AD7" s="2075"/>
      <c r="AE7" s="2075"/>
      <c r="AF7" s="2075"/>
      <c r="AG7" s="2075"/>
      <c r="AH7" s="2075"/>
      <c r="AI7" s="2075"/>
      <c r="AJ7" s="2076"/>
    </row>
    <row r="8" spans="1:36" ht="15">
      <c r="A8" s="3688"/>
      <c r="B8" s="50" t="s">
        <v>2470</v>
      </c>
      <c r="C8" s="2108" t="s">
        <v>2998</v>
      </c>
      <c r="D8" s="65" t="s">
        <v>89</v>
      </c>
      <c r="E8" s="2109" t="e">
        <f>ROUND(C11/E7,4)</f>
        <v>#DIV/0!</v>
      </c>
      <c r="F8" s="2110" t="s">
        <v>2471</v>
      </c>
      <c r="G8" s="2111"/>
      <c r="H8" s="2111"/>
      <c r="I8" s="2111"/>
      <c r="J8" s="2112"/>
      <c r="K8" s="3019"/>
      <c r="L8" s="2081" t="s">
        <v>2472</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681" t="s">
        <v>2473</v>
      </c>
      <c r="X8" s="3682"/>
      <c r="Y8" s="2113" t="s">
        <v>2474</v>
      </c>
      <c r="Z8" s="2113" t="s">
        <v>2475</v>
      </c>
      <c r="AA8" s="2113" t="s">
        <v>2476</v>
      </c>
      <c r="AB8" s="2113" t="s">
        <v>2477</v>
      </c>
      <c r="AC8" s="2113" t="s">
        <v>2478</v>
      </c>
      <c r="AD8" s="2113" t="s">
        <v>2479</v>
      </c>
      <c r="AE8" s="2113" t="s">
        <v>2480</v>
      </c>
      <c r="AF8" s="2113" t="s">
        <v>2481</v>
      </c>
      <c r="AG8" s="2113" t="s">
        <v>2482</v>
      </c>
      <c r="AH8" s="2113" t="s">
        <v>2483</v>
      </c>
      <c r="AI8" s="2113" t="s">
        <v>2484</v>
      </c>
      <c r="AJ8" s="2113" t="s">
        <v>2485</v>
      </c>
    </row>
    <row r="9" spans="1:36" ht="15">
      <c r="A9" s="3688"/>
      <c r="B9" s="50" t="s">
        <v>2486</v>
      </c>
      <c r="C9" s="2114">
        <f>SUMIF(修正!C59:C119,C8,修正!E59:E119)</f>
        <v>0</v>
      </c>
      <c r="D9" s="50" t="s">
        <v>90</v>
      </c>
      <c r="E9" s="50" t="e">
        <f>ROUND(C11/E7,4)</f>
        <v>#DIV/0!</v>
      </c>
      <c r="F9" s="2110" t="s">
        <v>2487</v>
      </c>
      <c r="G9" s="2111"/>
      <c r="H9" s="2111"/>
      <c r="I9" s="2111"/>
      <c r="J9" s="2112"/>
      <c r="K9" s="3019"/>
      <c r="L9" s="2081" t="s">
        <v>2488</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82" t="s">
        <v>2489</v>
      </c>
      <c r="X9" s="2115" t="s">
        <v>2490</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88"/>
      <c r="B10" s="50" t="s">
        <v>2491</v>
      </c>
      <c r="C10" s="50">
        <f>SUMIF(修正!C59:C119,C8,修正!F59:F119)</f>
        <v>0</v>
      </c>
      <c r="D10" s="50" t="s">
        <v>91</v>
      </c>
      <c r="E10" s="50" t="e">
        <f>ROUND(C11/E7,4)</f>
        <v>#DIV/0!</v>
      </c>
      <c r="F10" s="2110" t="s">
        <v>2492</v>
      </c>
      <c r="G10" s="2111"/>
      <c r="H10" s="2111"/>
      <c r="I10" s="2111"/>
      <c r="J10" s="2112"/>
      <c r="K10" s="3019"/>
      <c r="L10" s="2081" t="s">
        <v>2493</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82"/>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88"/>
      <c r="B11" s="1577" t="s">
        <v>2494</v>
      </c>
      <c r="C11" s="1577">
        <f>C10/4</f>
        <v>0</v>
      </c>
      <c r="D11" s="1577" t="s">
        <v>92</v>
      </c>
      <c r="E11" s="1577" t="e">
        <f>ROUND(C11/E7,4)</f>
        <v>#DIV/0!</v>
      </c>
      <c r="F11" s="2119" t="s">
        <v>2495</v>
      </c>
      <c r="G11" s="2120"/>
      <c r="H11" s="2120"/>
      <c r="I11" s="2120"/>
      <c r="J11" s="2121"/>
      <c r="K11" s="3019"/>
      <c r="L11" s="2081" t="s">
        <v>2496</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82" t="s">
        <v>2497</v>
      </c>
      <c r="X11" s="2122" t="s">
        <v>2498</v>
      </c>
      <c r="Y11" s="2123">
        <f>$G$3</f>
        <v>3.5</v>
      </c>
      <c r="Z11" s="2123">
        <f t="shared" ref="Z11:AJ11" si="4">$G$3</f>
        <v>3.5</v>
      </c>
      <c r="AA11" s="2123">
        <f t="shared" si="4"/>
        <v>3.5</v>
      </c>
      <c r="AB11" s="2123">
        <f t="shared" si="4"/>
        <v>3.5</v>
      </c>
      <c r="AC11" s="2123">
        <f t="shared" si="4"/>
        <v>3.5</v>
      </c>
      <c r="AD11" s="2123">
        <f t="shared" si="4"/>
        <v>3.5</v>
      </c>
      <c r="AE11" s="2123">
        <f t="shared" si="4"/>
        <v>3.5</v>
      </c>
      <c r="AF11" s="2123">
        <f t="shared" si="4"/>
        <v>3.5</v>
      </c>
      <c r="AG11" s="2123">
        <f t="shared" si="4"/>
        <v>3.5</v>
      </c>
      <c r="AH11" s="2123">
        <f t="shared" si="4"/>
        <v>3.5</v>
      </c>
      <c r="AI11" s="2123">
        <f t="shared" si="4"/>
        <v>3.5</v>
      </c>
      <c r="AJ11" s="2123">
        <f t="shared" si="4"/>
        <v>3.5</v>
      </c>
    </row>
    <row r="12" spans="1:36" ht="25.5" thickBot="1">
      <c r="A12" s="3687" t="str">
        <f>IF(E2="住宅",2,"")</f>
        <v/>
      </c>
      <c r="B12" s="1578" t="s">
        <v>2499</v>
      </c>
      <c r="C12" s="2100">
        <f>ROUND(C15*D15*E15*F15*G15*H15*I15*J15,4)</f>
        <v>1.32</v>
      </c>
      <c r="D12" s="2124" t="s">
        <v>2500</v>
      </c>
      <c r="E12" s="2125"/>
      <c r="F12" s="2125"/>
      <c r="G12" s="2125"/>
      <c r="H12" s="2125"/>
      <c r="I12" s="2125"/>
      <c r="J12" s="2126"/>
      <c r="K12" s="3019"/>
      <c r="L12" s="2127" t="s">
        <v>2501</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82"/>
      <c r="X12" s="2130" t="s">
        <v>2502</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89"/>
      <c r="B13" s="1579" t="s">
        <v>2503</v>
      </c>
      <c r="C13" s="2131" t="s">
        <v>2504</v>
      </c>
      <c r="D13" s="1580" t="s">
        <v>2505</v>
      </c>
      <c r="E13" s="1580" t="s">
        <v>2506</v>
      </c>
      <c r="F13" s="264" t="s">
        <v>2507</v>
      </c>
      <c r="G13" s="2132" t="s">
        <v>2508</v>
      </c>
      <c r="H13" s="2132" t="s">
        <v>2508</v>
      </c>
      <c r="I13" s="2132" t="s">
        <v>2508</v>
      </c>
      <c r="J13" s="2133" t="s">
        <v>2508</v>
      </c>
      <c r="K13" s="3019"/>
      <c r="L13" s="3019"/>
      <c r="M13" s="3019"/>
      <c r="N13" s="3019"/>
      <c r="O13" s="3019"/>
      <c r="P13" s="3019"/>
      <c r="Q13" s="3019"/>
      <c r="R13" s="2073">
        <v>12</v>
      </c>
      <c r="S13" s="2084"/>
      <c r="T13" s="2073">
        <f t="shared" si="1"/>
        <v>0</v>
      </c>
      <c r="U13" s="2084"/>
      <c r="V13" s="2073">
        <f t="shared" si="2"/>
        <v>0</v>
      </c>
      <c r="W13" s="3682"/>
      <c r="X13" s="2130"/>
      <c r="Y13" s="2118">
        <f>(-0.163*(Y12^2)-0.59*Y12+7617)*(10^(-4))/Y11</f>
        <v>0.21762857142857145</v>
      </c>
      <c r="Z13" s="2118">
        <f t="shared" ref="Z13:AJ13" si="6">(-0.163*(Z12^2)-0.59*Z12+7617)*(10^(-4))/Z11</f>
        <v>0.21762857142857145</v>
      </c>
      <c r="AA13" s="2118">
        <f t="shared" si="6"/>
        <v>0.21762857142857145</v>
      </c>
      <c r="AB13" s="2118">
        <f t="shared" si="6"/>
        <v>0.21762857142857145</v>
      </c>
      <c r="AC13" s="2118">
        <f t="shared" si="6"/>
        <v>0.21762857142857145</v>
      </c>
      <c r="AD13" s="2118">
        <f t="shared" si="6"/>
        <v>0.21762857142857145</v>
      </c>
      <c r="AE13" s="2118">
        <f t="shared" si="6"/>
        <v>0.21762857142857145</v>
      </c>
      <c r="AF13" s="2118">
        <f t="shared" si="6"/>
        <v>0.21762857142857145</v>
      </c>
      <c r="AG13" s="2118">
        <f t="shared" si="6"/>
        <v>0.21762857142857145</v>
      </c>
      <c r="AH13" s="2118">
        <f t="shared" si="6"/>
        <v>0.21762857142857145</v>
      </c>
      <c r="AI13" s="2118">
        <f t="shared" si="6"/>
        <v>0.21762857142857145</v>
      </c>
      <c r="AJ13" s="2118">
        <f t="shared" si="6"/>
        <v>0.21762857142857145</v>
      </c>
    </row>
    <row r="14" spans="1:36" ht="15">
      <c r="A14" s="3689"/>
      <c r="B14" s="1580"/>
      <c r="C14" s="2134" t="s">
        <v>2509</v>
      </c>
      <c r="D14" s="2135" t="s">
        <v>2510</v>
      </c>
      <c r="E14" s="2135" t="s">
        <v>2510</v>
      </c>
      <c r="F14" s="2136" t="s">
        <v>2511</v>
      </c>
      <c r="G14" s="2137" t="s">
        <v>2512</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90"/>
      <c r="B15" s="1581" t="s">
        <v>2513</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91">
        <f>IF(E2="办公",2,IF(E2="工业",2,IF(E2="住宅",3,IF(E2="商业",IF(C8="不临58条商业街",2,3)))))</f>
        <v>2</v>
      </c>
      <c r="B16" s="1600" t="s">
        <v>2519</v>
      </c>
      <c r="C16" s="1576">
        <f>ROUND(IF(F17="与级别开发程度一致",0,(G17-E17)/C17),0)</f>
        <v>-36</v>
      </c>
      <c r="D16" s="3704" t="s">
        <v>2523</v>
      </c>
      <c r="E16" s="3705"/>
      <c r="F16" s="3704" t="s">
        <v>2520</v>
      </c>
      <c r="G16" s="3705"/>
      <c r="H16" s="2144" t="s">
        <v>2992</v>
      </c>
      <c r="I16" s="2144" t="s">
        <v>2993</v>
      </c>
      <c r="J16" s="2145" t="s">
        <v>2994</v>
      </c>
      <c r="K16" s="2144" t="s">
        <v>2995</v>
      </c>
      <c r="L16" s="2144" t="s">
        <v>2996</v>
      </c>
      <c r="M16" s="2144" t="s">
        <v>2997</v>
      </c>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92"/>
      <c r="B17" s="1601" t="s">
        <v>2522</v>
      </c>
      <c r="C17" s="2147">
        <f>SUMPRODUCT((修正!A2:A5=E2)*(修正!B1:M1=G2)*(修正!B2:M5))</f>
        <v>2.5</v>
      </c>
      <c r="D17" s="2141" t="str">
        <f>IF(OR(G2="八级",G2="九级",G2="十级",G2="十一级",G2="十二级"),"五通一平","七通一平")</f>
        <v>七通一平</v>
      </c>
      <c r="E17" s="2148">
        <f>SUMPRODUCT((修正!B1:M1=G2)*(修正!B15:M15))</f>
        <v>300</v>
      </c>
      <c r="F17" s="2149" t="s">
        <v>3003</v>
      </c>
      <c r="G17" s="1590">
        <f>SUM(H17:O17)</f>
        <v>210</v>
      </c>
      <c r="H17" s="2147">
        <f>SUMPRODUCT((七通一平=H16)*(修正!B1:M1=G2)*(修正!B6:M14))</f>
        <v>65</v>
      </c>
      <c r="I17" s="2147">
        <f>SUMPRODUCT((七通一平=I16)*(修正!B1:M1=G2)*(修正!B6:M14))</f>
        <v>55</v>
      </c>
      <c r="J17" s="2150">
        <f>SUMPRODUCT((七通一平=J16)*(修正!B1:M1=G2)*(修正!B6:M14))</f>
        <v>15</v>
      </c>
      <c r="K17" s="2147">
        <f>SUMPRODUCT((七通一平=K16)*(修正!B1:M1=G2)*(修正!B6:M14))</f>
        <v>25</v>
      </c>
      <c r="L17" s="2147">
        <f>SUMPRODUCT((七通一平=L16)*(修正!B1:M1=G2)*(修正!B6:M14))</f>
        <v>35</v>
      </c>
      <c r="M17" s="2147">
        <f>SUMPRODUCT((七通一平=M16)*(修正!B1:M1=G2)*(修正!B6:M14))</f>
        <v>15</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2525</v>
      </c>
      <c r="B18" s="1599" t="s">
        <v>2526</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2527</v>
      </c>
      <c r="B19" s="1582" t="s">
        <v>2528</v>
      </c>
      <c r="C19" s="2158">
        <f>ROUND(IF(H19="按公示增长率计算",SUMPRODUCT((地价!A3:A37=YEAR(G19)&amp;"-"&amp;ROUNDUP(MONTH(G19)/3,0))*(地价!X2:AB2=E2)*(地价!X3:AB37)),IF(H19="地价指数",M20/M19,(1+I19)^O19)),4)</f>
        <v>1.3644000000000001</v>
      </c>
      <c r="D19" s="2159" t="s">
        <v>2529</v>
      </c>
      <c r="E19" s="2160">
        <v>41640</v>
      </c>
      <c r="F19" s="2159" t="s">
        <v>2530</v>
      </c>
      <c r="G19" s="2161">
        <f>'数据-取费表'!B2</f>
        <v>44644</v>
      </c>
      <c r="H19" s="2162" t="s">
        <v>2665</v>
      </c>
      <c r="I19" s="2163" t="str">
        <f>IF(H19="季度增幅（自定义）",SUMIF(N21:N24,E2,O21:O24),"")</f>
        <v/>
      </c>
      <c r="J19" s="2164"/>
      <c r="K19" s="3021"/>
      <c r="L19" s="2045" t="s">
        <v>2531</v>
      </c>
      <c r="M19" s="2165">
        <f>ROUND(SUMIF(地价!B2:F2,E2,地价!B37:F37),0)</f>
        <v>258</v>
      </c>
      <c r="N19" s="2166" t="s">
        <v>2532</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2533</v>
      </c>
      <c r="B20" s="1583" t="s">
        <v>2534</v>
      </c>
      <c r="C20" s="2170">
        <f>ROUND(POWER(1+G20,J20-I20)*(POWER(1+G20,I20)-1)/(POWER(1+G20,J20)-1),4)</f>
        <v>0.99039999999999995</v>
      </c>
      <c r="D20" s="2171" t="s">
        <v>2535</v>
      </c>
      <c r="E20" s="3124">
        <f>存贷款利率!E20/100</f>
        <v>4.3499999999999997E-2</v>
      </c>
      <c r="F20" s="2171" t="s">
        <v>2524</v>
      </c>
      <c r="G20" s="3125">
        <f>SUMIF(M26:P26,E2,M28:P28)</f>
        <v>5.3999999999999999E-2</v>
      </c>
      <c r="H20" s="2171" t="s">
        <v>2536</v>
      </c>
      <c r="I20" s="2172">
        <f>'数据-取费表'!B13</f>
        <v>38.729999999999997</v>
      </c>
      <c r="J20" s="2173">
        <f>IF(E2="住宅",70,IF(E2="商业",40,50))</f>
        <v>40</v>
      </c>
      <c r="K20" s="3021"/>
      <c r="L20" s="2174" t="s">
        <v>2537</v>
      </c>
      <c r="M20" s="2175">
        <f>ROUND(SUMPRODUCT((地价!A4:A37=YEAR(G19)&amp;"-"&amp;ROUNDUP(MONTH(G19)/3,0))*(地价!B2:F2=E2)*(地价!B4:F37)),0)</f>
        <v>352</v>
      </c>
      <c r="N20" s="2176" t="s">
        <v>2538</v>
      </c>
      <c r="O20" s="2177" t="s">
        <v>2539</v>
      </c>
      <c r="P20" s="2178" t="s">
        <v>2540</v>
      </c>
      <c r="Q20" s="3021"/>
      <c r="R20" s="3019"/>
      <c r="S20" s="3019"/>
      <c r="T20" s="3019"/>
      <c r="U20" s="3019"/>
      <c r="V20" s="3019"/>
      <c r="W20" s="3019"/>
      <c r="X20" s="1592"/>
      <c r="Y20" s="1592"/>
      <c r="Z20" s="1592"/>
      <c r="AA20" s="1592"/>
      <c r="AB20" s="1592"/>
      <c r="AC20" s="1592"/>
      <c r="AD20" s="1592"/>
      <c r="AE20" s="2157"/>
      <c r="AF20" s="2157"/>
    </row>
    <row r="21" spans="1:35" s="2094" customFormat="1" ht="15">
      <c r="A21" s="2179" t="s">
        <v>2541</v>
      </c>
      <c r="B21" s="1584" t="s">
        <v>3002</v>
      </c>
      <c r="C21" s="2180">
        <f>IF(B21="容积率修正",IF(G3&lt;=10,D22,J22),C23)</f>
        <v>1.3371999999999999</v>
      </c>
      <c r="D21" s="2181"/>
      <c r="E21" s="2181"/>
      <c r="F21" s="2181"/>
      <c r="G21" s="2181"/>
      <c r="H21" s="2181"/>
      <c r="I21" s="2181"/>
      <c r="J21" s="2046"/>
      <c r="K21" s="3021"/>
      <c r="L21" s="3021"/>
      <c r="M21" s="3021"/>
      <c r="N21" s="2182" t="s">
        <v>2542</v>
      </c>
      <c r="O21" s="2183"/>
      <c r="P21" s="2184">
        <f>SUMPRODUCT((地价!A3:A37=YEAR(G19)&amp;"-"&amp;ROUNDUP(MONTH(G19)/3,0))*(地价!AD2:AH2=N21)*(地价!AD3:AH37))</f>
        <v>1.0200000000000001E-2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2543</v>
      </c>
      <c r="C22" s="2041" t="s">
        <v>2544</v>
      </c>
      <c r="D22" s="2041">
        <f>IF(E22=G22,F22,IF(G3&lt;=10,ROUND(F22+(H22-F22)*(G3-E22)/(G22-E22),4),"——"))</f>
        <v>0.89870000000000005</v>
      </c>
      <c r="E22" s="2085">
        <f>ROUNDDOWN(G3,1)</f>
        <v>3.5</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5">
        <f>ROUNDUP(G3,1)</f>
        <v>3.5</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1" t="s">
        <v>104</v>
      </c>
      <c r="J22" s="2185" t="str">
        <f>IF(G3&gt;10,D113,"——")</f>
        <v>——</v>
      </c>
      <c r="K22" s="3021"/>
      <c r="L22" s="3021"/>
      <c r="M22" s="3021"/>
      <c r="N22" s="2182" t="s">
        <v>2545</v>
      </c>
      <c r="O22" s="2183"/>
      <c r="P22" s="2184">
        <f>SUMPRODUCT((地价!A3:A37=YEAR(G19)&amp;"-"&amp;ROUNDUP(MONTH(G19)/3,0))*(地价!AD2:AH2=N22)*(地价!AD3:AH37))</f>
        <v>1.0200000000000001E-2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2546</v>
      </c>
      <c r="C23" s="2186">
        <f>ROUND(IF(G3&gt;1,IF(I3&lt;7,SUMPRODUCT((B93:B98=I3)*(C92:N92=G2)*(C93:N98)),SUMIF(C92:N92,G2,C100:N100)),IF(I3&lt;7,SUMPRODUCT((B102:B107=I3)*(C92:N92=G2)*(C102:N107)),SUMIF(C92:N92,G2,C109:N109))),4)</f>
        <v>1.3371999999999999</v>
      </c>
      <c r="D23" s="2138"/>
      <c r="E23" s="2138"/>
      <c r="F23" s="2187"/>
      <c r="G23" s="2188"/>
      <c r="H23" s="1589"/>
      <c r="I23" s="2041"/>
      <c r="J23" s="2185"/>
      <c r="K23" s="3019"/>
      <c r="L23" s="3019"/>
      <c r="M23" s="3019"/>
      <c r="N23" s="2182" t="s">
        <v>2547</v>
      </c>
      <c r="O23" s="2183"/>
      <c r="P23" s="2184">
        <f>SUMPRODUCT((地价!A3:A37=YEAR(G19)&amp;"-"&amp;ROUNDUP(MONTH(G19)/3,0))*(地价!AD2:AH2=N23)*(地价!AD3:AH37))</f>
        <v>1.77E-2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2548</v>
      </c>
      <c r="B24" s="1586" t="s">
        <v>2549</v>
      </c>
      <c r="C24" s="2190">
        <f>SUMIF(A46:A88,E2,B46:B88)</f>
        <v>1.0167999999999999</v>
      </c>
      <c r="D24" s="2191"/>
      <c r="E24" s="2192"/>
      <c r="F24" s="2192"/>
      <c r="G24" s="2192"/>
      <c r="H24" s="2192"/>
      <c r="I24" s="2192"/>
      <c r="J24" s="2193"/>
      <c r="K24" s="3021"/>
      <c r="L24" s="3021"/>
      <c r="M24" s="3021"/>
      <c r="N24" s="2194" t="s">
        <v>2550</v>
      </c>
      <c r="O24" s="2195"/>
      <c r="P24" s="2196">
        <f>SUMPRODUCT((地价!A3:A37=YEAR(G19)&amp;"-"&amp;ROUNDUP(MONTH(G19)/3,0))*(地价!AD2:AH2=N24)*(地价!AD3:AH37))</f>
        <v>1.18E-2</v>
      </c>
      <c r="Q24" s="3021"/>
      <c r="R24" s="3019"/>
      <c r="S24" s="3019"/>
      <c r="T24" s="3019"/>
      <c r="U24" s="3019"/>
      <c r="V24" s="3019"/>
      <c r="W24" s="3019"/>
      <c r="X24" s="1592"/>
      <c r="Y24" s="1592"/>
      <c r="Z24" s="1592"/>
      <c r="AA24" s="1592"/>
      <c r="AB24" s="1592"/>
      <c r="AC24" s="1592"/>
      <c r="AD24" s="1592"/>
      <c r="AE24" s="2157"/>
      <c r="AF24" s="2157"/>
    </row>
    <row r="25" spans="1:35" ht="15" thickBot="1">
      <c r="A25" s="1687" t="s">
        <v>2551</v>
      </c>
      <c r="B25" s="1587" t="s">
        <v>2552</v>
      </c>
      <c r="C25" s="2197"/>
      <c r="D25" s="2103"/>
      <c r="E25" s="2103"/>
      <c r="F25" s="2198"/>
      <c r="G25" s="2103"/>
      <c r="H25" s="2103"/>
      <c r="I25" s="2103"/>
      <c r="J25" s="2104"/>
      <c r="K25" s="3019"/>
      <c r="L25" s="3019"/>
      <c r="M25" s="3019"/>
      <c r="N25" s="3022" t="s">
        <v>2553</v>
      </c>
      <c r="O25" s="3023"/>
      <c r="P25" s="3024">
        <f>SUMPRODUCT((地价!A3:A37=YEAR(G19)&amp;"-"&amp;ROUNDUP(MONTH(G19)/3,0))*(地价!AD2:AH2=N25)*(地价!AD3:AH37))</f>
        <v>1.61E-2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2554</v>
      </c>
      <c r="C26" s="2859">
        <f>IF(B21="容积率修正",E29+SUM(E33:E39),SUM(V2:V16)+SUM(E33:E39))</f>
        <v>0</v>
      </c>
      <c r="D26" s="2199"/>
      <c r="E26" s="2138"/>
      <c r="F26" s="1447"/>
      <c r="G26" s="2138"/>
      <c r="H26" s="2138"/>
      <c r="I26" s="2138"/>
      <c r="J26" s="2200"/>
      <c r="K26" s="3019"/>
      <c r="L26" s="3025" t="s">
        <v>2514</v>
      </c>
      <c r="M26" s="2101" t="s">
        <v>2515</v>
      </c>
      <c r="N26" s="2101" t="s">
        <v>2516</v>
      </c>
      <c r="O26" s="2101" t="s">
        <v>2517</v>
      </c>
      <c r="P26" s="3026" t="s">
        <v>2518</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2555</v>
      </c>
      <c r="C27" s="2201">
        <f>E30+SUM(I33:I39)</f>
        <v>0</v>
      </c>
      <c r="D27" s="2150"/>
      <c r="E27" s="2202"/>
      <c r="F27" s="2203"/>
      <c r="G27" s="2202"/>
      <c r="H27" s="2202"/>
      <c r="I27" s="2202"/>
      <c r="J27" s="2204"/>
      <c r="K27" s="3019"/>
      <c r="L27" s="2205" t="s">
        <v>2521</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2556</v>
      </c>
      <c r="C28" s="2208" t="s">
        <v>2557</v>
      </c>
      <c r="D28" s="2208" t="s">
        <v>2558</v>
      </c>
      <c r="E28" s="1587" t="s">
        <v>2559</v>
      </c>
      <c r="F28" s="2209"/>
      <c r="G28" s="2125"/>
      <c r="H28" s="2125"/>
      <c r="I28" s="2125"/>
      <c r="J28" s="2126"/>
      <c r="K28" s="3019"/>
      <c r="L28" s="2210" t="s">
        <v>2524</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2560</v>
      </c>
      <c r="C29" s="54">
        <f>ROUND(C5*C18*C19*C20*C21*C24,0)</f>
        <v>29478</v>
      </c>
      <c r="D29" s="2213">
        <f>项目基本情况!C12</f>
        <v>447.86</v>
      </c>
      <c r="E29" s="2000">
        <f>ROUND(C29*D29,0)</f>
        <v>13202017</v>
      </c>
      <c r="F29" s="2214" t="s">
        <v>2561</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2562</v>
      </c>
      <c r="C30" s="2141">
        <f>ROUND(IF(E2="工业",C29*M39,C29*M38),0)</f>
        <v>7370</v>
      </c>
      <c r="D30" s="2218"/>
      <c r="E30" s="2000">
        <f>ROUND(C30*D30,0)</f>
        <v>0</v>
      </c>
      <c r="F30" s="2219" t="s">
        <v>2563</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2564</v>
      </c>
      <c r="C31" s="2223" t="s">
        <v>2565</v>
      </c>
      <c r="D31" s="2125"/>
      <c r="E31" s="2223"/>
      <c r="F31" s="2223"/>
      <c r="G31" s="2124" t="s">
        <v>2566</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2557</v>
      </c>
      <c r="D32" s="1777" t="s">
        <v>2558</v>
      </c>
      <c r="E32" s="1777" t="s">
        <v>2559</v>
      </c>
      <c r="F32" s="50" t="s">
        <v>2567</v>
      </c>
      <c r="G32" s="2186" t="s">
        <v>2557</v>
      </c>
      <c r="H32" s="2186" t="s">
        <v>2558</v>
      </c>
      <c r="I32" s="2186" t="s">
        <v>2559</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701" t="s">
        <v>2568</v>
      </c>
      <c r="B33" s="2226" t="s">
        <v>2569</v>
      </c>
      <c r="C33" s="54">
        <f>ROUND(D5*C19*C20*C24*F33,0)</f>
        <v>15431</v>
      </c>
      <c r="D33" s="2213"/>
      <c r="E33" s="50">
        <f t="shared" ref="E33:E39" si="7">ROUND(C33*D33,0)</f>
        <v>0</v>
      </c>
      <c r="F33" s="50">
        <f>SUMIF(修正!A45:A56,G2,修正!B45:B56)</f>
        <v>0.7</v>
      </c>
      <c r="G33" s="50">
        <f t="shared" ref="G33" si="8">ROUND(IF(E2="工业",C33*$M$39,C33*$M$38),0)</f>
        <v>3858</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702"/>
      <c r="B34" s="2131" t="s">
        <v>2570</v>
      </c>
      <c r="C34" s="54">
        <f>ROUND(D5*C19*C20*C24*F34,0)</f>
        <v>8818</v>
      </c>
      <c r="D34" s="2213"/>
      <c r="E34" s="50">
        <f t="shared" si="7"/>
        <v>0</v>
      </c>
      <c r="F34" s="50">
        <f>SUMIF(修正!A45:A56,G2,修正!C45:C56)</f>
        <v>0.4</v>
      </c>
      <c r="G34" s="50">
        <f>ROUND(IF(E2="工业",C34*$M$39,C34*$M$38),0)</f>
        <v>2205</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702"/>
      <c r="B35" s="2131" t="s">
        <v>2571</v>
      </c>
      <c r="C35" s="54">
        <f>ROUND(D5*C19*C20*C24*F35,0)</f>
        <v>6172</v>
      </c>
      <c r="D35" s="2213"/>
      <c r="E35" s="50">
        <f t="shared" si="7"/>
        <v>0</v>
      </c>
      <c r="F35" s="50">
        <f>SUMIF(修正!A45:A56,G2,修正!D45:D56)</f>
        <v>0.28000000000000003</v>
      </c>
      <c r="G35" s="50">
        <f>ROUND(IF(E2="工业",C35*$M$39,C35*$M$38),0)</f>
        <v>1543</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703"/>
      <c r="B36" s="2131" t="s">
        <v>2572</v>
      </c>
      <c r="C36" s="54">
        <f>ROUND(D5*C19*C20*C24*F36,0)</f>
        <v>5511</v>
      </c>
      <c r="D36" s="2213"/>
      <c r="E36" s="50">
        <f t="shared" si="7"/>
        <v>0</v>
      </c>
      <c r="F36" s="50">
        <f>SUMIF(修正!A45:A56,G2,修正!E45:E56)</f>
        <v>0.25</v>
      </c>
      <c r="G36" s="50">
        <f>ROUND(IF(E2="工业",C36*$M$39,C36*$M$38),0)</f>
        <v>1378</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2573</v>
      </c>
      <c r="C37" s="50">
        <f>ROUND(D5*C19*C20*C24*F37,0)</f>
        <v>5511</v>
      </c>
      <c r="D37" s="2213"/>
      <c r="E37" s="50">
        <f t="shared" si="7"/>
        <v>0</v>
      </c>
      <c r="F37" s="54">
        <f>SUMIF(修正!A45:A56,G2,修正!F45:F56)</f>
        <v>0.25</v>
      </c>
      <c r="G37" s="50">
        <f>ROUND(IF(E2="工业",C37*$M$39,C37*$M$38),0)</f>
        <v>1378</v>
      </c>
      <c r="H37" s="50">
        <f t="shared" si="10"/>
        <v>0</v>
      </c>
      <c r="I37" s="50">
        <f t="shared" si="9"/>
        <v>0</v>
      </c>
      <c r="J37" s="2200"/>
      <c r="K37" s="3019"/>
      <c r="L37" s="2228" t="s">
        <v>2574</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2575</v>
      </c>
      <c r="C38" s="50">
        <f>ROUND(D5*C19*C41*C24*F38,0)</f>
        <v>0</v>
      </c>
      <c r="D38" s="2213"/>
      <c r="E38" s="50">
        <f t="shared" si="7"/>
        <v>0</v>
      </c>
      <c r="F38" s="54">
        <f>SUMIF(修正!A45:A56,G2,修正!G45:G56)</f>
        <v>0.25</v>
      </c>
      <c r="G38" s="50">
        <f>ROUND(IF(E2="工业",C38*$M$39,C38*$M$38),0)</f>
        <v>0</v>
      </c>
      <c r="H38" s="50">
        <f t="shared" si="10"/>
        <v>0</v>
      </c>
      <c r="I38" s="50">
        <f t="shared" si="9"/>
        <v>0</v>
      </c>
      <c r="J38" s="2200"/>
      <c r="K38" s="3019"/>
      <c r="L38" s="2229" t="s">
        <v>2576</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2577</v>
      </c>
      <c r="C39" s="2141">
        <f>ROUND(D5*C19*C41*C24*F39,0)</f>
        <v>0</v>
      </c>
      <c r="D39" s="2218"/>
      <c r="E39" s="2141">
        <f t="shared" si="7"/>
        <v>0</v>
      </c>
      <c r="F39" s="56">
        <f>SUMIF(修正!A45:A56,G2,修正!H45:H56)</f>
        <v>0.2</v>
      </c>
      <c r="G39" s="2141">
        <f>ROUND(IF(E2="工业",C39*$M$39,C39*$M$38),0)</f>
        <v>0</v>
      </c>
      <c r="H39" s="2141">
        <f t="shared" si="10"/>
        <v>0</v>
      </c>
      <c r="I39" s="2141">
        <f t="shared" si="9"/>
        <v>0</v>
      </c>
      <c r="J39" s="2204"/>
      <c r="K39" s="3019"/>
      <c r="L39" s="2232" t="s">
        <v>2518</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2657</v>
      </c>
      <c r="C41" s="50">
        <f>ROUND(POWER(1+E41,H41-G41)*(POWER(1+E41,G41)-1)/(POWER(1+E41,H41)-1),4)</f>
        <v>0</v>
      </c>
      <c r="D41" s="50" t="s">
        <v>2655</v>
      </c>
      <c r="E41" s="2236">
        <f>G20</f>
        <v>5.3999999999999999E-2</v>
      </c>
      <c r="F41" s="50" t="s">
        <v>2656</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2578</v>
      </c>
      <c r="B45" s="2239"/>
      <c r="C45" s="607"/>
      <c r="D45" s="607"/>
      <c r="E45" s="607"/>
      <c r="F45" s="607"/>
      <c r="G45" s="607"/>
      <c r="H45" s="607"/>
      <c r="I45" s="607"/>
      <c r="J45" s="607"/>
      <c r="K45" s="607"/>
      <c r="L45" s="607"/>
      <c r="M45" s="607"/>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2579</v>
      </c>
      <c r="B46" s="2241">
        <f>1+E48</f>
        <v>1.0167999999999999</v>
      </c>
      <c r="C46" s="2242"/>
      <c r="D46" s="2243"/>
      <c r="E46" s="2244"/>
      <c r="F46" s="2245"/>
      <c r="G46" s="607"/>
      <c r="H46" s="607"/>
      <c r="I46" s="607"/>
      <c r="J46" s="607"/>
      <c r="K46" s="607"/>
      <c r="L46" s="607"/>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2580</v>
      </c>
      <c r="B47" s="2248" t="s">
        <v>2581</v>
      </c>
      <c r="C47" s="2248" t="s">
        <v>2582</v>
      </c>
      <c r="D47" s="2248" t="s">
        <v>2583</v>
      </c>
      <c r="E47" s="2249" t="s">
        <v>2584</v>
      </c>
      <c r="F47" s="2199" t="s">
        <v>2585</v>
      </c>
      <c r="G47" s="2248" t="s">
        <v>2586</v>
      </c>
      <c r="H47" s="2250" t="s">
        <v>2587</v>
      </c>
      <c r="I47" s="2248" t="s">
        <v>2588</v>
      </c>
      <c r="J47" s="1875" t="s">
        <v>2589</v>
      </c>
      <c r="K47" s="1875" t="s">
        <v>2590</v>
      </c>
      <c r="L47" s="1875" t="s">
        <v>2591</v>
      </c>
      <c r="M47" s="1875" t="s">
        <v>2592</v>
      </c>
      <c r="N47" s="1875" t="s">
        <v>2593</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2594</v>
      </c>
      <c r="B48" s="2251" t="str">
        <f>估价对象房地状况!C16</f>
        <v>估价对象位于XX商圈，周边商业氛围成熟，人流量大，商业繁华度好</v>
      </c>
      <c r="C48" s="2135" t="s">
        <v>31</v>
      </c>
      <c r="D48" s="2252">
        <f t="shared" ref="D48:D56" si="11">SUMIF($J$47:$N$47,C48,J48:N48)</f>
        <v>0</v>
      </c>
      <c r="E48" s="2253">
        <f>ROUND(SUM(D48:D56),4)</f>
        <v>1.6799999999999999E-2</v>
      </c>
      <c r="F48" s="2254">
        <f>IF(E2="商业",SUMIF(L1:L12,G2,N1:N12),"——")</f>
        <v>9.4E-2</v>
      </c>
      <c r="G48" s="2255">
        <v>1.55E-2</v>
      </c>
      <c r="H48" s="2256">
        <f t="shared" ref="H48:H56" si="12">IFERROR(ROUNDDOWN($F$48*I48/2,4),"——")</f>
        <v>1.55E-2</v>
      </c>
      <c r="I48" s="2257">
        <v>0.33</v>
      </c>
      <c r="J48" s="2258">
        <f t="shared" ref="J48:J56" si="13">K48+$G48</f>
        <v>3.1E-2</v>
      </c>
      <c r="K48" s="2258">
        <f t="shared" ref="K48:K56" si="14">$L48+$G48</f>
        <v>1.55E-2</v>
      </c>
      <c r="L48" s="2258">
        <v>0</v>
      </c>
      <c r="M48" s="2258">
        <f t="shared" ref="M48:N56" si="15">L48-$G48</f>
        <v>-1.55E-2</v>
      </c>
      <c r="N48" s="2258">
        <f t="shared" si="15"/>
        <v>-3.1E-2</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2595</v>
      </c>
      <c r="B49" s="2259" t="str">
        <f>估价对象房地状况!C18</f>
        <v>估价对象周边道路状况、公共交通通达情况、停车便捷程度，综合评价交通便捷度较好</v>
      </c>
      <c r="C49" s="2135" t="s">
        <v>31</v>
      </c>
      <c r="D49" s="2252">
        <f t="shared" si="11"/>
        <v>0</v>
      </c>
      <c r="E49" s="2260"/>
      <c r="F49" s="2254"/>
      <c r="G49" s="2255">
        <v>1.17E-2</v>
      </c>
      <c r="H49" s="2256">
        <f t="shared" si="12"/>
        <v>1.17E-2</v>
      </c>
      <c r="I49" s="2257">
        <v>0.25</v>
      </c>
      <c r="J49" s="2258">
        <f t="shared" si="13"/>
        <v>2.3400000000000001E-2</v>
      </c>
      <c r="K49" s="2258">
        <f t="shared" si="14"/>
        <v>1.17E-2</v>
      </c>
      <c r="L49" s="2258">
        <v>0</v>
      </c>
      <c r="M49" s="2258">
        <f t="shared" si="15"/>
        <v>-1.17E-2</v>
      </c>
      <c r="N49" s="2258">
        <f t="shared" si="15"/>
        <v>-2.3400000000000001E-2</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2596</v>
      </c>
      <c r="B50" s="2259">
        <f>估价对象房地状况!C19</f>
        <v>0</v>
      </c>
      <c r="C50" s="2135" t="s">
        <v>30</v>
      </c>
      <c r="D50" s="2252">
        <f t="shared" si="11"/>
        <v>2.3E-3</v>
      </c>
      <c r="E50" s="2260"/>
      <c r="F50" s="2254"/>
      <c r="G50" s="2255">
        <v>2.3E-3</v>
      </c>
      <c r="H50" s="2256">
        <f t="shared" si="12"/>
        <v>2.3E-3</v>
      </c>
      <c r="I50" s="2257">
        <v>0.05</v>
      </c>
      <c r="J50" s="2258">
        <f t="shared" si="13"/>
        <v>4.5999999999999999E-3</v>
      </c>
      <c r="K50" s="2258">
        <f t="shared" si="14"/>
        <v>2.3E-3</v>
      </c>
      <c r="L50" s="2258">
        <v>0</v>
      </c>
      <c r="M50" s="2258">
        <f t="shared" si="15"/>
        <v>-2.3E-3</v>
      </c>
      <c r="N50" s="2258">
        <f t="shared" si="15"/>
        <v>-4.5999999999999999E-3</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2597</v>
      </c>
      <c r="B51" s="2261" t="s">
        <v>2598</v>
      </c>
      <c r="C51" s="2135" t="s">
        <v>30</v>
      </c>
      <c r="D51" s="2252">
        <f t="shared" si="11"/>
        <v>2.3E-3</v>
      </c>
      <c r="E51" s="2260"/>
      <c r="F51" s="2254"/>
      <c r="G51" s="2255">
        <v>2.3E-3</v>
      </c>
      <c r="H51" s="2256">
        <f t="shared" si="12"/>
        <v>2.3E-3</v>
      </c>
      <c r="I51" s="2257">
        <v>0.05</v>
      </c>
      <c r="J51" s="2258">
        <f t="shared" si="13"/>
        <v>4.5999999999999999E-3</v>
      </c>
      <c r="K51" s="2258">
        <f t="shared" si="14"/>
        <v>2.3E-3</v>
      </c>
      <c r="L51" s="2258">
        <v>0</v>
      </c>
      <c r="M51" s="2258">
        <f t="shared" si="15"/>
        <v>-2.3E-3</v>
      </c>
      <c r="N51" s="2258">
        <f t="shared" si="15"/>
        <v>-4.5999999999999999E-3</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2599</v>
      </c>
      <c r="B52" s="2259">
        <f>估价对象房地状况!C24</f>
        <v>0</v>
      </c>
      <c r="C52" s="2135" t="s">
        <v>32</v>
      </c>
      <c r="D52" s="2252">
        <f t="shared" si="11"/>
        <v>-3.7000000000000002E-3</v>
      </c>
      <c r="E52" s="2260"/>
      <c r="F52" s="2254"/>
      <c r="G52" s="2255">
        <v>3.7000000000000002E-3</v>
      </c>
      <c r="H52" s="2256">
        <f t="shared" si="12"/>
        <v>3.7000000000000002E-3</v>
      </c>
      <c r="I52" s="2257">
        <v>0.08</v>
      </c>
      <c r="J52" s="2258">
        <f t="shared" si="13"/>
        <v>7.4000000000000003E-3</v>
      </c>
      <c r="K52" s="2258">
        <f t="shared" si="14"/>
        <v>3.7000000000000002E-3</v>
      </c>
      <c r="L52" s="2258">
        <v>0</v>
      </c>
      <c r="M52" s="2258">
        <f t="shared" si="15"/>
        <v>-3.7000000000000002E-3</v>
      </c>
      <c r="N52" s="2258">
        <f t="shared" si="15"/>
        <v>-7.4000000000000003E-3</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2600</v>
      </c>
      <c r="B53" s="2262" t="s">
        <v>2601</v>
      </c>
      <c r="C53" s="2135" t="s">
        <v>30</v>
      </c>
      <c r="D53" s="2252">
        <f t="shared" si="11"/>
        <v>1.4E-3</v>
      </c>
      <c r="E53" s="2260"/>
      <c r="F53" s="2254"/>
      <c r="G53" s="2255">
        <v>1.4E-3</v>
      </c>
      <c r="H53" s="2256">
        <f t="shared" si="12"/>
        <v>1.4E-3</v>
      </c>
      <c r="I53" s="2257">
        <v>0.03</v>
      </c>
      <c r="J53" s="2258">
        <f t="shared" si="13"/>
        <v>2.8E-3</v>
      </c>
      <c r="K53" s="2258">
        <f t="shared" si="14"/>
        <v>1.4E-3</v>
      </c>
      <c r="L53" s="2258">
        <v>0</v>
      </c>
      <c r="M53" s="2258">
        <f t="shared" si="15"/>
        <v>-1.4E-3</v>
      </c>
      <c r="N53" s="2258">
        <f t="shared" si="15"/>
        <v>-2.8E-3</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2602</v>
      </c>
      <c r="B54" s="2264" t="str">
        <f>估价对象房地状况!C21</f>
        <v>估价对象所在区域公共配套设施齐备情况</v>
      </c>
      <c r="C54" s="2135" t="s">
        <v>30</v>
      </c>
      <c r="D54" s="2252">
        <f t="shared" si="11"/>
        <v>2.3E-3</v>
      </c>
      <c r="E54" s="2260"/>
      <c r="F54" s="2254"/>
      <c r="G54" s="2255">
        <v>2.3E-3</v>
      </c>
      <c r="H54" s="2256">
        <f t="shared" si="12"/>
        <v>2.3E-3</v>
      </c>
      <c r="I54" s="2257">
        <v>0.05</v>
      </c>
      <c r="J54" s="2258">
        <f t="shared" si="13"/>
        <v>4.5999999999999999E-3</v>
      </c>
      <c r="K54" s="2258">
        <f t="shared" si="14"/>
        <v>2.3E-3</v>
      </c>
      <c r="L54" s="2258">
        <v>0</v>
      </c>
      <c r="M54" s="2258">
        <f t="shared" si="15"/>
        <v>-2.3E-3</v>
      </c>
      <c r="N54" s="2258">
        <f t="shared" si="15"/>
        <v>-4.5999999999999999E-3</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2603</v>
      </c>
      <c r="B55" s="2259" t="str">
        <f>估价对象房地状况!C22</f>
        <v>估价对象所在区域基础设施水平</v>
      </c>
      <c r="C55" s="2135" t="s">
        <v>29</v>
      </c>
      <c r="D55" s="2252">
        <f t="shared" si="11"/>
        <v>9.4000000000000004E-3</v>
      </c>
      <c r="E55" s="2260"/>
      <c r="F55" s="2254"/>
      <c r="G55" s="2255">
        <v>4.7000000000000002E-3</v>
      </c>
      <c r="H55" s="2256">
        <f t="shared" si="12"/>
        <v>4.7000000000000002E-3</v>
      </c>
      <c r="I55" s="2257">
        <v>0.1</v>
      </c>
      <c r="J55" s="2258">
        <f t="shared" si="13"/>
        <v>9.4000000000000004E-3</v>
      </c>
      <c r="K55" s="2258">
        <f t="shared" si="14"/>
        <v>4.7000000000000002E-3</v>
      </c>
      <c r="L55" s="2258">
        <v>0</v>
      </c>
      <c r="M55" s="2258">
        <f t="shared" si="15"/>
        <v>-4.7000000000000002E-3</v>
      </c>
      <c r="N55" s="2258">
        <f t="shared" si="15"/>
        <v>-9.4000000000000004E-3</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2604</v>
      </c>
      <c r="B56" s="2266" t="str">
        <f>估价对象房地状况!C20</f>
        <v>区域自然环境：；人文环境；综合评价环境状况一般</v>
      </c>
      <c r="C56" s="2135" t="s">
        <v>30</v>
      </c>
      <c r="D56" s="2252">
        <f t="shared" si="11"/>
        <v>2.8E-3</v>
      </c>
      <c r="E56" s="2267"/>
      <c r="F56" s="2254"/>
      <c r="G56" s="2255">
        <v>2.8E-3</v>
      </c>
      <c r="H56" s="2256">
        <f t="shared" si="12"/>
        <v>2.8E-3</v>
      </c>
      <c r="I56" s="2268">
        <v>0.06</v>
      </c>
      <c r="J56" s="2258">
        <f t="shared" si="13"/>
        <v>5.5999999999999999E-3</v>
      </c>
      <c r="K56" s="2258">
        <f t="shared" si="14"/>
        <v>2.8E-3</v>
      </c>
      <c r="L56" s="2258">
        <v>0</v>
      </c>
      <c r="M56" s="2258">
        <f t="shared" si="15"/>
        <v>-2.8E-3</v>
      </c>
      <c r="N56" s="2258">
        <f t="shared" si="15"/>
        <v>-5.5999999999999999E-3</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2605</v>
      </c>
      <c r="B57" s="2269">
        <f>1+E59</f>
        <v>1</v>
      </c>
      <c r="C57" s="2243"/>
      <c r="D57" s="2243"/>
      <c r="E57" s="2244"/>
      <c r="F57" s="2245"/>
      <c r="G57" s="607"/>
      <c r="H57" s="607"/>
      <c r="I57" s="607"/>
      <c r="J57" s="607"/>
      <c r="K57" s="607"/>
      <c r="L57" s="607"/>
      <c r="M57" s="607"/>
      <c r="N57" s="607"/>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2580</v>
      </c>
      <c r="B58" s="2259"/>
      <c r="C58" s="2248" t="s">
        <v>2582</v>
      </c>
      <c r="D58" s="2248" t="s">
        <v>2583</v>
      </c>
      <c r="E58" s="2249" t="s">
        <v>2584</v>
      </c>
      <c r="F58" s="2199" t="s">
        <v>2585</v>
      </c>
      <c r="G58" s="2248" t="s">
        <v>2606</v>
      </c>
      <c r="H58" s="2250" t="s">
        <v>2607</v>
      </c>
      <c r="I58" s="2248" t="s">
        <v>2608</v>
      </c>
      <c r="J58" s="1875" t="s">
        <v>2249</v>
      </c>
      <c r="K58" s="1875" t="s">
        <v>2250</v>
      </c>
      <c r="L58" s="1875" t="s">
        <v>2251</v>
      </c>
      <c r="M58" s="1875" t="s">
        <v>2252</v>
      </c>
      <c r="N58" s="1875" t="s">
        <v>2253</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2609</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2595</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2596</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2597</v>
      </c>
      <c r="B62" s="2261" t="s">
        <v>2598</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2599</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2600</v>
      </c>
      <c r="B64" s="2262" t="s">
        <v>2601</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2602</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2603</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2604</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2610</v>
      </c>
      <c r="B68" s="2269">
        <f>1+E70</f>
        <v>1</v>
      </c>
      <c r="C68" s="2243"/>
      <c r="D68" s="2243"/>
      <c r="E68" s="2244"/>
      <c r="F68" s="2245"/>
      <c r="G68" s="607"/>
      <c r="H68" s="607"/>
      <c r="I68" s="607"/>
      <c r="J68" s="607"/>
      <c r="K68" s="607"/>
      <c r="L68" s="607"/>
      <c r="M68" s="607"/>
      <c r="N68" s="607"/>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2580</v>
      </c>
      <c r="B69" s="2259"/>
      <c r="C69" s="2248" t="s">
        <v>2582</v>
      </c>
      <c r="D69" s="2248" t="s">
        <v>2583</v>
      </c>
      <c r="E69" s="2249" t="s">
        <v>2584</v>
      </c>
      <c r="F69" s="2199" t="s">
        <v>2585</v>
      </c>
      <c r="G69" s="2248" t="s">
        <v>2606</v>
      </c>
      <c r="H69" s="2250" t="s">
        <v>2607</v>
      </c>
      <c r="I69" s="2248" t="s">
        <v>2608</v>
      </c>
      <c r="J69" s="1875" t="s">
        <v>2249</v>
      </c>
      <c r="K69" s="1875" t="s">
        <v>2250</v>
      </c>
      <c r="L69" s="1875" t="s">
        <v>2251</v>
      </c>
      <c r="M69" s="1875" t="s">
        <v>2252</v>
      </c>
      <c r="N69" s="1875" t="s">
        <v>2253</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2611</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2595</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2596</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2612</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2602</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2603</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2600</v>
      </c>
      <c r="B76" s="2262" t="s">
        <v>2601</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38.25">
      <c r="A77" s="2247" t="s">
        <v>2604</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24.75" thickBot="1">
      <c r="A78" s="2265" t="s">
        <v>2613</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5">
      <c r="A79" s="2240" t="s">
        <v>2614</v>
      </c>
      <c r="B79" s="2269">
        <f>1+E81</f>
        <v>1</v>
      </c>
      <c r="C79" s="2243"/>
      <c r="D79" s="2243"/>
      <c r="E79" s="2244"/>
      <c r="F79" s="2245"/>
      <c r="G79" s="607"/>
      <c r="H79" s="607"/>
      <c r="I79" s="607"/>
      <c r="J79" s="607"/>
      <c r="K79" s="607"/>
      <c r="L79" s="607"/>
      <c r="M79" s="607"/>
      <c r="N79" s="607"/>
      <c r="Q79" s="3027"/>
      <c r="R79" s="3027"/>
      <c r="S79" s="3027"/>
      <c r="T79" s="3027"/>
      <c r="U79" s="3027"/>
      <c r="V79" s="3027"/>
      <c r="W79" s="3027"/>
      <c r="AA79" s="1593"/>
      <c r="AG79" s="2234"/>
    </row>
    <row r="80" spans="1:33" ht="24.75">
      <c r="A80" s="2247" t="s">
        <v>2580</v>
      </c>
      <c r="B80" s="2259"/>
      <c r="C80" s="2248" t="s">
        <v>2582</v>
      </c>
      <c r="D80" s="2248" t="s">
        <v>2583</v>
      </c>
      <c r="E80" s="2249" t="s">
        <v>2584</v>
      </c>
      <c r="F80" s="2199" t="s">
        <v>2585</v>
      </c>
      <c r="G80" s="2248" t="s">
        <v>2606</v>
      </c>
      <c r="H80" s="2250" t="s">
        <v>2607</v>
      </c>
      <c r="I80" s="2248" t="s">
        <v>2608</v>
      </c>
      <c r="J80" s="1875" t="s">
        <v>2249</v>
      </c>
      <c r="K80" s="1875" t="s">
        <v>2250</v>
      </c>
      <c r="L80" s="1875" t="s">
        <v>2251</v>
      </c>
      <c r="M80" s="1875" t="s">
        <v>2252</v>
      </c>
      <c r="N80" s="1875" t="s">
        <v>2253</v>
      </c>
      <c r="Q80" s="3027"/>
      <c r="R80" s="3027"/>
      <c r="S80" s="3027"/>
      <c r="T80" s="3027"/>
      <c r="U80" s="3027"/>
      <c r="V80" s="3027"/>
      <c r="W80" s="3027"/>
      <c r="AA80" s="1593"/>
      <c r="AG80" s="2234"/>
    </row>
    <row r="81" spans="1:33" ht="38.25">
      <c r="A81" s="2247" t="s">
        <v>2615</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3"/>
      <c r="AG81" s="2234"/>
    </row>
    <row r="82" spans="1:33" ht="51">
      <c r="A82" s="2247" t="s">
        <v>2595</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3"/>
      <c r="AG82" s="2234"/>
    </row>
    <row r="83" spans="1:33" ht="24">
      <c r="A83" s="2247" t="s">
        <v>2596</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3"/>
      <c r="AG83" s="2234"/>
    </row>
    <row r="84" spans="1:33" ht="14.25">
      <c r="A84" s="2247" t="s">
        <v>2612</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3"/>
      <c r="AG84" s="2234"/>
    </row>
    <row r="85" spans="1:33" ht="25.5">
      <c r="A85" s="2247" t="s">
        <v>2602</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3"/>
      <c r="AG85" s="2234"/>
    </row>
    <row r="86" spans="1:33" ht="25.5">
      <c r="A86" s="2247" t="s">
        <v>2603</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3"/>
      <c r="AG86" s="2234"/>
    </row>
    <row r="87" spans="1:33" ht="24">
      <c r="A87" s="2247" t="s">
        <v>2600</v>
      </c>
      <c r="B87" s="2262" t="s">
        <v>2601</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3"/>
      <c r="AG87" s="2234"/>
    </row>
    <row r="88" spans="1:33" ht="39" thickBot="1">
      <c r="A88" s="2265" t="s">
        <v>2616</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3"/>
      <c r="AG88" s="2234"/>
    </row>
    <row r="89" spans="1:33">
      <c r="Q89" s="3027"/>
      <c r="R89" s="3027"/>
      <c r="S89" s="3027"/>
      <c r="T89" s="3027"/>
      <c r="U89" s="3027"/>
      <c r="V89" s="3027"/>
      <c r="W89" s="3027"/>
    </row>
    <row r="90" spans="1:33">
      <c r="A90" s="3693" t="s">
        <v>2617</v>
      </c>
      <c r="B90" s="3693"/>
      <c r="C90" s="3693"/>
      <c r="D90" s="3693"/>
      <c r="E90" s="3693"/>
      <c r="F90" s="3693"/>
      <c r="G90" s="3693"/>
      <c r="H90" s="3693"/>
      <c r="I90" s="3693"/>
      <c r="J90" s="3693"/>
      <c r="K90" s="2275"/>
      <c r="L90" s="2275"/>
      <c r="M90" s="2275"/>
      <c r="N90" s="2275"/>
      <c r="Q90" s="3027"/>
      <c r="R90" s="3027"/>
      <c r="S90" s="3027"/>
      <c r="T90" s="3027"/>
      <c r="U90" s="3027"/>
      <c r="V90" s="3027"/>
      <c r="W90" s="3027"/>
    </row>
    <row r="91" spans="1:33">
      <c r="A91" s="3695" t="s">
        <v>2618</v>
      </c>
      <c r="B91" s="3695" t="s">
        <v>2619</v>
      </c>
      <c r="C91" s="2214" t="s">
        <v>2620</v>
      </c>
      <c r="D91" s="2215"/>
      <c r="E91" s="2215"/>
      <c r="F91" s="2215"/>
      <c r="G91" s="2215"/>
      <c r="H91" s="2215"/>
      <c r="I91" s="2215"/>
      <c r="J91" s="2277"/>
      <c r="K91" s="2037"/>
      <c r="L91" s="2037"/>
      <c r="M91" s="2037"/>
      <c r="N91" s="2037"/>
      <c r="Q91" s="3027"/>
      <c r="R91" s="3027"/>
      <c r="S91" s="3027"/>
      <c r="T91" s="3027"/>
      <c r="U91" s="3027"/>
      <c r="V91" s="3027"/>
      <c r="W91" s="3027"/>
    </row>
    <row r="92" spans="1:33">
      <c r="A92" s="3695"/>
      <c r="B92" s="3695"/>
      <c r="C92" s="2000" t="s">
        <v>2474</v>
      </c>
      <c r="D92" s="2000" t="s">
        <v>2475</v>
      </c>
      <c r="E92" s="2000" t="s">
        <v>2476</v>
      </c>
      <c r="F92" s="2000" t="s">
        <v>2477</v>
      </c>
      <c r="G92" s="2000" t="s">
        <v>2478</v>
      </c>
      <c r="H92" s="2000" t="s">
        <v>2479</v>
      </c>
      <c r="I92" s="2000" t="s">
        <v>2480</v>
      </c>
      <c r="J92" s="2000" t="s">
        <v>2481</v>
      </c>
      <c r="K92" s="2000" t="s">
        <v>2482</v>
      </c>
      <c r="L92" s="2000" t="s">
        <v>2483</v>
      </c>
      <c r="M92" s="2000" t="s">
        <v>2484</v>
      </c>
      <c r="N92" s="2000" t="s">
        <v>2485</v>
      </c>
      <c r="Q92" s="3027"/>
      <c r="R92" s="3027"/>
      <c r="S92" s="3027"/>
      <c r="T92" s="3027"/>
      <c r="U92" s="3027"/>
      <c r="V92" s="3027"/>
      <c r="W92" s="3027"/>
    </row>
    <row r="93" spans="1:33">
      <c r="A93" s="3696" t="s">
        <v>2621</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97"/>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97"/>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97"/>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97"/>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97"/>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97"/>
      <c r="B99" s="2278" t="s">
        <v>2490</v>
      </c>
      <c r="C99" s="2280">
        <f>$I$3</f>
        <v>2</v>
      </c>
      <c r="D99" s="2280">
        <f t="shared" ref="D99:M99" si="31">$I$3</f>
        <v>2</v>
      </c>
      <c r="E99" s="2280">
        <f t="shared" si="31"/>
        <v>2</v>
      </c>
      <c r="F99" s="2280">
        <f t="shared" si="31"/>
        <v>2</v>
      </c>
      <c r="G99" s="2280">
        <f t="shared" si="31"/>
        <v>2</v>
      </c>
      <c r="H99" s="2280">
        <f t="shared" si="31"/>
        <v>2</v>
      </c>
      <c r="I99" s="2280">
        <f t="shared" si="31"/>
        <v>2</v>
      </c>
      <c r="J99" s="2280">
        <f t="shared" si="31"/>
        <v>2</v>
      </c>
      <c r="K99" s="2280">
        <f t="shared" si="31"/>
        <v>2</v>
      </c>
      <c r="L99" s="2280">
        <f t="shared" si="31"/>
        <v>2</v>
      </c>
      <c r="M99" s="2280">
        <f t="shared" si="31"/>
        <v>2</v>
      </c>
      <c r="N99" s="2280">
        <f>$I$3</f>
        <v>2</v>
      </c>
      <c r="Q99" s="3027"/>
      <c r="R99" s="3027"/>
      <c r="S99" s="3027"/>
      <c r="T99" s="3027"/>
      <c r="U99" s="3027"/>
      <c r="V99" s="3027"/>
      <c r="W99" s="3027"/>
    </row>
    <row r="100" spans="1:23">
      <c r="A100" s="3698"/>
      <c r="B100" s="2278">
        <v>7</v>
      </c>
      <c r="C100" s="2281">
        <f>(-0.163*(C99^2)-0.59*C99+7617)*(10^(-4))</f>
        <v>0.76151679999999999</v>
      </c>
      <c r="D100" s="2281">
        <f>(-0.163*(D99^2)-0.59*D99+7617)*(10^(-4))</f>
        <v>0.76151679999999999</v>
      </c>
      <c r="E100" s="2281">
        <f>(-0.161*(E99^2)-7.509*E99+6533)*(10^(-4))</f>
        <v>0.65173380000000003</v>
      </c>
      <c r="F100" s="2281">
        <f>(-0.161*(F99^2)-7.509*F99+6533)*(10^(-4))</f>
        <v>0.65173380000000003</v>
      </c>
      <c r="G100" s="2281">
        <f>(-0.161*(G99^2)-7.509*G99+6533)*(10^(-4))</f>
        <v>0.65173380000000003</v>
      </c>
      <c r="H100" s="2281">
        <f>(-0.161*(H99^2)-7.509*H99+6533)*(10^(-4))</f>
        <v>0.65173380000000003</v>
      </c>
      <c r="I100" s="2281">
        <f>(-0.161*(I99^2)-7.509*I99+6533)*(10^(-4))</f>
        <v>0.65173380000000003</v>
      </c>
      <c r="J100" s="2281">
        <f>(-0.214*(J99^2)-21.991*J99+4665)*(10^(-4))</f>
        <v>0.46201620000000004</v>
      </c>
      <c r="K100" s="2281">
        <f>(-0.214*(K99^2)-21.991*K99+4665)*(10^(-4))</f>
        <v>0.46201620000000004</v>
      </c>
      <c r="L100" s="2281">
        <f>(-0.214*(L99^2)-21.991*L99+4665)*(10^(-4))</f>
        <v>0.46201620000000004</v>
      </c>
      <c r="M100" s="2281">
        <f>(-0.214*(M99^2)-21.991*M99+4665)*(10^(-4))</f>
        <v>0.46201620000000004</v>
      </c>
      <c r="N100" s="2281">
        <f>(-0.214*(N99^2)-21.991*N99+4665)*(10^(-4))</f>
        <v>0.46201620000000004</v>
      </c>
      <c r="Q100" s="3027"/>
      <c r="R100" s="3027"/>
      <c r="S100" s="3027"/>
      <c r="T100" s="3027"/>
      <c r="U100" s="3027"/>
      <c r="V100" s="3027"/>
      <c r="W100" s="3027"/>
    </row>
    <row r="101" spans="1:23">
      <c r="A101" s="3696" t="s">
        <v>2622</v>
      </c>
      <c r="B101" s="2282" t="s">
        <v>2623</v>
      </c>
      <c r="C101" s="2283">
        <f>$G$3</f>
        <v>3.5</v>
      </c>
      <c r="D101" s="2283">
        <f t="shared" ref="D101:N101" si="32">$G$3</f>
        <v>3.5</v>
      </c>
      <c r="E101" s="2283">
        <f t="shared" si="32"/>
        <v>3.5</v>
      </c>
      <c r="F101" s="2283">
        <f t="shared" si="32"/>
        <v>3.5</v>
      </c>
      <c r="G101" s="2283">
        <f t="shared" si="32"/>
        <v>3.5</v>
      </c>
      <c r="H101" s="2283">
        <f t="shared" si="32"/>
        <v>3.5</v>
      </c>
      <c r="I101" s="2283">
        <f t="shared" si="32"/>
        <v>3.5</v>
      </c>
      <c r="J101" s="2283">
        <f t="shared" si="32"/>
        <v>3.5</v>
      </c>
      <c r="K101" s="2283">
        <f t="shared" si="32"/>
        <v>3.5</v>
      </c>
      <c r="L101" s="2283">
        <f t="shared" si="32"/>
        <v>3.5</v>
      </c>
      <c r="M101" s="2283">
        <f t="shared" si="32"/>
        <v>3.5</v>
      </c>
      <c r="N101" s="2283">
        <f t="shared" si="32"/>
        <v>3.5</v>
      </c>
      <c r="Q101" s="3027"/>
      <c r="R101" s="3027"/>
      <c r="S101" s="3027"/>
      <c r="T101" s="3027"/>
      <c r="U101" s="3027"/>
      <c r="V101" s="3027"/>
      <c r="W101" s="3027"/>
    </row>
    <row r="102" spans="1:23">
      <c r="A102" s="3697"/>
      <c r="B102" s="2278">
        <v>1</v>
      </c>
      <c r="C102" s="2279">
        <f>1.9362/C101</f>
        <v>0.55320000000000003</v>
      </c>
      <c r="D102" s="2279">
        <f>1.9362/D101</f>
        <v>0.55320000000000003</v>
      </c>
      <c r="E102" s="2279">
        <f>1.8629/E101</f>
        <v>0.53225714285714287</v>
      </c>
      <c r="F102" s="2279">
        <f>1.8629/F101</f>
        <v>0.53225714285714287</v>
      </c>
      <c r="G102" s="2279">
        <f>1.8629/G101</f>
        <v>0.53225714285714287</v>
      </c>
      <c r="H102" s="2279">
        <f>1.8629/H101</f>
        <v>0.53225714285714287</v>
      </c>
      <c r="I102" s="2279">
        <f>1.8629/I101</f>
        <v>0.53225714285714287</v>
      </c>
      <c r="J102" s="2279">
        <f>1.942/J101</f>
        <v>0.55485714285714283</v>
      </c>
      <c r="K102" s="2279">
        <f>1.942/K101</f>
        <v>0.55485714285714283</v>
      </c>
      <c r="L102" s="2279">
        <f>1.942/L101</f>
        <v>0.55485714285714283</v>
      </c>
      <c r="M102" s="2279">
        <f>1.942/M101</f>
        <v>0.55485714285714283</v>
      </c>
      <c r="N102" s="2279">
        <f>1.942/N101</f>
        <v>0.55485714285714283</v>
      </c>
      <c r="Q102" s="3027"/>
      <c r="R102" s="3027"/>
      <c r="S102" s="3027"/>
      <c r="T102" s="3027"/>
      <c r="U102" s="3027"/>
      <c r="V102" s="3027"/>
      <c r="W102" s="3027"/>
    </row>
    <row r="103" spans="1:23">
      <c r="A103" s="3697"/>
      <c r="B103" s="2278">
        <v>2</v>
      </c>
      <c r="C103" s="2279">
        <f>1.4198/C101</f>
        <v>0.40565714285714283</v>
      </c>
      <c r="D103" s="2279">
        <f>1.4198/D101</f>
        <v>0.40565714285714283</v>
      </c>
      <c r="E103" s="2279">
        <f>1.3372/E101</f>
        <v>0.38205714285714282</v>
      </c>
      <c r="F103" s="2279">
        <f>1.3372/F101</f>
        <v>0.38205714285714282</v>
      </c>
      <c r="G103" s="2279">
        <f>1.3372/G101</f>
        <v>0.38205714285714282</v>
      </c>
      <c r="H103" s="2279">
        <f>1.3372/H101</f>
        <v>0.38205714285714282</v>
      </c>
      <c r="I103" s="2279">
        <f>1.3372/I101</f>
        <v>0.38205714285714282</v>
      </c>
      <c r="J103" s="2279">
        <f>1.2799/J101</f>
        <v>0.36568571428571428</v>
      </c>
      <c r="K103" s="2279">
        <f>1.2799/K101</f>
        <v>0.36568571428571428</v>
      </c>
      <c r="L103" s="2279">
        <f>1.2799/L101</f>
        <v>0.36568571428571428</v>
      </c>
      <c r="M103" s="2279">
        <f>1.2799/M101</f>
        <v>0.36568571428571428</v>
      </c>
      <c r="N103" s="2279">
        <f>1.2799/N101</f>
        <v>0.36568571428571428</v>
      </c>
      <c r="Q103" s="3027"/>
      <c r="R103" s="3027"/>
      <c r="S103" s="3027"/>
      <c r="T103" s="3027"/>
      <c r="U103" s="3027"/>
      <c r="V103" s="3027"/>
      <c r="W103" s="3027"/>
    </row>
    <row r="104" spans="1:23">
      <c r="A104" s="3697"/>
      <c r="B104" s="2278">
        <v>3</v>
      </c>
      <c r="C104" s="2279">
        <f>1.1594/C101</f>
        <v>0.33125714285714286</v>
      </c>
      <c r="D104" s="2279">
        <f>1.1594/D101</f>
        <v>0.33125714285714286</v>
      </c>
      <c r="E104" s="2279">
        <f>1.0788/E101</f>
        <v>0.30822857142857141</v>
      </c>
      <c r="F104" s="2279">
        <f>1.0788/F101</f>
        <v>0.30822857142857141</v>
      </c>
      <c r="G104" s="2279">
        <f>1.0788/G101</f>
        <v>0.30822857142857141</v>
      </c>
      <c r="H104" s="2279">
        <f>1.0788/H101</f>
        <v>0.30822857142857141</v>
      </c>
      <c r="I104" s="2279">
        <f>1.0788/I101</f>
        <v>0.30822857142857141</v>
      </c>
      <c r="J104" s="2279">
        <f>1.0072/J101</f>
        <v>0.28777142857142862</v>
      </c>
      <c r="K104" s="2279">
        <f>1.0072/K101</f>
        <v>0.28777142857142862</v>
      </c>
      <c r="L104" s="2279">
        <f>1.0072/L101</f>
        <v>0.28777142857142862</v>
      </c>
      <c r="M104" s="2279">
        <f>1.0072/M101</f>
        <v>0.28777142857142862</v>
      </c>
      <c r="N104" s="2279">
        <f>1.0072/N101</f>
        <v>0.28777142857142862</v>
      </c>
      <c r="Q104" s="3027"/>
      <c r="R104" s="3027"/>
      <c r="S104" s="3027"/>
      <c r="T104" s="3027"/>
      <c r="U104" s="3027"/>
      <c r="V104" s="3027"/>
      <c r="W104" s="3027"/>
    </row>
    <row r="105" spans="1:23">
      <c r="A105" s="3697"/>
      <c r="B105" s="2278">
        <v>4</v>
      </c>
      <c r="C105" s="2279">
        <f>0.9622/C101</f>
        <v>0.27491428571428572</v>
      </c>
      <c r="D105" s="2279">
        <f>0.9622/D101</f>
        <v>0.27491428571428572</v>
      </c>
      <c r="E105" s="2279">
        <f>0.8656/E101</f>
        <v>0.24731428571428574</v>
      </c>
      <c r="F105" s="2279">
        <f>0.8656/F101</f>
        <v>0.24731428571428574</v>
      </c>
      <c r="G105" s="2279">
        <f>0.8656/G101</f>
        <v>0.24731428571428574</v>
      </c>
      <c r="H105" s="2279">
        <f>0.8656/H101</f>
        <v>0.24731428571428574</v>
      </c>
      <c r="I105" s="2279">
        <f>0.8656/I101</f>
        <v>0.24731428571428574</v>
      </c>
      <c r="J105" s="2279">
        <f>0.7525/J101</f>
        <v>0.215</v>
      </c>
      <c r="K105" s="2279">
        <f>0.7525/K101</f>
        <v>0.215</v>
      </c>
      <c r="L105" s="2279">
        <f>0.7525/L101</f>
        <v>0.215</v>
      </c>
      <c r="M105" s="2279">
        <f>0.7525/M101</f>
        <v>0.215</v>
      </c>
      <c r="N105" s="2279">
        <f>0.7525/N101</f>
        <v>0.215</v>
      </c>
      <c r="Q105" s="3027"/>
      <c r="R105" s="3027"/>
      <c r="S105" s="3027"/>
      <c r="T105" s="3027"/>
      <c r="U105" s="3027"/>
      <c r="V105" s="3027"/>
      <c r="W105" s="3027"/>
    </row>
    <row r="106" spans="1:23">
      <c r="A106" s="3697"/>
      <c r="B106" s="2278">
        <v>5</v>
      </c>
      <c r="C106" s="2279">
        <f>0.8417/C101</f>
        <v>0.24048571428571427</v>
      </c>
      <c r="D106" s="2279">
        <f>0.8417/D101</f>
        <v>0.24048571428571427</v>
      </c>
      <c r="E106" s="2279">
        <f>0.7371/E101</f>
        <v>0.21059999999999998</v>
      </c>
      <c r="F106" s="2279">
        <f>0.7371/F101</f>
        <v>0.21059999999999998</v>
      </c>
      <c r="G106" s="2279">
        <f>0.7371/G101</f>
        <v>0.21059999999999998</v>
      </c>
      <c r="H106" s="2279">
        <f>0.7371/H101</f>
        <v>0.21059999999999998</v>
      </c>
      <c r="I106" s="2279">
        <f>0.7371/I101</f>
        <v>0.21059999999999998</v>
      </c>
      <c r="J106" s="2279">
        <f>0.5659/J101</f>
        <v>0.16168571428571427</v>
      </c>
      <c r="K106" s="2279">
        <f>0.5659/K101</f>
        <v>0.16168571428571427</v>
      </c>
      <c r="L106" s="2279">
        <f>0.5659/L101</f>
        <v>0.16168571428571427</v>
      </c>
      <c r="M106" s="2279">
        <f>0.5659/M101</f>
        <v>0.16168571428571427</v>
      </c>
      <c r="N106" s="2279">
        <f>0.5659/N101</f>
        <v>0.16168571428571427</v>
      </c>
      <c r="Q106" s="3027"/>
      <c r="R106" s="3027"/>
      <c r="S106" s="3027"/>
      <c r="T106" s="3027"/>
      <c r="U106" s="3027"/>
      <c r="V106" s="3027"/>
      <c r="W106" s="3027"/>
    </row>
    <row r="107" spans="1:23">
      <c r="A107" s="3697"/>
      <c r="B107" s="2278">
        <v>6</v>
      </c>
      <c r="C107" s="2279">
        <f>0.7608/C101</f>
        <v>0.21737142857142858</v>
      </c>
      <c r="D107" s="2279">
        <f>0.7608/D101</f>
        <v>0.21737142857142858</v>
      </c>
      <c r="E107" s="2279">
        <f>0.6482/E101</f>
        <v>0.1852</v>
      </c>
      <c r="F107" s="2279">
        <f>0.6482/F101</f>
        <v>0.1852</v>
      </c>
      <c r="G107" s="2279">
        <f>0.6482/G101</f>
        <v>0.1852</v>
      </c>
      <c r="H107" s="2279">
        <f>0.6482/H101</f>
        <v>0.1852</v>
      </c>
      <c r="I107" s="2279">
        <f>0.6482/I101</f>
        <v>0.1852</v>
      </c>
      <c r="J107" s="2279">
        <f>0.4525/J101</f>
        <v>0.12928571428571428</v>
      </c>
      <c r="K107" s="2279">
        <f>0.4525/K101</f>
        <v>0.12928571428571428</v>
      </c>
      <c r="L107" s="2279">
        <f>0.4525/L101</f>
        <v>0.12928571428571428</v>
      </c>
      <c r="M107" s="2279">
        <f>0.4525/M101</f>
        <v>0.12928571428571428</v>
      </c>
      <c r="N107" s="2279">
        <f>0.4525/N101</f>
        <v>0.12928571428571428</v>
      </c>
      <c r="Q107" s="3027"/>
      <c r="R107" s="3027"/>
      <c r="S107" s="3027"/>
      <c r="T107" s="3027"/>
      <c r="U107" s="3027"/>
      <c r="V107" s="3027"/>
      <c r="W107" s="3027"/>
    </row>
    <row r="108" spans="1:23">
      <c r="A108" s="3697"/>
      <c r="B108" s="3699" t="s">
        <v>2624</v>
      </c>
      <c r="C108" s="2280">
        <f>C99</f>
        <v>2</v>
      </c>
      <c r="D108" s="2280">
        <f t="shared" ref="D108:N108" si="33">D99</f>
        <v>2</v>
      </c>
      <c r="E108" s="2280">
        <f t="shared" si="33"/>
        <v>2</v>
      </c>
      <c r="F108" s="2280">
        <f t="shared" si="33"/>
        <v>2</v>
      </c>
      <c r="G108" s="2280">
        <f t="shared" si="33"/>
        <v>2</v>
      </c>
      <c r="H108" s="2280">
        <f t="shared" si="33"/>
        <v>2</v>
      </c>
      <c r="I108" s="2280">
        <f t="shared" si="33"/>
        <v>2</v>
      </c>
      <c r="J108" s="2280">
        <f t="shared" si="33"/>
        <v>2</v>
      </c>
      <c r="K108" s="2280">
        <f t="shared" si="33"/>
        <v>2</v>
      </c>
      <c r="L108" s="2280">
        <f t="shared" si="33"/>
        <v>2</v>
      </c>
      <c r="M108" s="2280">
        <f t="shared" si="33"/>
        <v>2</v>
      </c>
      <c r="N108" s="2280">
        <f t="shared" si="33"/>
        <v>2</v>
      </c>
      <c r="Q108" s="3027"/>
      <c r="R108" s="3027"/>
      <c r="S108" s="3027"/>
      <c r="T108" s="3027"/>
      <c r="U108" s="3027"/>
      <c r="V108" s="3027"/>
      <c r="W108" s="3027"/>
    </row>
    <row r="109" spans="1:23">
      <c r="A109" s="3698"/>
      <c r="B109" s="3700"/>
      <c r="C109" s="2281">
        <f>(-0.163*(C108^2)-0.59*C108+7617)*(10^(-4))/C101</f>
        <v>0.21757622857142858</v>
      </c>
      <c r="D109" s="2281">
        <f>(-0.163*(D108^2)-0.59*D108+7617)*(10^(-4))/D101</f>
        <v>0.21757622857142858</v>
      </c>
      <c r="E109" s="2281">
        <f>(-0.161*(E108^2)-7.509*E108+6533)*(10^(-4))/E101</f>
        <v>0.18620965714285714</v>
      </c>
      <c r="F109" s="2281">
        <f>(-0.161*(F108^2)-7.509*F108+6533)*(10^(-4))/F101</f>
        <v>0.18620965714285714</v>
      </c>
      <c r="G109" s="2281">
        <f>(-0.161*(G108^2)-7.509*G108+6533)*(10^(-4))/G101</f>
        <v>0.18620965714285714</v>
      </c>
      <c r="H109" s="2281">
        <f>(-0.161*(H108^2)-7.509*H108+6533)*(10^(-4))/H101</f>
        <v>0.18620965714285714</v>
      </c>
      <c r="I109" s="2281">
        <f>(-0.161*(I108^2)-7.509*I108+6533)*(10^(-4))/I101</f>
        <v>0.18620965714285714</v>
      </c>
      <c r="J109" s="2281">
        <f>(-0.214*(J108^2)-21.991*J108+4665)*(10^(-4))/J101</f>
        <v>0.13200462857142858</v>
      </c>
      <c r="K109" s="2281">
        <f>(-0.214*(K108^2)-21.991*K108+4665)*(10^(-4))/K101</f>
        <v>0.13200462857142858</v>
      </c>
      <c r="L109" s="2281">
        <f>(-0.214*(L108^2)-21.991*L108+4665)*(10^(-4))/L101</f>
        <v>0.13200462857142858</v>
      </c>
      <c r="M109" s="2281">
        <f>(-0.214*(M108^2)-21.991*M108+4665)*(10^(-4))/M101</f>
        <v>0.13200462857142858</v>
      </c>
      <c r="N109" s="2281">
        <f>(-0.214*(N108^2)-21.991*N108+4665)*(10^(-4))/N101</f>
        <v>0.13200462857142858</v>
      </c>
      <c r="Q109" s="3027"/>
      <c r="R109" s="3027"/>
      <c r="S109" s="3027"/>
      <c r="T109" s="3027"/>
      <c r="U109" s="3027"/>
      <c r="V109" s="3027"/>
      <c r="W109" s="3027"/>
    </row>
    <row r="110" spans="1:23">
      <c r="A110" s="3694" t="s">
        <v>2625</v>
      </c>
      <c r="B110" s="3694"/>
      <c r="C110" s="3694"/>
      <c r="D110" s="3694"/>
      <c r="E110" s="3694"/>
      <c r="F110" s="3694"/>
      <c r="G110" s="3694"/>
      <c r="H110" s="3694"/>
      <c r="I110" s="3694"/>
      <c r="J110" s="3694"/>
      <c r="K110" s="2049"/>
      <c r="L110" s="2049"/>
      <c r="M110" s="2049"/>
      <c r="N110" s="2049"/>
      <c r="Q110" s="3027"/>
      <c r="R110" s="3027"/>
      <c r="S110" s="3027"/>
      <c r="T110" s="3027"/>
      <c r="U110" s="3027"/>
      <c r="V110" s="3027"/>
      <c r="W110" s="3027"/>
    </row>
    <row r="112" spans="1:23" ht="13.5" thickBot="1"/>
    <row r="113" spans="1:13" ht="25.5" thickBot="1">
      <c r="A113" s="2284" t="s">
        <v>2626</v>
      </c>
      <c r="B113" s="2285">
        <f>G3</f>
        <v>3.5</v>
      </c>
      <c r="C113" s="2286" t="s">
        <v>2627</v>
      </c>
      <c r="D113" s="2287">
        <f>SUMPRODUCT((A115:A118=F113)*(B114:M114=H113)*B115:M118)</f>
        <v>0.79500000000000004</v>
      </c>
      <c r="E113" s="1571" t="s">
        <v>2514</v>
      </c>
      <c r="F113" s="2288" t="str">
        <f>E2</f>
        <v>商业</v>
      </c>
      <c r="G113" s="1571" t="s">
        <v>2448</v>
      </c>
      <c r="H113" s="2288" t="str">
        <f>G2</f>
        <v>四级</v>
      </c>
      <c r="I113" s="1571"/>
      <c r="J113" s="2289"/>
      <c r="K113" s="2289"/>
      <c r="L113" s="2289"/>
      <c r="M113" s="2289"/>
    </row>
    <row r="114" spans="1:13">
      <c r="A114" s="2290"/>
      <c r="B114" s="2291" t="s">
        <v>2628</v>
      </c>
      <c r="C114" s="2291" t="s">
        <v>2629</v>
      </c>
      <c r="D114" s="2291" t="s">
        <v>2630</v>
      </c>
      <c r="E114" s="2292" t="s">
        <v>2631</v>
      </c>
      <c r="F114" s="2292" t="s">
        <v>2632</v>
      </c>
      <c r="G114" s="2292" t="s">
        <v>2633</v>
      </c>
      <c r="H114" s="2293" t="s">
        <v>2634</v>
      </c>
      <c r="I114" s="2293" t="s">
        <v>2635</v>
      </c>
      <c r="J114" s="2294" t="s">
        <v>2636</v>
      </c>
      <c r="K114" s="2294" t="s">
        <v>2637</v>
      </c>
      <c r="L114" s="2294" t="s">
        <v>2638</v>
      </c>
      <c r="M114" s="2295" t="s">
        <v>2639</v>
      </c>
    </row>
    <row r="115" spans="1:13">
      <c r="A115" s="2296" t="s">
        <v>2515</v>
      </c>
      <c r="B115" s="2297">
        <f>ROUND(0.9335-0.0094*B113,4)</f>
        <v>0.90059999999999996</v>
      </c>
      <c r="C115" s="2297">
        <f>B115</f>
        <v>0.90059999999999996</v>
      </c>
      <c r="D115" s="2297">
        <f>ROUND(0.8331-0.0109*B113,4)</f>
        <v>0.79500000000000004</v>
      </c>
      <c r="E115" s="2297">
        <f>D115</f>
        <v>0.79500000000000004</v>
      </c>
      <c r="F115" s="2297">
        <f>E115</f>
        <v>0.79500000000000004</v>
      </c>
      <c r="G115" s="2297">
        <f>F115</f>
        <v>0.79500000000000004</v>
      </c>
      <c r="H115" s="2297">
        <f>G115</f>
        <v>0.79500000000000004</v>
      </c>
      <c r="I115" s="2297">
        <f>ROUND(0.689-0.0155*B113,4)</f>
        <v>0.63480000000000003</v>
      </c>
      <c r="J115" s="2297">
        <f t="shared" ref="J115:M118" si="34">I115</f>
        <v>0.63480000000000003</v>
      </c>
      <c r="K115" s="2297">
        <f t="shared" si="34"/>
        <v>0.63480000000000003</v>
      </c>
      <c r="L115" s="2297">
        <f t="shared" si="34"/>
        <v>0.63480000000000003</v>
      </c>
      <c r="M115" s="2298">
        <f t="shared" si="34"/>
        <v>0.63480000000000003</v>
      </c>
    </row>
    <row r="116" spans="1:13">
      <c r="A116" s="2296" t="s">
        <v>2516</v>
      </c>
      <c r="B116" s="2297">
        <f>ROUND(0.949-0.012*B113,4)</f>
        <v>0.90700000000000003</v>
      </c>
      <c r="C116" s="2297">
        <f>B116</f>
        <v>0.90700000000000003</v>
      </c>
      <c r="D116" s="2297">
        <f>ROUND(0.8567-0.013*B113,4)</f>
        <v>0.81120000000000003</v>
      </c>
      <c r="E116" s="2297">
        <f t="shared" ref="E116:H117" si="35">D116</f>
        <v>0.81120000000000003</v>
      </c>
      <c r="F116" s="2297">
        <f t="shared" si="35"/>
        <v>0.81120000000000003</v>
      </c>
      <c r="G116" s="2297">
        <f t="shared" si="35"/>
        <v>0.81120000000000003</v>
      </c>
      <c r="H116" s="2297">
        <f t="shared" si="35"/>
        <v>0.81120000000000003</v>
      </c>
      <c r="I116" s="2297">
        <f>ROUND(0.7694-0.014*B113,4)</f>
        <v>0.72040000000000004</v>
      </c>
      <c r="J116" s="2297">
        <f t="shared" si="34"/>
        <v>0.72040000000000004</v>
      </c>
      <c r="K116" s="2297">
        <f t="shared" si="34"/>
        <v>0.72040000000000004</v>
      </c>
      <c r="L116" s="2297">
        <f t="shared" si="34"/>
        <v>0.72040000000000004</v>
      </c>
      <c r="M116" s="2298">
        <f t="shared" si="34"/>
        <v>0.72040000000000004</v>
      </c>
    </row>
    <row r="117" spans="1:13">
      <c r="A117" s="2296" t="s">
        <v>2517</v>
      </c>
      <c r="B117" s="2297">
        <f>ROUND(0.8808-0.006*B113,4)</f>
        <v>0.85980000000000001</v>
      </c>
      <c r="C117" s="2297">
        <f>B117</f>
        <v>0.85980000000000001</v>
      </c>
      <c r="D117" s="2297">
        <f>ROUND(0.8748-0.008*B113,4)</f>
        <v>0.8468</v>
      </c>
      <c r="E117" s="2297">
        <f t="shared" si="35"/>
        <v>0.8468</v>
      </c>
      <c r="F117" s="2297">
        <f t="shared" si="35"/>
        <v>0.8468</v>
      </c>
      <c r="G117" s="2297">
        <f t="shared" si="35"/>
        <v>0.8468</v>
      </c>
      <c r="H117" s="2297">
        <f t="shared" si="35"/>
        <v>0.8468</v>
      </c>
      <c r="I117" s="2297">
        <f>ROUND(0.7412-0.0095*B113,4)</f>
        <v>0.70799999999999996</v>
      </c>
      <c r="J117" s="2297">
        <f t="shared" si="34"/>
        <v>0.70799999999999996</v>
      </c>
      <c r="K117" s="2297">
        <f t="shared" si="34"/>
        <v>0.70799999999999996</v>
      </c>
      <c r="L117" s="2297">
        <f t="shared" si="34"/>
        <v>0.70799999999999996</v>
      </c>
      <c r="M117" s="2298">
        <f t="shared" si="34"/>
        <v>0.70799999999999996</v>
      </c>
    </row>
    <row r="118" spans="1:13" ht="13.5" thickBot="1">
      <c r="A118" s="2299" t="s">
        <v>2518</v>
      </c>
      <c r="B118" s="2300">
        <f>ROUND(0.7275-0.01*B113,4)</f>
        <v>0.6925</v>
      </c>
      <c r="C118" s="2300">
        <f>B118</f>
        <v>0.6925</v>
      </c>
      <c r="D118" s="2300">
        <f>ROUND(0.7043-0.012*B113,4)</f>
        <v>0.6623</v>
      </c>
      <c r="E118" s="2300">
        <f>D118</f>
        <v>0.6623</v>
      </c>
      <c r="F118" s="2300">
        <f>E118</f>
        <v>0.6623</v>
      </c>
      <c r="G118" s="2300">
        <f>ROUND(0.6299-0.0122*B113,4)</f>
        <v>0.58720000000000006</v>
      </c>
      <c r="H118" s="2300">
        <f>G118</f>
        <v>0.58720000000000006</v>
      </c>
      <c r="I118" s="2300">
        <f>ROUND(0.5667-0.0136*B113,4)</f>
        <v>0.51910000000000001</v>
      </c>
      <c r="J118" s="2300">
        <f t="shared" si="34"/>
        <v>0.51910000000000001</v>
      </c>
      <c r="K118" s="2300">
        <f t="shared" si="34"/>
        <v>0.51910000000000001</v>
      </c>
      <c r="L118" s="2300">
        <f t="shared" si="34"/>
        <v>0.51910000000000001</v>
      </c>
      <c r="M118" s="2301">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06" t="s">
        <v>779</v>
      </c>
      <c r="B1" s="370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9.4E-2</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06" t="s">
        <v>105</v>
      </c>
      <c r="B1" s="3706"/>
      <c r="C1" s="3706"/>
      <c r="D1" s="3706"/>
      <c r="E1" s="3706"/>
      <c r="F1" s="370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07" t="s">
        <v>118</v>
      </c>
      <c r="B2" s="3707"/>
      <c r="C2" s="3707"/>
      <c r="D2" s="3707"/>
      <c r="E2" s="3707"/>
      <c r="F2" s="370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0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0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16080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2659</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0" t="s">
        <v>132</v>
      </c>
      <c r="B18" s="767" t="s">
        <v>517</v>
      </c>
      <c r="C18" s="768" t="s">
        <v>518</v>
      </c>
      <c r="D18" s="769"/>
      <c r="E18" s="767">
        <v>1</v>
      </c>
      <c r="F18" s="770" t="s">
        <v>519</v>
      </c>
      <c r="G18" s="771"/>
      <c r="H18" s="763"/>
      <c r="I18" s="763"/>
    </row>
    <row r="19" spans="1:9" s="772" customFormat="1" ht="19.5" customHeight="1">
      <c r="A19" s="3710"/>
      <c r="B19" s="3710" t="s">
        <v>520</v>
      </c>
      <c r="C19" s="768" t="s">
        <v>521</v>
      </c>
      <c r="D19" s="769"/>
      <c r="E19" s="767">
        <v>0.9</v>
      </c>
      <c r="F19" s="770" t="s">
        <v>522</v>
      </c>
      <c r="G19" s="771"/>
      <c r="H19" s="763"/>
      <c r="I19" s="763"/>
    </row>
    <row r="20" spans="1:9" s="772" customFormat="1" ht="19.5" customHeight="1">
      <c r="A20" s="3710"/>
      <c r="B20" s="3710"/>
      <c r="C20" s="768" t="s">
        <v>523</v>
      </c>
      <c r="D20" s="769"/>
      <c r="E20" s="767">
        <v>1.1000000000000001</v>
      </c>
      <c r="F20" s="770" t="s">
        <v>524</v>
      </c>
      <c r="G20" s="771"/>
      <c r="H20" s="763"/>
      <c r="I20" s="763"/>
    </row>
    <row r="21" spans="1:9" s="772" customFormat="1" ht="19.5" customHeight="1">
      <c r="A21" s="3710"/>
      <c r="B21" s="3710"/>
      <c r="C21" s="768" t="s">
        <v>525</v>
      </c>
      <c r="D21" s="769"/>
      <c r="E21" s="767">
        <v>0.8</v>
      </c>
      <c r="F21" s="770" t="s">
        <v>526</v>
      </c>
      <c r="G21" s="771"/>
      <c r="H21" s="763"/>
      <c r="I21" s="763"/>
    </row>
    <row r="22" spans="1:9" s="772" customFormat="1" ht="19.5" customHeight="1">
      <c r="A22" s="3710"/>
      <c r="B22" s="3710"/>
      <c r="C22" s="768" t="s">
        <v>527</v>
      </c>
      <c r="D22" s="769"/>
      <c r="E22" s="767">
        <v>0.5</v>
      </c>
      <c r="F22" s="770"/>
      <c r="G22" s="771"/>
      <c r="H22" s="763"/>
      <c r="I22" s="763"/>
    </row>
    <row r="23" spans="1:9" s="772" customFormat="1" ht="19.5" customHeight="1">
      <c r="A23" s="3710" t="s">
        <v>133</v>
      </c>
      <c r="B23" s="767" t="s">
        <v>517</v>
      </c>
      <c r="C23" s="768" t="s">
        <v>528</v>
      </c>
      <c r="D23" s="769"/>
      <c r="E23" s="767">
        <v>1</v>
      </c>
      <c r="F23" s="770" t="s">
        <v>529</v>
      </c>
      <c r="G23" s="771"/>
      <c r="H23" s="763"/>
      <c r="I23" s="763"/>
    </row>
    <row r="24" spans="1:9" s="772" customFormat="1" ht="19.5" customHeight="1">
      <c r="A24" s="3710"/>
      <c r="B24" s="3710" t="s">
        <v>520</v>
      </c>
      <c r="C24" s="768" t="s">
        <v>530</v>
      </c>
      <c r="D24" s="769"/>
      <c r="E24" s="767">
        <v>0.5</v>
      </c>
      <c r="F24" s="770"/>
      <c r="G24" s="771"/>
      <c r="H24" s="763"/>
      <c r="I24" s="763"/>
    </row>
    <row r="25" spans="1:9" s="772" customFormat="1" ht="19.5" customHeight="1">
      <c r="A25" s="3710"/>
      <c r="B25" s="3710"/>
      <c r="C25" s="768" t="s">
        <v>531</v>
      </c>
      <c r="D25" s="769"/>
      <c r="E25" s="767">
        <v>1.1000000000000001</v>
      </c>
      <c r="F25" s="770"/>
      <c r="G25" s="771"/>
      <c r="H25" s="763"/>
      <c r="I25" s="763"/>
    </row>
    <row r="26" spans="1:9" s="772" customFormat="1" ht="19.5" customHeight="1">
      <c r="A26" s="3710"/>
      <c r="B26" s="3710"/>
      <c r="C26" s="768" t="s">
        <v>532</v>
      </c>
      <c r="D26" s="769"/>
      <c r="E26" s="767">
        <v>1.1000000000000001</v>
      </c>
      <c r="F26" s="770"/>
      <c r="G26" s="771"/>
      <c r="H26" s="763"/>
      <c r="I26" s="763"/>
    </row>
    <row r="27" spans="1:9" s="772" customFormat="1" ht="19.5" customHeight="1">
      <c r="A27" s="3710"/>
      <c r="B27" s="3710"/>
      <c r="C27" s="768" t="s">
        <v>533</v>
      </c>
      <c r="D27" s="769"/>
      <c r="E27" s="767">
        <v>0.9</v>
      </c>
      <c r="F27" s="770" t="s">
        <v>534</v>
      </c>
      <c r="G27" s="771"/>
      <c r="H27" s="763"/>
      <c r="I27" s="763"/>
    </row>
    <row r="28" spans="1:9" s="772" customFormat="1" ht="19.5" customHeight="1">
      <c r="A28" s="3710"/>
      <c r="B28" s="3710"/>
      <c r="C28" s="768" t="s">
        <v>535</v>
      </c>
      <c r="D28" s="769"/>
      <c r="E28" s="767">
        <v>0.9</v>
      </c>
      <c r="F28" s="770" t="s">
        <v>536</v>
      </c>
      <c r="G28" s="771"/>
      <c r="H28" s="763"/>
      <c r="I28" s="763"/>
    </row>
    <row r="29" spans="1:9" s="772" customFormat="1" ht="19.5" customHeight="1">
      <c r="A29" s="3710"/>
      <c r="B29" s="3710"/>
      <c r="C29" s="768" t="s">
        <v>537</v>
      </c>
      <c r="D29" s="769"/>
      <c r="E29" s="767">
        <v>0.9</v>
      </c>
      <c r="F29" s="770" t="s">
        <v>538</v>
      </c>
      <c r="G29" s="771"/>
      <c r="H29" s="763"/>
      <c r="I29" s="763"/>
    </row>
    <row r="30" spans="1:9" s="772" customFormat="1" ht="19.5" customHeight="1">
      <c r="A30" s="3710"/>
      <c r="B30" s="3710"/>
      <c r="C30" s="768" t="s">
        <v>539</v>
      </c>
      <c r="D30" s="769"/>
      <c r="E30" s="767">
        <v>0.9</v>
      </c>
      <c r="F30" s="770" t="s">
        <v>540</v>
      </c>
      <c r="G30" s="771"/>
      <c r="H30" s="763"/>
      <c r="I30" s="763"/>
    </row>
    <row r="31" spans="1:9" s="772" customFormat="1" ht="19.5" customHeight="1">
      <c r="A31" s="3710"/>
      <c r="B31" s="3710"/>
      <c r="C31" s="768" t="s">
        <v>541</v>
      </c>
      <c r="D31" s="769"/>
      <c r="E31" s="767">
        <v>0.8</v>
      </c>
      <c r="F31" s="770" t="s">
        <v>542</v>
      </c>
      <c r="G31" s="771"/>
      <c r="H31" s="763"/>
      <c r="I31" s="763"/>
    </row>
    <row r="32" spans="1:9" s="772" customFormat="1" ht="19.5" customHeight="1">
      <c r="A32" s="3710"/>
      <c r="B32" s="3710"/>
      <c r="C32" s="768" t="s">
        <v>543</v>
      </c>
      <c r="D32" s="769"/>
      <c r="E32" s="767">
        <v>0.8</v>
      </c>
      <c r="F32" s="770" t="s">
        <v>544</v>
      </c>
      <c r="G32" s="771"/>
      <c r="H32" s="763"/>
      <c r="I32" s="763"/>
    </row>
    <row r="33" spans="1:9" s="772" customFormat="1" ht="19.5" customHeight="1">
      <c r="A33" s="3710" t="s">
        <v>134</v>
      </c>
      <c r="B33" s="767" t="s">
        <v>517</v>
      </c>
      <c r="C33" s="768" t="s">
        <v>545</v>
      </c>
      <c r="D33" s="769"/>
      <c r="E33" s="767">
        <v>1</v>
      </c>
      <c r="F33" s="770" t="s">
        <v>546</v>
      </c>
      <c r="G33" s="771"/>
      <c r="H33" s="763"/>
      <c r="I33" s="763"/>
    </row>
    <row r="34" spans="1:9" s="772" customFormat="1" ht="19.5" customHeight="1">
      <c r="A34" s="3710"/>
      <c r="B34" s="767" t="s">
        <v>520</v>
      </c>
      <c r="C34" s="768" t="s">
        <v>547</v>
      </c>
      <c r="D34" s="769"/>
      <c r="E34" s="767">
        <v>1.5</v>
      </c>
      <c r="F34" s="770" t="s">
        <v>548</v>
      </c>
      <c r="G34" s="771"/>
      <c r="H34" s="763"/>
      <c r="I34" s="763"/>
    </row>
    <row r="35" spans="1:9" s="772" customFormat="1" ht="19.5" customHeight="1">
      <c r="A35" s="3710" t="s">
        <v>135</v>
      </c>
      <c r="B35" s="767" t="s">
        <v>517</v>
      </c>
      <c r="C35" s="768" t="s">
        <v>549</v>
      </c>
      <c r="D35" s="769"/>
      <c r="E35" s="767">
        <v>1</v>
      </c>
      <c r="F35" s="770" t="s">
        <v>550</v>
      </c>
      <c r="G35" s="771"/>
      <c r="H35" s="763"/>
      <c r="I35" s="763"/>
    </row>
    <row r="36" spans="1:9" s="772" customFormat="1" ht="19.5" customHeight="1">
      <c r="A36" s="3710"/>
      <c r="B36" s="3710" t="s">
        <v>520</v>
      </c>
      <c r="C36" s="768" t="s">
        <v>551</v>
      </c>
      <c r="D36" s="769"/>
      <c r="E36" s="767">
        <v>1</v>
      </c>
      <c r="F36" s="770" t="s">
        <v>552</v>
      </c>
      <c r="G36" s="771"/>
      <c r="H36" s="763"/>
      <c r="I36" s="763"/>
    </row>
    <row r="37" spans="1:9" s="772" customFormat="1" ht="19.5" customHeight="1">
      <c r="A37" s="3710"/>
      <c r="B37" s="3710"/>
      <c r="C37" s="768" t="s">
        <v>553</v>
      </c>
      <c r="D37" s="769"/>
      <c r="E37" s="767">
        <v>1.5</v>
      </c>
      <c r="F37" s="770" t="s">
        <v>554</v>
      </c>
      <c r="G37" s="771"/>
      <c r="H37" s="763"/>
      <c r="I37" s="763"/>
    </row>
    <row r="38" spans="1:9" s="772" customFormat="1" ht="19.5" customHeight="1">
      <c r="A38" s="3710"/>
      <c r="B38" s="3710"/>
      <c r="C38" s="768" t="s">
        <v>555</v>
      </c>
      <c r="D38" s="769"/>
      <c r="E38" s="767">
        <v>1</v>
      </c>
      <c r="F38" s="770" t="s">
        <v>556</v>
      </c>
      <c r="G38" s="771"/>
      <c r="H38" s="763"/>
      <c r="I38" s="763"/>
    </row>
    <row r="39" spans="1:9" s="772" customFormat="1" ht="19.5" customHeight="1">
      <c r="A39" s="3710"/>
      <c r="B39" s="371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0" t="s">
        <v>571</v>
      </c>
      <c r="C61" s="681" t="s">
        <v>572</v>
      </c>
      <c r="D61" s="681" t="s">
        <v>573</v>
      </c>
      <c r="E61" s="780">
        <v>0.5</v>
      </c>
      <c r="F61" s="767">
        <v>80</v>
      </c>
    </row>
    <row r="62" spans="1:8" s="763" customFormat="1" ht="24">
      <c r="A62" s="767">
        <v>2</v>
      </c>
      <c r="B62" s="3710"/>
      <c r="C62" s="681" t="s">
        <v>574</v>
      </c>
      <c r="D62" s="681" t="s">
        <v>575</v>
      </c>
      <c r="E62" s="780">
        <v>0.5</v>
      </c>
      <c r="F62" s="767">
        <v>80</v>
      </c>
    </row>
    <row r="63" spans="1:8" s="763" customFormat="1" ht="36">
      <c r="A63" s="767">
        <v>3</v>
      </c>
      <c r="B63" s="3710"/>
      <c r="C63" s="681" t="s">
        <v>576</v>
      </c>
      <c r="D63" s="681" t="s">
        <v>577</v>
      </c>
      <c r="E63" s="780">
        <v>0.5</v>
      </c>
      <c r="F63" s="767">
        <v>80</v>
      </c>
    </row>
    <row r="64" spans="1:8" s="763" customFormat="1" ht="36">
      <c r="A64" s="767">
        <v>4</v>
      </c>
      <c r="B64" s="3710"/>
      <c r="C64" s="681" t="s">
        <v>578</v>
      </c>
      <c r="D64" s="681" t="s">
        <v>579</v>
      </c>
      <c r="E64" s="780">
        <v>0.4</v>
      </c>
      <c r="F64" s="767">
        <v>60</v>
      </c>
    </row>
    <row r="65" spans="1:6" s="763" customFormat="1" ht="36">
      <c r="A65" s="767">
        <v>5</v>
      </c>
      <c r="B65" s="3710"/>
      <c r="C65" s="681" t="s">
        <v>580</v>
      </c>
      <c r="D65" s="681" t="s">
        <v>581</v>
      </c>
      <c r="E65" s="780">
        <v>0.2</v>
      </c>
      <c r="F65" s="767">
        <v>30</v>
      </c>
    </row>
    <row r="66" spans="1:6" s="763" customFormat="1" ht="36">
      <c r="A66" s="767">
        <v>6</v>
      </c>
      <c r="B66" s="3710"/>
      <c r="C66" s="681" t="s">
        <v>582</v>
      </c>
      <c r="D66" s="681" t="s">
        <v>583</v>
      </c>
      <c r="E66" s="780">
        <v>0.3</v>
      </c>
      <c r="F66" s="767">
        <v>50</v>
      </c>
    </row>
    <row r="67" spans="1:6" s="763" customFormat="1" ht="36">
      <c r="A67" s="767">
        <v>7</v>
      </c>
      <c r="B67" s="3710"/>
      <c r="C67" s="681" t="s">
        <v>584</v>
      </c>
      <c r="D67" s="681" t="s">
        <v>585</v>
      </c>
      <c r="E67" s="780">
        <v>0.2</v>
      </c>
      <c r="F67" s="767">
        <v>30</v>
      </c>
    </row>
    <row r="68" spans="1:6" s="763" customFormat="1" ht="36">
      <c r="A68" s="767">
        <v>8</v>
      </c>
      <c r="B68" s="3710"/>
      <c r="C68" s="681" t="s">
        <v>586</v>
      </c>
      <c r="D68" s="681" t="s">
        <v>587</v>
      </c>
      <c r="E68" s="780">
        <v>0.2</v>
      </c>
      <c r="F68" s="767">
        <v>30</v>
      </c>
    </row>
    <row r="69" spans="1:6" s="763" customFormat="1" ht="36">
      <c r="A69" s="767">
        <v>9</v>
      </c>
      <c r="B69" s="3710"/>
      <c r="C69" s="681" t="s">
        <v>588</v>
      </c>
      <c r="D69" s="681" t="s">
        <v>589</v>
      </c>
      <c r="E69" s="780">
        <v>0.2</v>
      </c>
      <c r="F69" s="767">
        <v>30</v>
      </c>
    </row>
    <row r="70" spans="1:6" s="763" customFormat="1" ht="48">
      <c r="A70" s="767">
        <v>10</v>
      </c>
      <c r="B70" s="3710"/>
      <c r="C70" s="681" t="s">
        <v>590</v>
      </c>
      <c r="D70" s="681" t="s">
        <v>591</v>
      </c>
      <c r="E70" s="780">
        <v>0.2</v>
      </c>
      <c r="F70" s="767">
        <v>30</v>
      </c>
    </row>
    <row r="71" spans="1:6" s="763" customFormat="1" ht="48">
      <c r="A71" s="767">
        <v>11</v>
      </c>
      <c r="B71" s="3710"/>
      <c r="C71" s="681" t="s">
        <v>592</v>
      </c>
      <c r="D71" s="681" t="s">
        <v>593</v>
      </c>
      <c r="E71" s="780">
        <v>0.2</v>
      </c>
      <c r="F71" s="767">
        <v>30</v>
      </c>
    </row>
    <row r="72" spans="1:6" s="763" customFormat="1" ht="36">
      <c r="A72" s="767">
        <v>12</v>
      </c>
      <c r="B72" s="3710"/>
      <c r="C72" s="681" t="s">
        <v>594</v>
      </c>
      <c r="D72" s="681" t="s">
        <v>595</v>
      </c>
      <c r="E72" s="780">
        <v>0.5</v>
      </c>
      <c r="F72" s="767">
        <v>80</v>
      </c>
    </row>
    <row r="73" spans="1:6" s="763" customFormat="1" ht="24">
      <c r="A73" s="767">
        <v>13</v>
      </c>
      <c r="B73" s="3710"/>
      <c r="C73" s="681" t="s">
        <v>596</v>
      </c>
      <c r="D73" s="681" t="s">
        <v>597</v>
      </c>
      <c r="E73" s="780">
        <v>0.4</v>
      </c>
      <c r="F73" s="767">
        <v>60</v>
      </c>
    </row>
    <row r="74" spans="1:6" s="763" customFormat="1" ht="24">
      <c r="A74" s="767">
        <v>14</v>
      </c>
      <c r="B74" s="3710"/>
      <c r="C74" s="681" t="s">
        <v>598</v>
      </c>
      <c r="D74" s="681" t="s">
        <v>599</v>
      </c>
      <c r="E74" s="780">
        <v>0.2</v>
      </c>
      <c r="F74" s="767">
        <v>30</v>
      </c>
    </row>
    <row r="75" spans="1:6" s="763" customFormat="1" ht="24">
      <c r="A75" s="767">
        <v>15</v>
      </c>
      <c r="B75" s="3710"/>
      <c r="C75" s="681" t="s">
        <v>600</v>
      </c>
      <c r="D75" s="681" t="s">
        <v>601</v>
      </c>
      <c r="E75" s="780">
        <v>0.2</v>
      </c>
      <c r="F75" s="767">
        <v>30</v>
      </c>
    </row>
    <row r="76" spans="1:6" s="763" customFormat="1" ht="24">
      <c r="A76" s="767">
        <v>16</v>
      </c>
      <c r="B76" s="3710" t="s">
        <v>602</v>
      </c>
      <c r="C76" s="681" t="s">
        <v>603</v>
      </c>
      <c r="D76" s="681" t="s">
        <v>604</v>
      </c>
      <c r="E76" s="780">
        <v>0.5</v>
      </c>
      <c r="F76" s="767">
        <v>80</v>
      </c>
    </row>
    <row r="77" spans="1:6" s="763" customFormat="1" ht="24">
      <c r="A77" s="767">
        <v>17</v>
      </c>
      <c r="B77" s="3710"/>
      <c r="C77" s="681" t="s">
        <v>605</v>
      </c>
      <c r="D77" s="681" t="s">
        <v>606</v>
      </c>
      <c r="E77" s="780">
        <v>0.5</v>
      </c>
      <c r="F77" s="767">
        <v>80</v>
      </c>
    </row>
    <row r="78" spans="1:6" s="763" customFormat="1" ht="24">
      <c r="A78" s="767">
        <v>18</v>
      </c>
      <c r="B78" s="3710"/>
      <c r="C78" s="681" t="s">
        <v>607</v>
      </c>
      <c r="D78" s="681" t="s">
        <v>608</v>
      </c>
      <c r="E78" s="780">
        <v>0.2</v>
      </c>
      <c r="F78" s="767">
        <v>30</v>
      </c>
    </row>
    <row r="79" spans="1:6" s="763" customFormat="1" ht="24">
      <c r="A79" s="767">
        <v>19</v>
      </c>
      <c r="B79" s="3710"/>
      <c r="C79" s="681" t="s">
        <v>609</v>
      </c>
      <c r="D79" s="681" t="s">
        <v>610</v>
      </c>
      <c r="E79" s="780">
        <v>0.5</v>
      </c>
      <c r="F79" s="767">
        <v>80</v>
      </c>
    </row>
    <row r="80" spans="1:6" s="763" customFormat="1" ht="36">
      <c r="A80" s="767">
        <v>20</v>
      </c>
      <c r="B80" s="3710"/>
      <c r="C80" s="681" t="s">
        <v>611</v>
      </c>
      <c r="D80" s="681" t="s">
        <v>612</v>
      </c>
      <c r="E80" s="780">
        <v>0.2</v>
      </c>
      <c r="F80" s="767">
        <v>30</v>
      </c>
    </row>
    <row r="81" spans="1:6" s="763" customFormat="1" ht="36">
      <c r="A81" s="767">
        <v>21</v>
      </c>
      <c r="B81" s="3710"/>
      <c r="C81" s="681" t="s">
        <v>613</v>
      </c>
      <c r="D81" s="681" t="s">
        <v>614</v>
      </c>
      <c r="E81" s="780">
        <v>0.2</v>
      </c>
      <c r="F81" s="767">
        <v>30</v>
      </c>
    </row>
    <row r="82" spans="1:6" s="763" customFormat="1" ht="48">
      <c r="A82" s="767">
        <v>22</v>
      </c>
      <c r="B82" s="3710"/>
      <c r="C82" s="681" t="s">
        <v>615</v>
      </c>
      <c r="D82" s="681" t="s">
        <v>616</v>
      </c>
      <c r="E82" s="780">
        <v>0.2</v>
      </c>
      <c r="F82" s="767">
        <v>30</v>
      </c>
    </row>
    <row r="83" spans="1:6" s="763" customFormat="1" ht="48">
      <c r="A83" s="767">
        <v>23</v>
      </c>
      <c r="B83" s="3710"/>
      <c r="C83" s="681" t="s">
        <v>617</v>
      </c>
      <c r="D83" s="681" t="s">
        <v>618</v>
      </c>
      <c r="E83" s="780">
        <v>0.2</v>
      </c>
      <c r="F83" s="767">
        <v>30</v>
      </c>
    </row>
    <row r="84" spans="1:6" s="763" customFormat="1" ht="36">
      <c r="A84" s="767">
        <v>24</v>
      </c>
      <c r="B84" s="3710"/>
      <c r="C84" s="681" t="s">
        <v>619</v>
      </c>
      <c r="D84" s="681" t="s">
        <v>620</v>
      </c>
      <c r="E84" s="780">
        <v>0.2</v>
      </c>
      <c r="F84" s="767">
        <v>30</v>
      </c>
    </row>
    <row r="85" spans="1:6" s="763" customFormat="1" ht="36">
      <c r="A85" s="767">
        <v>25</v>
      </c>
      <c r="B85" s="3710"/>
      <c r="C85" s="681" t="s">
        <v>621</v>
      </c>
      <c r="D85" s="681" t="s">
        <v>622</v>
      </c>
      <c r="E85" s="780">
        <v>0.5</v>
      </c>
      <c r="F85" s="767">
        <v>80</v>
      </c>
    </row>
    <row r="86" spans="1:6" s="763" customFormat="1" ht="36">
      <c r="A86" s="767">
        <v>26</v>
      </c>
      <c r="B86" s="3710"/>
      <c r="C86" s="681" t="s">
        <v>623</v>
      </c>
      <c r="D86" s="681" t="s">
        <v>624</v>
      </c>
      <c r="E86" s="780">
        <v>0.2</v>
      </c>
      <c r="F86" s="767">
        <v>30</v>
      </c>
    </row>
    <row r="87" spans="1:6" s="763" customFormat="1" ht="36">
      <c r="A87" s="767">
        <v>27</v>
      </c>
      <c r="B87" s="3710"/>
      <c r="C87" s="681" t="s">
        <v>625</v>
      </c>
      <c r="D87" s="681" t="s">
        <v>626</v>
      </c>
      <c r="E87" s="780">
        <v>0.2</v>
      </c>
      <c r="F87" s="767">
        <v>30</v>
      </c>
    </row>
    <row r="88" spans="1:6" s="763" customFormat="1" ht="36">
      <c r="A88" s="767">
        <v>28</v>
      </c>
      <c r="B88" s="3710"/>
      <c r="C88" s="681" t="s">
        <v>627</v>
      </c>
      <c r="D88" s="681" t="s">
        <v>628</v>
      </c>
      <c r="E88" s="780">
        <v>0.2</v>
      </c>
      <c r="F88" s="767">
        <v>30</v>
      </c>
    </row>
    <row r="89" spans="1:6" s="763" customFormat="1" ht="24">
      <c r="A89" s="767">
        <v>29</v>
      </c>
      <c r="B89" s="3710"/>
      <c r="C89" s="681" t="s">
        <v>629</v>
      </c>
      <c r="D89" s="681" t="s">
        <v>630</v>
      </c>
      <c r="E89" s="780">
        <v>0.2</v>
      </c>
      <c r="F89" s="767">
        <v>30</v>
      </c>
    </row>
    <row r="90" spans="1:6" s="763" customFormat="1" ht="24">
      <c r="A90" s="767">
        <v>30</v>
      </c>
      <c r="B90" s="3710"/>
      <c r="C90" s="681" t="s">
        <v>631</v>
      </c>
      <c r="D90" s="681" t="s">
        <v>632</v>
      </c>
      <c r="E90" s="780">
        <v>0.2</v>
      </c>
      <c r="F90" s="767">
        <v>30</v>
      </c>
    </row>
    <row r="91" spans="1:6" s="763" customFormat="1" ht="36">
      <c r="A91" s="767">
        <v>31</v>
      </c>
      <c r="B91" s="3710"/>
      <c r="C91" s="681" t="s">
        <v>633</v>
      </c>
      <c r="D91" s="681" t="s">
        <v>634</v>
      </c>
      <c r="E91" s="780">
        <v>0.2</v>
      </c>
      <c r="F91" s="767">
        <v>30</v>
      </c>
    </row>
    <row r="92" spans="1:6" s="763" customFormat="1" ht="24">
      <c r="A92" s="767">
        <v>32</v>
      </c>
      <c r="B92" s="3710" t="s">
        <v>635</v>
      </c>
      <c r="C92" s="767" t="s">
        <v>636</v>
      </c>
      <c r="D92" s="681" t="s">
        <v>637</v>
      </c>
      <c r="E92" s="780">
        <v>0.2</v>
      </c>
      <c r="F92" s="767">
        <v>30</v>
      </c>
    </row>
    <row r="93" spans="1:6" s="763" customFormat="1" ht="36">
      <c r="A93" s="767">
        <v>33</v>
      </c>
      <c r="B93" s="3710"/>
      <c r="C93" s="767" t="s">
        <v>638</v>
      </c>
      <c r="D93" s="681" t="s">
        <v>639</v>
      </c>
      <c r="E93" s="780">
        <v>0.2</v>
      </c>
      <c r="F93" s="767">
        <v>30</v>
      </c>
    </row>
    <row r="94" spans="1:6" s="763" customFormat="1" ht="48">
      <c r="A94" s="767">
        <v>34</v>
      </c>
      <c r="B94" s="3710"/>
      <c r="C94" s="767" t="s">
        <v>640</v>
      </c>
      <c r="D94" s="681" t="s">
        <v>641</v>
      </c>
      <c r="E94" s="780">
        <v>0.2</v>
      </c>
      <c r="F94" s="767">
        <v>30</v>
      </c>
    </row>
    <row r="95" spans="1:6" s="763" customFormat="1" ht="36">
      <c r="A95" s="767">
        <v>35</v>
      </c>
      <c r="B95" s="3710"/>
      <c r="C95" s="767" t="s">
        <v>642</v>
      </c>
      <c r="D95" s="681" t="s">
        <v>643</v>
      </c>
      <c r="E95" s="780">
        <v>0.2</v>
      </c>
      <c r="F95" s="767">
        <v>30</v>
      </c>
    </row>
    <row r="96" spans="1:6" s="763" customFormat="1" ht="48">
      <c r="A96" s="767">
        <v>36</v>
      </c>
      <c r="B96" s="3710"/>
      <c r="C96" s="681" t="s">
        <v>644</v>
      </c>
      <c r="D96" s="681" t="s">
        <v>645</v>
      </c>
      <c r="E96" s="780">
        <v>0.2</v>
      </c>
      <c r="F96" s="767">
        <v>30</v>
      </c>
    </row>
    <row r="97" spans="1:6" s="763" customFormat="1" ht="36">
      <c r="A97" s="767">
        <v>37</v>
      </c>
      <c r="B97" s="3710"/>
      <c r="C97" s="767" t="s">
        <v>646</v>
      </c>
      <c r="D97" s="681" t="s">
        <v>647</v>
      </c>
      <c r="E97" s="780">
        <v>0.2</v>
      </c>
      <c r="F97" s="767">
        <v>30</v>
      </c>
    </row>
    <row r="98" spans="1:6" s="763" customFormat="1" ht="36">
      <c r="A98" s="767">
        <v>38</v>
      </c>
      <c r="B98" s="3710"/>
      <c r="C98" s="767" t="s">
        <v>648</v>
      </c>
      <c r="D98" s="681" t="s">
        <v>649</v>
      </c>
      <c r="E98" s="780">
        <v>0.2</v>
      </c>
      <c r="F98" s="767">
        <v>30</v>
      </c>
    </row>
    <row r="99" spans="1:6" s="763" customFormat="1" ht="36">
      <c r="A99" s="767">
        <v>39</v>
      </c>
      <c r="B99" s="3710" t="s">
        <v>650</v>
      </c>
      <c r="C99" s="767" t="s">
        <v>651</v>
      </c>
      <c r="D99" s="681" t="s">
        <v>652</v>
      </c>
      <c r="E99" s="780">
        <v>0.3</v>
      </c>
      <c r="F99" s="767">
        <v>50</v>
      </c>
    </row>
    <row r="100" spans="1:6" s="763" customFormat="1" ht="24">
      <c r="A100" s="767">
        <v>40</v>
      </c>
      <c r="B100" s="3710"/>
      <c r="C100" s="767" t="s">
        <v>653</v>
      </c>
      <c r="D100" s="681" t="s">
        <v>654</v>
      </c>
      <c r="E100" s="780">
        <v>0.2</v>
      </c>
      <c r="F100" s="767">
        <v>30</v>
      </c>
    </row>
    <row r="101" spans="1:6" s="763" customFormat="1" ht="36">
      <c r="A101" s="767">
        <v>41</v>
      </c>
      <c r="B101" s="371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0" t="s">
        <v>665</v>
      </c>
      <c r="C105" s="767" t="s">
        <v>666</v>
      </c>
      <c r="D105" s="681" t="s">
        <v>667</v>
      </c>
      <c r="E105" s="780">
        <v>0.2</v>
      </c>
      <c r="F105" s="767">
        <v>30</v>
      </c>
    </row>
    <row r="106" spans="1:6" s="763" customFormat="1" ht="36">
      <c r="A106" s="767">
        <v>46</v>
      </c>
      <c r="B106" s="3710"/>
      <c r="C106" s="767" t="s">
        <v>668</v>
      </c>
      <c r="D106" s="681" t="s">
        <v>669</v>
      </c>
      <c r="E106" s="780">
        <v>0.2</v>
      </c>
      <c r="F106" s="767">
        <v>30</v>
      </c>
    </row>
    <row r="107" spans="1:6" s="763" customFormat="1" ht="36">
      <c r="A107" s="767">
        <v>47</v>
      </c>
      <c r="B107" s="3710" t="s">
        <v>670</v>
      </c>
      <c r="C107" s="767" t="s">
        <v>671</v>
      </c>
      <c r="D107" s="681" t="s">
        <v>672</v>
      </c>
      <c r="E107" s="780">
        <v>0.3</v>
      </c>
      <c r="F107" s="767">
        <v>50</v>
      </c>
    </row>
    <row r="108" spans="1:6" s="763" customFormat="1" ht="36">
      <c r="A108" s="767">
        <v>48</v>
      </c>
      <c r="B108" s="371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0" t="s">
        <v>681</v>
      </c>
      <c r="C111" s="767" t="s">
        <v>682</v>
      </c>
      <c r="D111" s="681" t="s">
        <v>683</v>
      </c>
      <c r="E111" s="780">
        <v>0.2</v>
      </c>
      <c r="F111" s="767">
        <v>30</v>
      </c>
    </row>
    <row r="112" spans="1:6" s="763" customFormat="1" ht="24">
      <c r="A112" s="767">
        <v>52</v>
      </c>
      <c r="B112" s="3710"/>
      <c r="C112" s="767" t="s">
        <v>684</v>
      </c>
      <c r="D112" s="681" t="s">
        <v>685</v>
      </c>
      <c r="E112" s="780">
        <v>0.2</v>
      </c>
      <c r="F112" s="767">
        <v>30</v>
      </c>
    </row>
    <row r="113" spans="1:6" s="763" customFormat="1" ht="24">
      <c r="A113" s="767">
        <v>53</v>
      </c>
      <c r="B113" s="371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0" t="s">
        <v>694</v>
      </c>
      <c r="C116" s="767" t="s">
        <v>695</v>
      </c>
      <c r="D116" s="681" t="s">
        <v>696</v>
      </c>
      <c r="E116" s="780">
        <v>0.2</v>
      </c>
      <c r="F116" s="767">
        <v>30</v>
      </c>
    </row>
    <row r="117" spans="1:6" ht="36">
      <c r="A117" s="767">
        <v>57</v>
      </c>
      <c r="B117" s="371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0.89929999999999999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6" t="s">
        <v>964</v>
      </c>
      <c r="C1" s="3716"/>
      <c r="D1" s="3716"/>
      <c r="E1" s="3716"/>
      <c r="F1" s="3716"/>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2645</v>
      </c>
      <c r="B3" s="2308"/>
      <c r="C3" s="2308"/>
      <c r="D3" s="2309"/>
      <c r="E3" s="2309"/>
      <c r="F3" s="2308"/>
      <c r="G3" s="2310"/>
      <c r="H3" s="2311"/>
      <c r="I3" s="2312">
        <f>ROUND(AVERAGE(I4:I37),2)</f>
        <v>1.61</v>
      </c>
      <c r="J3" s="2312">
        <f>ROUND(AVERAGE(J4:J37),2)</f>
        <v>1.02</v>
      </c>
      <c r="K3" s="2312">
        <f>ROUND(AVERAGE(K4:K37),2)</f>
        <v>1.77</v>
      </c>
      <c r="L3" s="2313">
        <f>ROUND(AVERAGE(L4:L37),2)</f>
        <v>1.18</v>
      </c>
      <c r="N3" s="2310"/>
      <c r="S3" s="2310"/>
      <c r="W3" s="2315"/>
      <c r="X3" s="2316">
        <f>ROUND(SUMPRODUCT(PRODUCT(1+N3:N$36)),4)</f>
        <v>1.6415999999999999</v>
      </c>
      <c r="Y3" s="2316">
        <f>ROUND(SUMPRODUCT(PRODUCT(1+O3:O$36)),4)</f>
        <v>1.3644000000000001</v>
      </c>
      <c r="Z3" s="2316">
        <f t="shared" ref="Z3:Z34" si="0">Y3</f>
        <v>1.3644000000000001</v>
      </c>
      <c r="AA3" s="2316">
        <f>ROUND(SUMPRODUCT(PRODUCT(1+P3:P$36)),4)</f>
        <v>1.7232000000000001</v>
      </c>
      <c r="AB3" s="2316">
        <f>ROUND(SUMPRODUCT(PRODUCT(1+Q3:Q$36)),4)</f>
        <v>1.4529000000000001</v>
      </c>
      <c r="AD3" s="2317">
        <f>ROUND(AVERAGE(I3:I$37)/100,4)</f>
        <v>1.61E-2</v>
      </c>
      <c r="AE3" s="2317">
        <f>ROUND(AVERAGE(J3:J$37)/100,4)</f>
        <v>1.0200000000000001E-2</v>
      </c>
      <c r="AF3" s="2317">
        <f t="shared" ref="AF3:AF25" si="1">AE3</f>
        <v>1.0200000000000001E-2</v>
      </c>
      <c r="AG3" s="2317">
        <f>ROUND(AVERAGE(K3:K$37)/100,4)</f>
        <v>1.77E-2</v>
      </c>
      <c r="AH3" s="2317">
        <f>ROUND(AVERAGE(L3:L$37)/100,4)</f>
        <v>1.18E-2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2978</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2644</v>
      </c>
      <c r="X5" s="2336">
        <f>ROUND(SUMPRODUCT(PRODUCT(1+N5:N$36)),4)</f>
        <v>1.6415999999999999</v>
      </c>
      <c r="Y5" s="2336">
        <f>ROUND(SUMPRODUCT(PRODUCT(1+O5:O$36)),4)</f>
        <v>1.3644000000000001</v>
      </c>
      <c r="Z5" s="2336">
        <f t="shared" ref="Z5" si="11">Y5</f>
        <v>1.3644000000000001</v>
      </c>
      <c r="AA5" s="2336">
        <f>ROUND(SUMPRODUCT(PRODUCT(1+P5:P$36)),4)</f>
        <v>1.7232000000000001</v>
      </c>
      <c r="AB5" s="2336">
        <f>ROUND(SUMPRODUCT(PRODUCT(1+Q5:Q$36)),4)</f>
        <v>1.4529000000000001</v>
      </c>
      <c r="AD5" s="2337">
        <f>ROUND(AVERAGE(I5:I$37)/100,4)</f>
        <v>1.61E-2</v>
      </c>
      <c r="AE5" s="2337">
        <f>ROUND(AVERAGE(J5:J$37)/100,4)</f>
        <v>1.0200000000000001E-2</v>
      </c>
      <c r="AF5" s="2337">
        <f t="shared" ref="AF5" si="12">AE5</f>
        <v>1.0200000000000001E-2</v>
      </c>
      <c r="AG5" s="2337">
        <f>ROUND(AVERAGE(K5:K$37)/100,4)</f>
        <v>1.77E-2</v>
      </c>
      <c r="AH5" s="2337">
        <f>ROUND(AVERAGE(L5:L$37)/100,4)</f>
        <v>1.18E-2</v>
      </c>
    </row>
    <row r="6" spans="1:34" s="2345" customFormat="1" ht="14.45" customHeight="1">
      <c r="A6" s="2338" t="s">
        <v>2977</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315">
        <v>2021</v>
      </c>
      <c r="H6" s="2340">
        <v>4</v>
      </c>
      <c r="I6" s="3130">
        <v>0</v>
      </c>
      <c r="J6" s="3130">
        <v>0</v>
      </c>
      <c r="K6" s="3130">
        <v>0</v>
      </c>
      <c r="L6" s="3131">
        <v>0</v>
      </c>
      <c r="M6" s="2342"/>
      <c r="N6" s="2343">
        <f t="shared" ref="N6" si="18">I6/100</f>
        <v>0</v>
      </c>
      <c r="O6" s="2344">
        <f t="shared" ref="O6" si="19">J6/100</f>
        <v>0</v>
      </c>
      <c r="P6" s="2344">
        <f t="shared" ref="P6" si="20">K6/100</f>
        <v>0</v>
      </c>
      <c r="Q6" s="2344">
        <f t="shared" ref="Q6" si="21">L6/100</f>
        <v>0</v>
      </c>
      <c r="R6" s="2342"/>
      <c r="S6" s="2343"/>
      <c r="T6" s="2344"/>
      <c r="U6" s="2344"/>
      <c r="V6" s="2344"/>
      <c r="W6" s="2342"/>
      <c r="X6" s="2342">
        <f>ROUND(SUMPRODUCT(PRODUCT(1+N6:N$36)),4)</f>
        <v>1.6415999999999999</v>
      </c>
      <c r="Y6" s="2342">
        <f>ROUND(SUMPRODUCT(PRODUCT(1+O6:O$36)),4)</f>
        <v>1.3644000000000001</v>
      </c>
      <c r="Z6" s="2342">
        <f t="shared" ref="Z6" si="22">Y6</f>
        <v>1.3644000000000001</v>
      </c>
      <c r="AA6" s="2342">
        <f>ROUND(SUMPRODUCT(PRODUCT(1+P6:P$36)),4)</f>
        <v>1.7232000000000001</v>
      </c>
      <c r="AB6" s="2342">
        <f>ROUND(SUMPRODUCT(PRODUCT(1+Q6:Q$36)),4)</f>
        <v>1.4529000000000001</v>
      </c>
      <c r="AC6" s="2342"/>
      <c r="AD6" s="2344">
        <f>ROUND(AVERAGE(I6:I$37)/100,4)</f>
        <v>1.66E-2</v>
      </c>
      <c r="AE6" s="2344">
        <f>ROUND(AVERAGE(J6:J$37)/100,4)</f>
        <v>1.0500000000000001E-2</v>
      </c>
      <c r="AF6" s="2344">
        <f t="shared" ref="AF6" si="23">AE6</f>
        <v>1.0500000000000001E-2</v>
      </c>
      <c r="AG6" s="2344">
        <f>ROUND(AVERAGE(K6:K$37)/100,4)</f>
        <v>1.83E-2</v>
      </c>
      <c r="AH6" s="2344">
        <f>ROUND(AVERAGE(L6:L$37)/100,4)</f>
        <v>1.2200000000000001E-2</v>
      </c>
    </row>
    <row r="7" spans="1:34" s="2345" customFormat="1" ht="14.45" customHeight="1">
      <c r="A7" s="2338" t="s">
        <v>2831</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2830</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2829</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2658</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14">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2653</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14"/>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2652</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14"/>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2649</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21"/>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2646</v>
      </c>
      <c r="B22" s="2348">
        <v>439</v>
      </c>
      <c r="C22" s="2348">
        <v>327</v>
      </c>
      <c r="D22" s="2348">
        <f t="shared" si="169"/>
        <v>327</v>
      </c>
      <c r="E22" s="2348">
        <v>627</v>
      </c>
      <c r="F22" s="2349">
        <v>283</v>
      </c>
      <c r="G22" s="3717">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2643</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14"/>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14"/>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21"/>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17">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14"/>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14"/>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15"/>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13">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14"/>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14"/>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15"/>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13">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14"/>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14"/>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15"/>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8">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9"/>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9"/>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20"/>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13">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14"/>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14"/>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15"/>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13">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14">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14">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15">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13">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14">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14">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15">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13">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14">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14">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15">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13">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14">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14">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15">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13">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14">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14">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15">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13">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14">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14">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15">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13">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14">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14">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15">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13">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14">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14">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15">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13">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14">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14">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15">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13">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14">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14">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15">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44644</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0" t="s">
        <v>2827</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L52"/>
  <sheetViews>
    <sheetView zoomScale="130" zoomScaleNormal="130" workbookViewId="0">
      <selection activeCell="L59" sqref="L59"/>
    </sheetView>
  </sheetViews>
  <sheetFormatPr defaultRowHeight="13.5"/>
  <sheetData>
    <row r="26" spans="3:4">
      <c r="C26" s="1310"/>
      <c r="D26" s="1310"/>
    </row>
    <row r="52" spans="12:12">
      <c r="L52" s="1310" t="s">
        <v>3046</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331"/>
      <c r="B3" s="1331"/>
      <c r="C3" s="1331"/>
      <c r="D3" s="1331"/>
      <c r="E3" s="1331"/>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328"/>
      <c r="B5" s="1332" t="s">
        <v>742</v>
      </c>
      <c r="C5" s="3344" t="s">
        <v>775</v>
      </c>
      <c r="D5" s="3345"/>
      <c r="E5" s="1328"/>
    </row>
    <row r="6" spans="1:5" ht="14.25">
      <c r="A6" s="1328"/>
      <c r="B6" s="1333" t="str">
        <f>项目基本情况!I1</f>
        <v>北京市房地产</v>
      </c>
      <c r="C6" s="3346">
        <f>项目基本情况!C12</f>
        <v>447.86</v>
      </c>
      <c r="D6" s="3346"/>
      <c r="E6" s="1328"/>
    </row>
    <row r="7" spans="1:5" ht="14.25">
      <c r="A7" s="1328"/>
      <c r="B7" s="3340" t="s">
        <v>776</v>
      </c>
      <c r="C7" s="1334" t="str">
        <f>IF('数据-取费表'!B3="万元","总价（万元）","总价（元）")</f>
        <v>总价（元）</v>
      </c>
      <c r="D7" s="1335">
        <f ca="1">IF('数据-取费表'!E3="否",结果表!I102,'结果表 (1修多)'!I104)</f>
        <v>13210975</v>
      </c>
      <c r="E7" s="1328"/>
    </row>
    <row r="8" spans="1:5" ht="28.5">
      <c r="A8" s="1328"/>
      <c r="B8" s="3340"/>
      <c r="C8" s="1336" t="s">
        <v>1106</v>
      </c>
      <c r="D8" s="1337" t="str">
        <f ca="1">IF('数据-取费表'!B3="万元",NUMBERSTRING(INT(D7*10000),2)&amp;"元整",NUMBERSTRING(INT(D7),2)&amp;"元整")</f>
        <v>壹仟叁佰贰拾壹万零玖佰柒拾伍元整</v>
      </c>
      <c r="E8" s="1328"/>
    </row>
    <row r="9" spans="1:5" ht="14.25">
      <c r="A9" s="1328"/>
      <c r="B9" s="3340"/>
      <c r="C9" s="1338" t="s">
        <v>1203</v>
      </c>
      <c r="D9" s="1335">
        <f ca="1">IF('数据-取费表'!E3="否",结果表!I103,'结果表 (1修多)'!I105)</f>
        <v>294980016</v>
      </c>
      <c r="E9" s="1328"/>
    </row>
    <row r="10" spans="1:5" ht="14.25">
      <c r="A10" s="1328"/>
      <c r="B10" s="3347"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47"/>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47" t="str">
        <f>IF('数据-取费表'!E3="否",结果表!F110,'结果表 (1修多)'!F112)</f>
        <v>3.房地产抵押价值</v>
      </c>
      <c r="C15" s="1329" t="str">
        <f>C7</f>
        <v>总价（元）</v>
      </c>
      <c r="D15" s="1335">
        <f ca="1">IF('数据-取费表'!E3="否",结果表!I110,'结果表 (1修多)'!I112)</f>
        <v>13210975</v>
      </c>
      <c r="E15" s="1328"/>
    </row>
    <row r="16" spans="1:5" ht="28.5">
      <c r="A16" s="1328"/>
      <c r="B16" s="3347"/>
      <c r="C16" s="1336" t="s">
        <v>1106</v>
      </c>
      <c r="D16" s="1335" t="str">
        <f ca="1">IF('数据-取费表'!B3="万元",NUMBERSTRING(INT(D15*10000),2)&amp;"元整",NUMBERSTRING(INT(D15),2)&amp;"元整")</f>
        <v>壹仟叁佰贰拾壹万零玖佰柒拾伍元整</v>
      </c>
      <c r="E16" s="1328"/>
    </row>
    <row r="17" spans="1:5" ht="14.25">
      <c r="A17" s="1328"/>
      <c r="B17" s="3347"/>
      <c r="C17" s="1338" t="s">
        <v>1203</v>
      </c>
      <c r="D17" s="1335">
        <f ca="1">IF('数据-取费表'!E3="否",结果表!I111,'结果表 (1修多)'!I113)</f>
        <v>294980016</v>
      </c>
      <c r="E17" s="1328"/>
    </row>
    <row r="18" spans="1:5" ht="14.25">
      <c r="A18" s="1328"/>
      <c r="B18" s="3347" t="str">
        <f>IF('数据-取费表'!E3="否",结果表!F112,'结果表 (1修多)'!F114)</f>
        <v>——</v>
      </c>
      <c r="C18" s="1329" t="str">
        <f>C7</f>
        <v>总价（元）</v>
      </c>
      <c r="D18" s="1335" t="str">
        <f>IF('数据-取费表'!E3="否",结果表!I112,'结果表 (1修多)'!I114)</f>
        <v>——</v>
      </c>
      <c r="E18" s="1328"/>
    </row>
    <row r="19" spans="1:5" ht="14.25">
      <c r="A19" s="1328"/>
      <c r="B19" s="3347"/>
      <c r="C19" s="1336" t="s">
        <v>1106</v>
      </c>
      <c r="D19" s="1335" t="e">
        <f>IF('数据-取费表'!B3="万元",NUMBERSTRING(INT(D18*10000),2)&amp;"元整",NUMBERSTRING(INT(D18),2)&amp;"元整")</f>
        <v>#VALUE!</v>
      </c>
      <c r="E19" s="1328"/>
    </row>
    <row r="20" spans="1:5" ht="14.25">
      <c r="A20" s="1328"/>
      <c r="B20" s="3347"/>
      <c r="C20" s="1338" t="s">
        <v>1203</v>
      </c>
      <c r="D20" s="1335" t="str">
        <f>IF('数据-取费表'!E3="否",结果表!I113,'结果表 (1修多)'!I115)</f>
        <v>——</v>
      </c>
      <c r="E20" s="1328"/>
    </row>
    <row r="21" spans="1:5" ht="14.25">
      <c r="A21" s="1328"/>
      <c r="B21" s="3340" t="str">
        <f>IF('数据-取费表'!E3="否",结果表!F114,'结果表 (1修多)'!F116)</f>
        <v>——</v>
      </c>
      <c r="C21" s="1334" t="str">
        <f>C7</f>
        <v>总价（元）</v>
      </c>
      <c r="D21" s="1335" t="str">
        <f>IF('数据-取费表'!E3="否",结果表!I114,'结果表 (1修多)'!I116)</f>
        <v>——</v>
      </c>
      <c r="E21" s="1328"/>
    </row>
    <row r="22" spans="1:5" ht="14.25">
      <c r="A22" s="1328"/>
      <c r="B22" s="3340"/>
      <c r="C22" s="1336" t="s">
        <v>1106</v>
      </c>
      <c r="D22" s="1337" t="e">
        <f>IF('数据-取费表'!B3="万元",NUMBERSTRING(INT(D21*10000),2)&amp;"元整",NUMBERSTRING(INT(D21),2)&amp;"元整")</f>
        <v>#VALUE!</v>
      </c>
      <c r="E22" s="1328"/>
    </row>
    <row r="23" spans="1:5" ht="15" thickBot="1">
      <c r="A23" s="1328"/>
      <c r="B23" s="3341"/>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2" t="s">
        <v>1204</v>
      </c>
      <c r="C25" s="3332"/>
      <c r="D25" s="3332"/>
      <c r="E25" s="1328"/>
    </row>
    <row r="26" spans="1:5" ht="18.75" customHeight="1" thickTop="1">
      <c r="A26" s="1328"/>
      <c r="B26" s="3335" t="s">
        <v>1105</v>
      </c>
      <c r="C26" s="3336"/>
      <c r="D26" s="3333" t="s">
        <v>1104</v>
      </c>
      <c r="E26" s="1328"/>
    </row>
    <row r="27" spans="1:5" ht="18.75" customHeight="1">
      <c r="A27" s="1328"/>
      <c r="B27" s="3337"/>
      <c r="C27" s="3338"/>
      <c r="D27" s="3334"/>
      <c r="E27" s="1328"/>
    </row>
    <row r="28" spans="1:5" ht="14.25">
      <c r="A28" s="1328"/>
      <c r="B28" s="3325" t="s">
        <v>776</v>
      </c>
      <c r="C28" s="1345" t="s">
        <v>1107</v>
      </c>
      <c r="D28" s="1346">
        <f ca="1">IF('数据-取费表'!E3="否",结果表!I102,'结果表 (1修多)'!I104)</f>
        <v>13210975</v>
      </c>
      <c r="E28" s="1328"/>
    </row>
    <row r="29" spans="1:5" ht="28.5">
      <c r="A29" s="1328"/>
      <c r="B29" s="3326"/>
      <c r="C29" s="1347" t="s">
        <v>1106</v>
      </c>
      <c r="D29" s="1348" t="str">
        <f ca="1">IF('数据-取费表'!B3="万元",NUMBERSTRING(INT(D28*10000),2)&amp;"元整",NUMBERSTRING(INT(D28),2)&amp;"元整")</f>
        <v>壹仟叁佰贰拾壹万零玖佰柒拾伍元整</v>
      </c>
      <c r="E29" s="1328"/>
    </row>
    <row r="30" spans="1:5" ht="14.25">
      <c r="A30" s="1328"/>
      <c r="B30" s="3327"/>
      <c r="C30" s="1338" t="s">
        <v>1109</v>
      </c>
      <c r="D30" s="1349">
        <f ca="1">IF('数据-取费表'!E3="否",结果表!I103,'结果表 (1修多)'!I105)</f>
        <v>294980016</v>
      </c>
      <c r="E30" s="1328"/>
    </row>
    <row r="31" spans="1:5" ht="14.25">
      <c r="A31" s="1328"/>
      <c r="B31" s="3330" t="str">
        <f>B10</f>
        <v>2.估价师所知悉的法定优先受偿款</v>
      </c>
      <c r="C31" s="1350" t="s">
        <v>1108</v>
      </c>
      <c r="D31" s="1351">
        <f>IF('数据-取费表'!E3="否",结果表!I105,'结果表 (1修多)'!I107)</f>
        <v>0</v>
      </c>
      <c r="E31" s="1328"/>
    </row>
    <row r="32" spans="1:5" ht="14.25">
      <c r="A32" s="1328"/>
      <c r="B32" s="3339"/>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8" t="str">
        <f>B15</f>
        <v>3.房地产抵押价值</v>
      </c>
      <c r="C36" s="1350" t="str">
        <f>C28</f>
        <v>总价</v>
      </c>
      <c r="D36" s="1351">
        <f ca="1">IF('数据-取费表'!E3="否",结果表!I110,'结果表 (1修多)'!I112)</f>
        <v>13210975</v>
      </c>
      <c r="E36" s="1328"/>
    </row>
    <row r="37" spans="1:5" ht="28.5">
      <c r="A37" s="1328"/>
      <c r="B37" s="3328"/>
      <c r="C37" s="1347" t="s">
        <v>1106</v>
      </c>
      <c r="D37" s="1352" t="str">
        <f ca="1">IF('数据-取费表'!B3="万元",NUMBERSTRING(INT(D36*10000),2)&amp;"元整",NUMBERSTRING(INT(D36),2)&amp;"元整")</f>
        <v>壹仟叁佰贰拾壹万零玖佰柒拾伍元整</v>
      </c>
      <c r="E37" s="1328"/>
    </row>
    <row r="38" spans="1:5" ht="14.25">
      <c r="A38" s="1328"/>
      <c r="B38" s="3328"/>
      <c r="C38" s="1338" t="s">
        <v>1110</v>
      </c>
      <c r="D38" s="1349">
        <f ca="1">IF('数据-取费表'!E3="否",结果表!D113,'结果表 (1修多)'!D117)</f>
        <v>294980016</v>
      </c>
      <c r="E38" s="1328"/>
    </row>
    <row r="39" spans="1:5" ht="14.25">
      <c r="A39" s="1328"/>
      <c r="B39" s="3329" t="str">
        <f>B18</f>
        <v>——</v>
      </c>
      <c r="C39" s="1350" t="str">
        <f>C28</f>
        <v>总价</v>
      </c>
      <c r="D39" s="1351" t="str">
        <f>IF('数据-取费表'!E3="否",结果表!I112,'结果表 (1修多)'!I114)</f>
        <v>——</v>
      </c>
      <c r="E39" s="1328"/>
    </row>
    <row r="40" spans="1:5" ht="14.25">
      <c r="A40" s="1328"/>
      <c r="B40" s="3329"/>
      <c r="C40" s="1347" t="s">
        <v>1106</v>
      </c>
      <c r="D40" s="1352" t="e">
        <f>IF('数据-取费表'!B3="万元",NUMBERSTRING(INT(D39*10000),2)&amp;"元整",NUMBERSTRING(INT(D39),2)&amp;"元整")</f>
        <v>#VALUE!</v>
      </c>
      <c r="E40" s="1328"/>
    </row>
    <row r="41" spans="1:5" ht="14.25">
      <c r="A41" s="1328"/>
      <c r="B41" s="3329"/>
      <c r="C41" s="1338" t="s">
        <v>1110</v>
      </c>
      <c r="D41" s="1349" t="str">
        <f>IF('数据-取费表'!E3="否",结果表!D115,'结果表 (1修多)'!D119)</f>
        <v>——</v>
      </c>
      <c r="E41" s="1328"/>
    </row>
    <row r="42" spans="1:5" ht="14.25">
      <c r="A42" s="1328"/>
      <c r="B42" s="3328" t="str">
        <f>B21</f>
        <v>——</v>
      </c>
      <c r="C42" s="1350" t="str">
        <f>C28</f>
        <v>总价</v>
      </c>
      <c r="D42" s="1351" t="str">
        <f>IF('数据-取费表'!E3="否",结果表!I114,'结果表 (1修多)'!I116)</f>
        <v>——</v>
      </c>
      <c r="E42" s="1328"/>
    </row>
    <row r="43" spans="1:5" ht="14.25">
      <c r="A43" s="1328"/>
      <c r="B43" s="3330"/>
      <c r="C43" s="1347" t="s">
        <v>1106</v>
      </c>
      <c r="D43" s="1353" t="e">
        <f>IF('数据-取费表'!B3="万元",NUMBERSTRING(INT(D42*10000),2)&amp;"元整",NUMBERSTRING(INT(D42),2)&amp;"元整")</f>
        <v>#VALUE!</v>
      </c>
      <c r="E43" s="1328"/>
    </row>
    <row r="44" spans="1:5" ht="15" thickBot="1">
      <c r="A44" s="1328"/>
      <c r="B44" s="3331"/>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1205</v>
      </c>
      <c r="B2" s="3355" t="s">
        <v>1206</v>
      </c>
      <c r="C2" s="3355" t="s">
        <v>1207</v>
      </c>
      <c r="D2" s="3355" t="str">
        <f>IF('数据-取费表'!E3="否",结果表!D119,'结果表 (1修多)'!D123)</f>
        <v>出让国有建设用地使用权价值</v>
      </c>
      <c r="E2" s="3355"/>
      <c r="F2" s="3355" t="s">
        <v>1208</v>
      </c>
      <c r="G2" s="3355"/>
      <c r="H2" s="3355" t="s">
        <v>1209</v>
      </c>
      <c r="I2" s="3355"/>
    </row>
    <row r="3" spans="1:9" ht="15">
      <c r="A3" s="3348"/>
      <c r="B3" s="3348"/>
      <c r="C3" s="3348"/>
      <c r="D3" s="817" t="s">
        <v>1210</v>
      </c>
      <c r="E3" s="817" t="s">
        <v>1211</v>
      </c>
      <c r="F3" s="817" t="s">
        <v>1210</v>
      </c>
      <c r="G3" s="817" t="s">
        <v>1212</v>
      </c>
      <c r="H3" s="817" t="s">
        <v>1210</v>
      </c>
      <c r="I3" s="817" t="s">
        <v>1212</v>
      </c>
    </row>
    <row r="4" spans="1:9" ht="46.5" customHeight="1">
      <c r="A4" s="817" t="str">
        <f>项目基本情况!I1</f>
        <v>北京市房地产</v>
      </c>
      <c r="B4" s="817">
        <f>结果表!B121</f>
        <v>447.86</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13210975</v>
      </c>
      <c r="I4" s="817">
        <f ca="1">IF('数据-取费表'!E3="否",结果表!I121,'结果表 (1修多)'!I125)</f>
        <v>294980016</v>
      </c>
    </row>
    <row r="5" spans="1:9" ht="15">
      <c r="A5" s="3348" t="s">
        <v>1213</v>
      </c>
      <c r="B5" s="3348"/>
      <c r="C5" s="3348"/>
      <c r="D5" s="3349" t="str">
        <f>IF('数据-取费表'!E3="否",结果表!D122,'结果表 (1修多)'!D126)</f>
        <v>零元整</v>
      </c>
      <c r="E5" s="3349"/>
      <c r="F5" s="3349" t="str">
        <f>IF('数据-取费表'!E3="否",结果表!F122,'结果表 (1修多)'!F126)</f>
        <v>零元整</v>
      </c>
      <c r="G5" s="3349"/>
      <c r="H5" s="3349" t="str">
        <f ca="1">IF('数据-取费表'!E3="否",结果表!H122,'结果表 (1修多)'!H126)</f>
        <v>壹仟叁佰贰拾壹万零玖佰柒拾伍元整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1213</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13210975</v>
      </c>
      <c r="E8" s="3350"/>
      <c r="F8" s="3350"/>
      <c r="G8" s="3350"/>
      <c r="H8" s="3350"/>
      <c r="I8" s="3350"/>
    </row>
    <row r="9" spans="1:9" ht="15">
      <c r="A9" s="3348" t="s">
        <v>1213</v>
      </c>
      <c r="B9" s="3348"/>
      <c r="C9" s="3348"/>
      <c r="D9" s="3349">
        <f ca="1">IF('数据-取费表'!E3="否",结果表!D126,'结果表 (1修多)'!D130)</f>
        <v>294980016</v>
      </c>
      <c r="E9" s="3349"/>
      <c r="F9" s="3349"/>
      <c r="G9" s="3349"/>
      <c r="H9" s="3349"/>
      <c r="I9" s="3349"/>
    </row>
    <row r="10" spans="1:9" ht="15.75">
      <c r="A10" s="3350" t="str">
        <f>IF('数据-取费表'!E3="否",结果表!A127,'结果表 (1修多)'!A131)</f>
        <v/>
      </c>
      <c r="B10" s="3350"/>
      <c r="C10" s="3350"/>
      <c r="D10" s="3350">
        <f ca="1">IF('数据-取费表'!E3="否",结果表!D127,'结果表 (1修多)'!D130)</f>
        <v>294980016</v>
      </c>
      <c r="E10" s="3350"/>
      <c r="F10" s="3350"/>
      <c r="G10" s="3350"/>
      <c r="H10" s="3350"/>
      <c r="I10" s="3350"/>
    </row>
    <row r="11" spans="1:9" ht="15">
      <c r="A11" s="3348" t="s">
        <v>1213</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1213</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单位：平方米、元、元/平方米（币种：人民币）</v>
      </c>
      <c r="B14" s="3353"/>
      <c r="C14" s="3353"/>
      <c r="D14" s="3353"/>
      <c r="E14" s="3353"/>
      <c r="F14" s="3353"/>
      <c r="G14" s="3353"/>
      <c r="H14" s="3353"/>
      <c r="I14" s="3353"/>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60" t="s">
        <v>1226</v>
      </c>
      <c r="B1" s="3360"/>
      <c r="C1" s="3360"/>
      <c r="D1" s="3360"/>
    </row>
    <row r="2" spans="1:4" ht="18">
      <c r="A2" s="3359" t="s">
        <v>1215</v>
      </c>
      <c r="B2" s="3359"/>
      <c r="C2" s="3359"/>
      <c r="D2" s="3359"/>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9" t="s">
        <v>1220</v>
      </c>
      <c r="B7" s="3359"/>
      <c r="C7" s="3359"/>
      <c r="D7" s="3359"/>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61" t="s">
        <v>2678</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1" t="str">
        <f>IF(项目基本情况!D4="抵押","4.本次评估估价师所知悉的法定优先受偿款情况说明如下：","——")</f>
        <v>4.本次评估估价师所知悉的法定优先受偿款情况说明如下：</v>
      </c>
      <c r="B15" s="3362"/>
      <c r="C15" s="3362"/>
      <c r="D15" s="3362"/>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3" t="s">
        <v>1228</v>
      </c>
      <c r="B17" s="3363"/>
      <c r="C17" s="3363"/>
      <c r="D17" s="3363"/>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2679</v>
      </c>
      <c r="B20" s="3363"/>
      <c r="C20" s="3363"/>
      <c r="D20" s="3363"/>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69" t="s">
        <v>1307</v>
      </c>
      <c r="B15" s="3364" t="s">
        <v>1308</v>
      </c>
      <c r="C15" s="3365"/>
    </row>
    <row r="16" spans="1:7" ht="14.25">
      <c r="A16" s="3370"/>
      <c r="B16" s="3364" t="s">
        <v>1309</v>
      </c>
      <c r="C16" s="3365"/>
    </row>
    <row r="17" spans="1:3" ht="14.25">
      <c r="A17" s="3370"/>
      <c r="B17" s="3364" t="s">
        <v>1310</v>
      </c>
      <c r="C17" s="3365"/>
    </row>
    <row r="18" spans="1:3" ht="14.25">
      <c r="A18" s="3371"/>
      <c r="B18" s="3366" t="s">
        <v>1311</v>
      </c>
      <c r="C18" s="3365"/>
    </row>
    <row r="19" spans="1:3" ht="14.25">
      <c r="A19" s="1381" t="s">
        <v>1312</v>
      </c>
      <c r="B19" s="1382"/>
      <c r="C19" s="1383"/>
    </row>
    <row r="20" spans="1:3" ht="14.25">
      <c r="A20" s="3367" t="s">
        <v>1313</v>
      </c>
      <c r="B20" s="3366" t="s">
        <v>1314</v>
      </c>
      <c r="C20" s="3365"/>
    </row>
    <row r="21" spans="1:3" ht="14.25">
      <c r="A21" s="3367"/>
      <c r="B21" s="3366" t="s">
        <v>1315</v>
      </c>
      <c r="C21" s="3365"/>
    </row>
    <row r="22" spans="1:3" ht="14.25">
      <c r="A22" s="3367"/>
      <c r="B22" s="3366" t="s">
        <v>1316</v>
      </c>
      <c r="C22" s="3365"/>
    </row>
    <row r="23" spans="1:3" ht="14.25">
      <c r="A23" s="3367"/>
      <c r="B23" s="3368" t="s">
        <v>1317</v>
      </c>
      <c r="C23" s="1384" t="s">
        <v>1318</v>
      </c>
    </row>
    <row r="24" spans="1:3" ht="14.25">
      <c r="A24" s="3367"/>
      <c r="B24" s="3368"/>
      <c r="C24" s="1384" t="s">
        <v>1319</v>
      </c>
    </row>
    <row r="25" spans="1:3" ht="14.25">
      <c r="A25" s="3367"/>
      <c r="B25" s="3368"/>
      <c r="C25" s="1384" t="s">
        <v>1320</v>
      </c>
    </row>
    <row r="26" spans="1:3" ht="14.25">
      <c r="A26" s="3367"/>
      <c r="B26" s="3368"/>
      <c r="C26" s="1384" t="s">
        <v>1321</v>
      </c>
    </row>
    <row r="27" spans="1:3" ht="14.25">
      <c r="A27" s="3367"/>
      <c r="B27" s="3368"/>
      <c r="C27" s="1384" t="s">
        <v>1322</v>
      </c>
    </row>
    <row r="28" spans="1:3" ht="14.25">
      <c r="A28" s="3367"/>
      <c r="B28" s="3368"/>
      <c r="C28" s="1384" t="s">
        <v>1323</v>
      </c>
    </row>
    <row r="29" spans="1:3" ht="14.25">
      <c r="A29" s="3367"/>
      <c r="B29" s="3368"/>
      <c r="C29" s="1384" t="s">
        <v>1324</v>
      </c>
    </row>
    <row r="30" spans="1:3" ht="14.25">
      <c r="A30" s="3367"/>
      <c r="B30" s="3368"/>
      <c r="C30" s="1384" t="s">
        <v>1325</v>
      </c>
    </row>
    <row r="31" spans="1:3" ht="14.25">
      <c r="A31" s="3367"/>
      <c r="B31" s="3368"/>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44644</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2654</v>
      </c>
      <c r="B12" s="1271">
        <f ca="1">IF(C12&lt;B2,"已过期",1120040230)</f>
        <v>1120040230</v>
      </c>
      <c r="C12" s="3042">
        <v>44864</v>
      </c>
      <c r="D12" s="3050" t="str">
        <f t="shared" ca="1" si="0"/>
        <v>苏海（注册号：1120040230）</v>
      </c>
      <c r="E12" s="3052" t="s">
        <v>2654</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2671</v>
      </c>
      <c r="B14" s="1271">
        <f ca="1">IF(C14&lt;B2,"已过期",1119980106)</f>
        <v>1119980106</v>
      </c>
      <c r="C14" s="3042">
        <v>44969</v>
      </c>
      <c r="D14" s="3050" t="str">
        <f t="shared" ca="1" si="0"/>
        <v>刘俊财（注册号：1119980106）</v>
      </c>
      <c r="E14" s="3052" t="s">
        <v>2771</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2775</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72" t="s">
        <v>762</v>
      </c>
      <c r="B17" s="3372"/>
      <c r="C17" s="3372"/>
      <c r="D17" s="3372"/>
      <c r="E17" s="3372"/>
      <c r="F17" s="3372"/>
      <c r="G17" s="3372"/>
      <c r="H17" s="3372"/>
    </row>
    <row r="18" spans="1:8" ht="24" customHeight="1">
      <c r="A18" s="3373" t="s">
        <v>763</v>
      </c>
      <c r="B18" s="3373"/>
      <c r="C18" s="3373"/>
      <c r="D18" s="3038"/>
      <c r="E18" s="3374" t="s">
        <v>764</v>
      </c>
      <c r="F18" s="3373"/>
      <c r="G18" s="3373"/>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2972</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75"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本次估价的“房地产价值”是指在正常市场情况下，在价值时点2022年3月24日，估价对象规划用途为，假定未设立法定优先受偿款下的房地产市场价值。</v>
      </c>
    </row>
    <row r="54" spans="1:4">
      <c r="A54" s="3375"/>
      <c r="B54" s="9" t="s">
        <v>1463</v>
      </c>
      <c r="C54" s="9" t="s">
        <v>1464</v>
      </c>
    </row>
    <row r="55" spans="1:4">
      <c r="A55" s="3375"/>
      <c r="B55" s="9" t="s">
        <v>1465</v>
      </c>
      <c r="C55" s="9" t="s">
        <v>1466</v>
      </c>
    </row>
    <row r="56" spans="1:4">
      <c r="A56" s="3375"/>
      <c r="B56" s="9" t="s">
        <v>1467</v>
      </c>
      <c r="C56" s="9" t="s">
        <v>1468</v>
      </c>
    </row>
    <row r="57" spans="1:4">
      <c r="A57" s="3375"/>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2022-03-24T08:49:45Z</dcterms:modified>
</cp:coreProperties>
</file>